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drawings/drawing1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tables/table17.xml" ContentType="application/vnd.openxmlformats-officedocument.spreadsheetml.tab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Gupta-Casale\Desktop\"/>
    </mc:Choice>
  </mc:AlternateContent>
  <xr:revisionPtr revIDLastSave="0" documentId="8_{4715EB60-1905-45A6-BF3A-02EF24DCE586}" xr6:coauthVersionLast="36" xr6:coauthVersionMax="36" xr10:uidLastSave="{00000000-0000-0000-0000-000000000000}"/>
  <bookViews>
    <workbookView xWindow="0" yWindow="0" windowWidth="28800" windowHeight="12210" tabRatio="845" firstSheet="7" activeTab="7" xr2:uid="{C8386BB2-57DB-4B33-8C73-4DB216E9C9CD}"/>
  </bookViews>
  <sheets>
    <sheet name="MemberOrgsData" sheetId="1" state="hidden" r:id="rId1"/>
    <sheet name="FedGrantData" sheetId="9" state="hidden" r:id="rId2"/>
    <sheet name="BudgetAppropData" sheetId="4" state="hidden" r:id="rId3"/>
    <sheet name="MemberOrgControl" sheetId="2" state="hidden" r:id="rId4"/>
    <sheet name="FedGrantControl" sheetId="10" state="hidden" r:id="rId5"/>
    <sheet name="MemberOrgs_SortedTbl" sheetId="5" state="hidden" r:id="rId6"/>
    <sheet name="MemberOrgs_FilteredSortedTbl" sheetId="6" state="hidden" r:id="rId7"/>
    <sheet name="FPWA Member Grants" sheetId="3" r:id="rId8"/>
    <sheet name="FPWA Member Grants Dashboard" sheetId="8" r:id="rId9"/>
    <sheet name="Individual Grants" sheetId="7" r:id="rId10"/>
  </sheets>
  <definedNames>
    <definedName name="_xlnm._FilterDatabase" localSheetId="0" hidden="1">MemberOrgsData!$D$2:$D$369</definedName>
    <definedName name="barchrt_hseamt">INDEX(MemberOrgFinalSort[House $ Change], MATCH(MemberOrgControl!$S$4, MemberOrgFinalSort[Grant Name], 0)):INDEX(MemberOrgFinalSort[House $ Change], MATCH(MemberOrgControl!$S$5, MemberOrgFinalSort[Grant Name], 0))</definedName>
    <definedName name="barchrt_nme">INDEX(MemberOrgFinalSort[Grant Name], MATCH(MemberOrgControl!$S$4, MemberOrgFinalSort[Grant Name], 0)):INDEX(MemberOrgFinalSort[Grant Name], MATCH(MemberOrgControl!$S$5, MemberOrgFinalSort[Grant Name], 0))</definedName>
    <definedName name="barchrt_presamt">INDEX(MemberOrgFinalSort[President $ Change], MATCH(MemberOrgControl!$S$4, MemberOrgFinalSort[Grant Name], 0)):INDEX(MemberOrgFinalSort[President $ Change], MATCH(MemberOrgControl!$S$5, MemberOrgFinalSort[Grant Name], 0))</definedName>
    <definedName name="_xlnm.Extract" localSheetId="0">MemberOrgsData!$N$2</definedName>
    <definedName name="FedGrant">FedGrantControl!$A$10:$A$65</definedName>
    <definedName name="FedGrant_NumRow">FedGrantControl!$B$4</definedName>
    <definedName name="FedGrant_Top_Row">FedGrantControl!$B$3</definedName>
    <definedName name="fst_chrt">INDEX(#REF!,0,MATCH('FPWA Member Grants'!#REF!,#REF!,0))</definedName>
    <definedName name="hrzbarchrt_hseamt">INDEX(MemberOrgFinalSort[House % Change], MATCH(MemberOrgControl!$S$4, MemberOrgFinalSort[Grant Name], 0)):INDEX(MemberOrgFinalSort[House % Change], MATCH(MemberOrgControl!$S$5, MemberOrgFinalSort[Grant Name], 0))</definedName>
    <definedName name="hrzbarchrt_presamt">INDEX(MemberOrgFinalSort[President % Change], MATCH(MemberOrgControl!$S$4, MemberOrgFinalSort[Grant Name], 0)):INDEX(MemberOrgFinalSort[President % Change], MATCH(MemberOrgControl!$S$5, MemberOrgFinalSort[Grant Name], 0))</definedName>
    <definedName name="MemberOrgs_NumRow">MemberOrgControl!$B$4</definedName>
    <definedName name="MemberOrgs_TopRow">MemberOrgControl!$B$3</definedName>
    <definedName name="sec_chrt">INDEX(#REF!,0,MATCH('FPWA Member Grants'!#REF!,#REF!,0))</definedName>
    <definedName name="SelectBudgetYear">'FPWA Member Grants'!$C$4</definedName>
    <definedName name="SelectBY">OFFSET(MemberOrgControl!$I$3,,,COUNTIF(BudgetYear[BudgetYear], "*"),)</definedName>
    <definedName name="SelectFedGrant">FedGrantControl!$E$2</definedName>
    <definedName name="SelectFiscalYear">'FPWA Member Grants'!$C$3</definedName>
    <definedName name="SelectFY">IF(SelectBudgetYear = 2020, 2018, 2019)</definedName>
    <definedName name="SelectMemberOrgs">'FPWA Member Grants'!$C$5</definedName>
    <definedName name="SelectMemOrgs">OFFSET(MemberOrgControl!$L$3,,,COUNTIF(MemberOrgs[MemberOrgs], "?*"),)</definedName>
    <definedName name="thrd_chrt">INDEX(#REF!,0,MATCH('FPWA Member Grants'!#REF!,#REF!,0))</definedName>
    <definedName name="treemap_amt">INDEX(ImpactTable[FY 2018 Total], MATCH(MemberOrgControl!$S$10, ImpactTable[Grant Name], 0)):INDEX(ImpactTable[FY 2018 Total], MATCH(MemberOrgControl!$S$11, ImpactTable[Grant Name], 0))</definedName>
    <definedName name="treemap_nme">INDEX(ImpactTable[Grant Name], MATCH(MemberOrgControl!$S$10, ImpactTable[Grant Name], 0)):INDEX(ImpactTable[Grant Name], MATCH(MemberOrgControl!$S$11, ImpactTable[Grant Name], 0))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2" i="10" l="1"/>
  <c r="F10" i="10" s="1"/>
  <c r="B5" i="7" s="1"/>
  <c r="B3" i="10"/>
  <c r="E5" i="10"/>
  <c r="F6" i="10"/>
  <c r="G6" i="10" s="1"/>
  <c r="E6" i="10" s="1"/>
  <c r="J3" i="10"/>
  <c r="K3" i="10"/>
  <c r="I3" i="10"/>
  <c r="J7" i="4"/>
  <c r="H7" i="4"/>
  <c r="F62" i="10"/>
  <c r="F66" i="10"/>
  <c r="O2" i="2"/>
  <c r="J369" i="1"/>
  <c r="C2" i="8"/>
  <c r="C4" i="3"/>
  <c r="G3" i="2"/>
  <c r="B4" i="2"/>
  <c r="B3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O4" i="2"/>
  <c r="I3" i="2"/>
  <c r="J55" i="4"/>
  <c r="J40" i="4"/>
  <c r="J56" i="4"/>
  <c r="J50" i="4"/>
  <c r="J13" i="4"/>
  <c r="J41" i="4"/>
  <c r="J15" i="4"/>
  <c r="J57" i="4"/>
  <c r="J48" i="4"/>
  <c r="J16" i="4"/>
  <c r="J17" i="4"/>
  <c r="J18" i="4"/>
  <c r="J12" i="4"/>
  <c r="J54" i="4"/>
  <c r="J19" i="4"/>
  <c r="J47" i="4"/>
  <c r="J20" i="4"/>
  <c r="J9" i="4"/>
  <c r="J58" i="4"/>
  <c r="J21" i="4"/>
  <c r="J59" i="4"/>
  <c r="J22" i="4"/>
  <c r="J45" i="4"/>
  <c r="J23" i="4"/>
  <c r="J3" i="4"/>
  <c r="J5" i="4"/>
  <c r="J49" i="4"/>
  <c r="J39" i="4"/>
  <c r="J60" i="4"/>
  <c r="J61" i="4"/>
  <c r="J24" i="4"/>
  <c r="J25" i="4"/>
  <c r="J8" i="4"/>
  <c r="J62" i="4"/>
  <c r="J10" i="4"/>
  <c r="J11" i="4"/>
  <c r="J26" i="4"/>
  <c r="J27" i="4"/>
  <c r="J44" i="4"/>
  <c r="J63" i="4"/>
  <c r="J52" i="4"/>
  <c r="J53" i="4"/>
  <c r="J28" i="4"/>
  <c r="J42" i="4"/>
  <c r="J43" i="4"/>
  <c r="J51" i="4"/>
  <c r="J38" i="4"/>
  <c r="J46" i="4"/>
  <c r="J64" i="4"/>
  <c r="J29" i="4"/>
  <c r="J30" i="4"/>
  <c r="J2" i="4"/>
  <c r="J65" i="4"/>
  <c r="J31" i="4"/>
  <c r="J4" i="4"/>
  <c r="J32" i="4"/>
  <c r="J33" i="4"/>
  <c r="J34" i="4"/>
  <c r="J35" i="4"/>
  <c r="J36" i="4"/>
  <c r="J37" i="4"/>
  <c r="J14" i="4"/>
  <c r="J66" i="4"/>
  <c r="J6" i="4"/>
  <c r="L3" i="2" a="1"/>
  <c r="L3" i="2"/>
  <c r="L4" i="2" a="1"/>
  <c r="L4" i="2"/>
  <c r="L5" i="2" a="1"/>
  <c r="O3" i="2"/>
  <c r="F3" i="2"/>
  <c r="I149" i="1"/>
  <c r="I99" i="1"/>
  <c r="H61" i="4"/>
  <c r="I46" i="1"/>
  <c r="I6" i="1"/>
  <c r="C7" i="2"/>
  <c r="I150" i="1"/>
  <c r="I100" i="1"/>
  <c r="H49" i="4"/>
  <c r="I47" i="1"/>
  <c r="I7" i="1"/>
  <c r="C8" i="2"/>
  <c r="I151" i="1"/>
  <c r="I101" i="1"/>
  <c r="I48" i="1"/>
  <c r="I8" i="1"/>
  <c r="C9" i="2"/>
  <c r="I152" i="1"/>
  <c r="H51" i="4"/>
  <c r="I102" i="1"/>
  <c r="I49" i="1"/>
  <c r="I9" i="1"/>
  <c r="C10" i="2"/>
  <c r="I153" i="1"/>
  <c r="H38" i="4"/>
  <c r="I103" i="1"/>
  <c r="I50" i="1"/>
  <c r="I10" i="1"/>
  <c r="C11" i="2"/>
  <c r="I154" i="1"/>
  <c r="H25" i="4"/>
  <c r="I104" i="1"/>
  <c r="I51" i="1"/>
  <c r="I11" i="1"/>
  <c r="C12" i="2"/>
  <c r="I155" i="1"/>
  <c r="H62" i="4"/>
  <c r="I105" i="1"/>
  <c r="I52" i="1"/>
  <c r="I12" i="1"/>
  <c r="C13" i="2"/>
  <c r="I106" i="1"/>
  <c r="I53" i="1"/>
  <c r="I13" i="1"/>
  <c r="C14" i="2"/>
  <c r="I107" i="1"/>
  <c r="I54" i="1"/>
  <c r="I14" i="1"/>
  <c r="H17" i="4"/>
  <c r="C15" i="2"/>
  <c r="I108" i="1"/>
  <c r="I55" i="1"/>
  <c r="I15" i="1"/>
  <c r="C16" i="2"/>
  <c r="I109" i="1"/>
  <c r="I56" i="1"/>
  <c r="I16" i="1"/>
  <c r="C17" i="2"/>
  <c r="I110" i="1"/>
  <c r="I57" i="1"/>
  <c r="I17" i="1"/>
  <c r="C18" i="2"/>
  <c r="I111" i="1"/>
  <c r="I58" i="1"/>
  <c r="I18" i="1"/>
  <c r="C19" i="2"/>
  <c r="I59" i="1"/>
  <c r="I19" i="1"/>
  <c r="C20" i="2"/>
  <c r="I60" i="1"/>
  <c r="I20" i="1"/>
  <c r="C21" i="2"/>
  <c r="I61" i="1"/>
  <c r="I21" i="1"/>
  <c r="C22" i="2"/>
  <c r="I62" i="1"/>
  <c r="I22" i="1"/>
  <c r="C23" i="2"/>
  <c r="I63" i="1"/>
  <c r="C24" i="2"/>
  <c r="I64" i="1"/>
  <c r="C25" i="2"/>
  <c r="I65" i="1"/>
  <c r="C26" i="2"/>
  <c r="I66" i="1"/>
  <c r="C27" i="2"/>
  <c r="I67" i="1"/>
  <c r="C28" i="2"/>
  <c r="I68" i="1"/>
  <c r="C29" i="2"/>
  <c r="I69" i="1"/>
  <c r="C30" i="2"/>
  <c r="I70" i="1"/>
  <c r="C31" i="2"/>
  <c r="I71" i="1"/>
  <c r="H39" i="4"/>
  <c r="C32" i="2"/>
  <c r="I72" i="1"/>
  <c r="C33" i="2"/>
  <c r="I73" i="1"/>
  <c r="C34" i="2"/>
  <c r="I74" i="1"/>
  <c r="C35" i="2"/>
  <c r="I75" i="1"/>
  <c r="C36" i="2"/>
  <c r="I76" i="1"/>
  <c r="C37" i="2"/>
  <c r="I77" i="1"/>
  <c r="H24" i="4"/>
  <c r="C38" i="2"/>
  <c r="I78" i="1"/>
  <c r="C39" i="2"/>
  <c r="I79" i="1"/>
  <c r="C40" i="2"/>
  <c r="I80" i="1"/>
  <c r="C41" i="2"/>
  <c r="I81" i="1"/>
  <c r="C42" i="2"/>
  <c r="I82" i="1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157" i="6"/>
  <c r="A158" i="6"/>
  <c r="A159" i="6"/>
  <c r="A160" i="6"/>
  <c r="A161" i="6"/>
  <c r="A162" i="6"/>
  <c r="A163" i="6"/>
  <c r="A164" i="6"/>
  <c r="A165" i="6"/>
  <c r="A166" i="6"/>
  <c r="A167" i="6"/>
  <c r="A168" i="6"/>
  <c r="A169" i="6"/>
  <c r="A170" i="6"/>
  <c r="A171" i="6"/>
  <c r="A172" i="6"/>
  <c r="A173" i="6"/>
  <c r="A174" i="6"/>
  <c r="A175" i="6"/>
  <c r="A176" i="6"/>
  <c r="A177" i="6"/>
  <c r="A178" i="6"/>
  <c r="A179" i="6"/>
  <c r="A180" i="6"/>
  <c r="A181" i="6"/>
  <c r="A182" i="6"/>
  <c r="A183" i="6"/>
  <c r="A184" i="6"/>
  <c r="A185" i="6"/>
  <c r="A186" i="6"/>
  <c r="A187" i="6"/>
  <c r="A188" i="6"/>
  <c r="A189" i="6"/>
  <c r="A190" i="6"/>
  <c r="A191" i="6"/>
  <c r="A192" i="6"/>
  <c r="A193" i="6"/>
  <c r="A194" i="6"/>
  <c r="A195" i="6"/>
  <c r="A196" i="6"/>
  <c r="A197" i="6"/>
  <c r="A198" i="6"/>
  <c r="A199" i="6"/>
  <c r="A200" i="6"/>
  <c r="A201" i="6"/>
  <c r="A202" i="6"/>
  <c r="A203" i="6"/>
  <c r="A204" i="6"/>
  <c r="A205" i="6"/>
  <c r="A206" i="6"/>
  <c r="A207" i="6"/>
  <c r="A208" i="6"/>
  <c r="A209" i="6"/>
  <c r="A210" i="6"/>
  <c r="A211" i="6"/>
  <c r="A212" i="6"/>
  <c r="A213" i="6"/>
  <c r="A214" i="6"/>
  <c r="A215" i="6"/>
  <c r="A216" i="6"/>
  <c r="A217" i="6"/>
  <c r="A218" i="6"/>
  <c r="A219" i="6"/>
  <c r="A220" i="6"/>
  <c r="A221" i="6"/>
  <c r="A222" i="6"/>
  <c r="A223" i="6"/>
  <c r="A224" i="6"/>
  <c r="A225" i="6"/>
  <c r="A226" i="6"/>
  <c r="A227" i="6"/>
  <c r="A228" i="6"/>
  <c r="A229" i="6"/>
  <c r="A230" i="6"/>
  <c r="A231" i="6"/>
  <c r="A232" i="6"/>
  <c r="A233" i="6"/>
  <c r="A234" i="6"/>
  <c r="A235" i="6"/>
  <c r="A236" i="6"/>
  <c r="A237" i="6"/>
  <c r="A238" i="6"/>
  <c r="A239" i="6"/>
  <c r="A240" i="6"/>
  <c r="A241" i="6"/>
  <c r="A242" i="6"/>
  <c r="A243" i="6"/>
  <c r="A244" i="6"/>
  <c r="A245" i="6"/>
  <c r="A246" i="6"/>
  <c r="A247" i="6"/>
  <c r="A248" i="6"/>
  <c r="A249" i="6"/>
  <c r="A250" i="6"/>
  <c r="A251" i="6"/>
  <c r="A252" i="6"/>
  <c r="A253" i="6"/>
  <c r="A254" i="6"/>
  <c r="A255" i="6"/>
  <c r="A256" i="6"/>
  <c r="A257" i="6"/>
  <c r="A258" i="6"/>
  <c r="A259" i="6"/>
  <c r="A260" i="6"/>
  <c r="A261" i="6"/>
  <c r="A262" i="6"/>
  <c r="A263" i="6"/>
  <c r="A264" i="6"/>
  <c r="A265" i="6"/>
  <c r="A266" i="6"/>
  <c r="A267" i="6"/>
  <c r="A268" i="6"/>
  <c r="A269" i="6"/>
  <c r="A270" i="6"/>
  <c r="A271" i="6"/>
  <c r="A272" i="6"/>
  <c r="A273" i="6"/>
  <c r="A274" i="6"/>
  <c r="A4" i="6"/>
  <c r="I87" i="1"/>
  <c r="I88" i="1"/>
  <c r="I89" i="1"/>
  <c r="I96" i="1"/>
  <c r="I112" i="1"/>
  <c r="I113" i="1"/>
  <c r="I116" i="1"/>
  <c r="I117" i="1"/>
  <c r="I118" i="1"/>
  <c r="I23" i="1"/>
  <c r="I119" i="1"/>
  <c r="I24" i="1"/>
  <c r="I120" i="1"/>
  <c r="I25" i="1"/>
  <c r="I131" i="1"/>
  <c r="I26" i="1"/>
  <c r="I132" i="1"/>
  <c r="I27" i="1"/>
  <c r="I133" i="1"/>
  <c r="I28" i="1"/>
  <c r="I156" i="1"/>
  <c r="I29" i="1"/>
  <c r="I157" i="1"/>
  <c r="I30" i="1"/>
  <c r="I158" i="1"/>
  <c r="I31" i="1"/>
  <c r="I179" i="1"/>
  <c r="I32" i="1"/>
  <c r="I180" i="1"/>
  <c r="I33" i="1"/>
  <c r="I181" i="1"/>
  <c r="I34" i="1"/>
  <c r="I182" i="1"/>
  <c r="I35" i="1"/>
  <c r="I183" i="1"/>
  <c r="I36" i="1"/>
  <c r="I184" i="1"/>
  <c r="I37" i="1"/>
  <c r="I208" i="1"/>
  <c r="I38" i="1"/>
  <c r="I209" i="1"/>
  <c r="I39" i="1"/>
  <c r="I210" i="1"/>
  <c r="I40" i="1"/>
  <c r="I221" i="1"/>
  <c r="I41" i="1"/>
  <c r="I228" i="1"/>
  <c r="I42" i="1"/>
  <c r="I229" i="1"/>
  <c r="I43" i="1"/>
  <c r="I230" i="1"/>
  <c r="I44" i="1"/>
  <c r="I235" i="1"/>
  <c r="I45" i="1"/>
  <c r="I236" i="1"/>
  <c r="I237" i="1"/>
  <c r="I241" i="1"/>
  <c r="I242" i="1"/>
  <c r="I243" i="1"/>
  <c r="I273" i="1"/>
  <c r="I274" i="1"/>
  <c r="I275" i="1"/>
  <c r="I276" i="1"/>
  <c r="I277" i="1"/>
  <c r="I278" i="1"/>
  <c r="I279" i="1"/>
  <c r="I280" i="1"/>
  <c r="I323" i="1"/>
  <c r="I324" i="1"/>
  <c r="I325" i="1"/>
  <c r="I326" i="1"/>
  <c r="I327" i="1"/>
  <c r="I352" i="1"/>
  <c r="I353" i="1"/>
  <c r="I354" i="1"/>
  <c r="I355" i="1"/>
  <c r="I367" i="1"/>
  <c r="I2" i="1"/>
  <c r="I3" i="1"/>
  <c r="I4" i="1"/>
  <c r="I5" i="1"/>
  <c r="I83" i="1"/>
  <c r="I84" i="1"/>
  <c r="I85" i="1"/>
  <c r="I86" i="1"/>
  <c r="I90" i="1"/>
  <c r="I91" i="1"/>
  <c r="I92" i="1"/>
  <c r="I93" i="1"/>
  <c r="I94" i="1"/>
  <c r="I95" i="1"/>
  <c r="I97" i="1"/>
  <c r="I98" i="1"/>
  <c r="I114" i="1"/>
  <c r="I115" i="1"/>
  <c r="I121" i="1"/>
  <c r="I122" i="1"/>
  <c r="I123" i="1"/>
  <c r="I124" i="1"/>
  <c r="I125" i="1"/>
  <c r="I126" i="1"/>
  <c r="I127" i="1"/>
  <c r="I128" i="1"/>
  <c r="I129" i="1"/>
  <c r="I130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11" i="1"/>
  <c r="I212" i="1"/>
  <c r="I213" i="1"/>
  <c r="I214" i="1"/>
  <c r="I215" i="1"/>
  <c r="I216" i="1"/>
  <c r="I217" i="1"/>
  <c r="I218" i="1"/>
  <c r="I219" i="1"/>
  <c r="I220" i="1"/>
  <c r="I222" i="1"/>
  <c r="I223" i="1"/>
  <c r="I224" i="1"/>
  <c r="I225" i="1"/>
  <c r="I226" i="1"/>
  <c r="I227" i="1"/>
  <c r="I231" i="1"/>
  <c r="I232" i="1"/>
  <c r="I233" i="1"/>
  <c r="I234" i="1"/>
  <c r="I238" i="1"/>
  <c r="I239" i="1"/>
  <c r="I240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6" i="1"/>
  <c r="I357" i="1"/>
  <c r="I358" i="1"/>
  <c r="I359" i="1"/>
  <c r="I360" i="1"/>
  <c r="I361" i="1"/>
  <c r="I362" i="1"/>
  <c r="I363" i="1"/>
  <c r="I364" i="1"/>
  <c r="I365" i="1"/>
  <c r="I366" i="1"/>
  <c r="I368" i="1"/>
  <c r="I369" i="1"/>
  <c r="J2" i="1"/>
  <c r="J3" i="1"/>
  <c r="J4" i="1"/>
  <c r="J5" i="1"/>
  <c r="J6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7" i="1"/>
  <c r="J8" i="1"/>
  <c r="J22" i="1"/>
  <c r="J23" i="1"/>
  <c r="J24" i="1"/>
  <c r="J25" i="1"/>
  <c r="J26" i="1"/>
  <c r="J27" i="1"/>
  <c r="J28" i="1"/>
  <c r="J29" i="1"/>
  <c r="J30" i="1"/>
  <c r="J32" i="1"/>
  <c r="J33" i="1"/>
  <c r="J31" i="1"/>
  <c r="J34" i="1"/>
  <c r="J35" i="1"/>
  <c r="J36" i="1"/>
  <c r="J37" i="1"/>
  <c r="J38" i="1"/>
  <c r="J39" i="1"/>
  <c r="J40" i="1"/>
  <c r="J41" i="1"/>
  <c r="J42" i="1"/>
  <c r="J43" i="1"/>
  <c r="J44" i="1"/>
  <c r="J45" i="1"/>
  <c r="J52" i="1"/>
  <c r="J46" i="1"/>
  <c r="J47" i="1"/>
  <c r="J48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49" i="1"/>
  <c r="J50" i="1"/>
  <c r="J71" i="1"/>
  <c r="J72" i="1"/>
  <c r="J73" i="1"/>
  <c r="J74" i="1"/>
  <c r="J75" i="1"/>
  <c r="J76" i="1"/>
  <c r="J77" i="1"/>
  <c r="J78" i="1"/>
  <c r="J79" i="1"/>
  <c r="J80" i="1"/>
  <c r="J81" i="1"/>
  <c r="J82" i="1"/>
  <c r="J51" i="1"/>
  <c r="J83" i="1"/>
  <c r="J84" i="1"/>
  <c r="J85" i="1"/>
  <c r="J86" i="1"/>
  <c r="J90" i="1"/>
  <c r="J87" i="1"/>
  <c r="J91" i="1"/>
  <c r="J92" i="1"/>
  <c r="J88" i="1"/>
  <c r="J93" i="1"/>
  <c r="J94" i="1"/>
  <c r="J95" i="1"/>
  <c r="J89" i="1"/>
  <c r="J97" i="1"/>
  <c r="J96" i="1"/>
  <c r="J98" i="1"/>
  <c r="J101" i="1"/>
  <c r="J99" i="1"/>
  <c r="J100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21" i="1"/>
  <c r="J122" i="1"/>
  <c r="J123" i="1"/>
  <c r="J118" i="1"/>
  <c r="J124" i="1"/>
  <c r="J119" i="1"/>
  <c r="J125" i="1"/>
  <c r="J126" i="1"/>
  <c r="J127" i="1"/>
  <c r="J128" i="1"/>
  <c r="J129" i="1"/>
  <c r="J130" i="1"/>
  <c r="J120" i="1"/>
  <c r="J134" i="1"/>
  <c r="J131" i="1"/>
  <c r="J132" i="1"/>
  <c r="J135" i="1"/>
  <c r="J136" i="1"/>
  <c r="J137" i="1"/>
  <c r="J138" i="1"/>
  <c r="J139" i="1"/>
  <c r="J133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9" i="1"/>
  <c r="J160" i="1"/>
  <c r="J161" i="1"/>
  <c r="J162" i="1"/>
  <c r="J163" i="1"/>
  <c r="J164" i="1"/>
  <c r="J165" i="1"/>
  <c r="J166" i="1"/>
  <c r="J167" i="1"/>
  <c r="J156" i="1"/>
  <c r="J168" i="1"/>
  <c r="J169" i="1"/>
  <c r="J157" i="1"/>
  <c r="J170" i="1"/>
  <c r="J171" i="1"/>
  <c r="J172" i="1"/>
  <c r="J173" i="1"/>
  <c r="J174" i="1"/>
  <c r="J175" i="1"/>
  <c r="J176" i="1"/>
  <c r="J177" i="1"/>
  <c r="J178" i="1"/>
  <c r="J158" i="1"/>
  <c r="J185" i="1"/>
  <c r="J179" i="1"/>
  <c r="J186" i="1"/>
  <c r="J187" i="1"/>
  <c r="J180" i="1"/>
  <c r="J181" i="1"/>
  <c r="J182" i="1"/>
  <c r="J183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184" i="1"/>
  <c r="J204" i="1"/>
  <c r="J205" i="1"/>
  <c r="J206" i="1"/>
  <c r="J207" i="1"/>
  <c r="J208" i="1"/>
  <c r="J209" i="1"/>
  <c r="J211" i="1"/>
  <c r="J212" i="1"/>
  <c r="J213" i="1"/>
  <c r="J214" i="1"/>
  <c r="J215" i="1"/>
  <c r="J216" i="1"/>
  <c r="J217" i="1"/>
  <c r="J218" i="1"/>
  <c r="J219" i="1"/>
  <c r="J220" i="1"/>
  <c r="J210" i="1"/>
  <c r="J221" i="1"/>
  <c r="J222" i="1"/>
  <c r="J223" i="1"/>
  <c r="J224" i="1"/>
  <c r="J225" i="1"/>
  <c r="J226" i="1"/>
  <c r="J227" i="1"/>
  <c r="J228" i="1"/>
  <c r="J229" i="1"/>
  <c r="J231" i="1"/>
  <c r="J232" i="1"/>
  <c r="J230" i="1"/>
  <c r="J233" i="1"/>
  <c r="J234" i="1"/>
  <c r="J235" i="1"/>
  <c r="J236" i="1"/>
  <c r="J238" i="1"/>
  <c r="J239" i="1"/>
  <c r="J240" i="1"/>
  <c r="J237" i="1"/>
  <c r="J241" i="1"/>
  <c r="J242" i="1"/>
  <c r="J244" i="1"/>
  <c r="J245" i="1"/>
  <c r="J243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81" i="1"/>
  <c r="J282" i="1"/>
  <c r="J275" i="1"/>
  <c r="J276" i="1"/>
  <c r="J283" i="1"/>
  <c r="J284" i="1"/>
  <c r="J285" i="1"/>
  <c r="J286" i="1"/>
  <c r="J287" i="1"/>
  <c r="J277" i="1"/>
  <c r="J288" i="1"/>
  <c r="J289" i="1"/>
  <c r="J290" i="1"/>
  <c r="J291" i="1"/>
  <c r="J292" i="1"/>
  <c r="J293" i="1"/>
  <c r="J294" i="1"/>
  <c r="J295" i="1"/>
  <c r="J296" i="1"/>
  <c r="J297" i="1"/>
  <c r="J278" i="1"/>
  <c r="J298" i="1"/>
  <c r="J299" i="1"/>
  <c r="J300" i="1"/>
  <c r="J279" i="1"/>
  <c r="J28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8" i="1"/>
  <c r="J329" i="1"/>
  <c r="J327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6" i="1"/>
  <c r="J357" i="1"/>
  <c r="J352" i="1"/>
  <c r="J353" i="1"/>
  <c r="J358" i="1"/>
  <c r="J354" i="1"/>
  <c r="J359" i="1"/>
  <c r="J360" i="1"/>
  <c r="J361" i="1"/>
  <c r="J362" i="1"/>
  <c r="J363" i="1"/>
  <c r="J364" i="1"/>
  <c r="J365" i="1"/>
  <c r="J355" i="1"/>
  <c r="J366" i="1"/>
  <c r="J368" i="1"/>
  <c r="J367" i="1"/>
  <c r="H2" i="4"/>
  <c r="H3" i="4"/>
  <c r="H4" i="4"/>
  <c r="H5" i="4"/>
  <c r="H8" i="4"/>
  <c r="H9" i="4"/>
  <c r="H10" i="4"/>
  <c r="H11" i="4"/>
  <c r="H12" i="4"/>
  <c r="H13" i="4"/>
  <c r="H37" i="4"/>
  <c r="H36" i="4"/>
  <c r="H35" i="4"/>
  <c r="H34" i="4"/>
  <c r="H33" i="4"/>
  <c r="H32" i="4"/>
  <c r="H31" i="4"/>
  <c r="H30" i="4"/>
  <c r="H29" i="4"/>
  <c r="H28" i="4"/>
  <c r="H27" i="4"/>
  <c r="H26" i="4"/>
  <c r="H23" i="4"/>
  <c r="H22" i="4"/>
  <c r="H21" i="4"/>
  <c r="H20" i="4"/>
  <c r="H19" i="4"/>
  <c r="H18" i="4"/>
  <c r="H16" i="4"/>
  <c r="H15" i="4"/>
  <c r="H40" i="4"/>
  <c r="H41" i="4"/>
  <c r="H44" i="4"/>
  <c r="H45" i="4"/>
  <c r="H46" i="4"/>
  <c r="H47" i="4"/>
  <c r="H48" i="4"/>
  <c r="H50" i="4"/>
  <c r="H52" i="4"/>
  <c r="H53" i="4"/>
  <c r="H54" i="4"/>
  <c r="H65" i="4"/>
  <c r="H64" i="4"/>
  <c r="H63" i="4"/>
  <c r="H60" i="4"/>
  <c r="H59" i="4"/>
  <c r="H58" i="4"/>
  <c r="H57" i="4"/>
  <c r="H56" i="4"/>
  <c r="H55" i="4"/>
  <c r="L5" i="2"/>
  <c r="L6" i="2" a="1"/>
  <c r="L6" i="2"/>
  <c r="L7" i="2" a="1"/>
  <c r="L7" i="2"/>
  <c r="L8" i="2" a="1"/>
  <c r="L8" i="2"/>
  <c r="L9" i="2" a="1"/>
  <c r="L9" i="2"/>
  <c r="L10" i="2" a="1"/>
  <c r="L10" i="2"/>
  <c r="L11" i="2" a="1"/>
  <c r="L11" i="2"/>
  <c r="L12" i="2" a="1"/>
  <c r="L12" i="2"/>
  <c r="L13" i="2" a="1"/>
  <c r="L13" i="2"/>
  <c r="L14" i="2" a="1"/>
  <c r="L14" i="2"/>
  <c r="L15" i="2" a="1"/>
  <c r="L15" i="2"/>
  <c r="L16" i="2" a="1"/>
  <c r="L16" i="2"/>
  <c r="L17" i="2" a="1"/>
  <c r="L17" i="2"/>
  <c r="L18" i="2" a="1"/>
  <c r="L18" i="2"/>
  <c r="L19" i="2" a="1"/>
  <c r="L19" i="2"/>
  <c r="L20" i="2" a="1"/>
  <c r="L20" i="2"/>
  <c r="L21" i="2" a="1"/>
  <c r="L21" i="2"/>
  <c r="L22" i="2" a="1"/>
  <c r="L22" i="2"/>
  <c r="L23" i="2" a="1"/>
  <c r="L23" i="2"/>
  <c r="L24" i="2" a="1"/>
  <c r="L24" i="2"/>
  <c r="L25" i="2" a="1"/>
  <c r="L25" i="2"/>
  <c r="L26" i="2" a="1"/>
  <c r="L26" i="2"/>
  <c r="L27" i="2" a="1"/>
  <c r="L27" i="2"/>
  <c r="L28" i="2" a="1"/>
  <c r="L28" i="2"/>
  <c r="L29" i="2" a="1"/>
  <c r="L29" i="2"/>
  <c r="L30" i="2" a="1"/>
  <c r="L30" i="2"/>
  <c r="L31" i="2" a="1"/>
  <c r="L31" i="2"/>
  <c r="L32" i="2" a="1"/>
  <c r="L32" i="2"/>
  <c r="L33" i="2" a="1"/>
  <c r="L33" i="2"/>
  <c r="L34" i="2" a="1"/>
  <c r="L34" i="2"/>
  <c r="L35" i="2" a="1"/>
  <c r="L35" i="2"/>
  <c r="L36" i="2" a="1"/>
  <c r="L36" i="2"/>
  <c r="L37" i="2" a="1"/>
  <c r="L37" i="2"/>
  <c r="L38" i="2" a="1"/>
  <c r="L38" i="2"/>
  <c r="L39" i="2" a="1"/>
  <c r="L39" i="2"/>
  <c r="L40" i="2" a="1"/>
  <c r="L40" i="2"/>
  <c r="L41" i="2" a="1"/>
  <c r="L41" i="2"/>
  <c r="L42" i="2" a="1"/>
  <c r="L42" i="2"/>
  <c r="L43" i="2" a="1"/>
  <c r="L43" i="2"/>
  <c r="L44" i="2" a="1"/>
  <c r="L44" i="2"/>
  <c r="L45" i="2" a="1"/>
  <c r="L45" i="2"/>
  <c r="L46" i="2" a="1"/>
  <c r="L46" i="2"/>
  <c r="L47" i="2" a="1"/>
  <c r="L47" i="2"/>
  <c r="L48" i="2" a="1"/>
  <c r="L48" i="2"/>
  <c r="L49" i="2" a="1"/>
  <c r="L49" i="2"/>
  <c r="L50" i="2" a="1"/>
  <c r="L50" i="2"/>
  <c r="L51" i="2" a="1"/>
  <c r="L51" i="2"/>
  <c r="L52" i="2" a="1"/>
  <c r="L52" i="2"/>
  <c r="L53" i="2" a="1"/>
  <c r="L53" i="2"/>
  <c r="L54" i="2" a="1"/>
  <c r="L54" i="2"/>
  <c r="L55" i="2" a="1"/>
  <c r="L55" i="2"/>
  <c r="L56" i="2" a="1"/>
  <c r="L56" i="2"/>
  <c r="L57" i="2" a="1"/>
  <c r="L57" i="2"/>
  <c r="L58" i="2" a="1"/>
  <c r="L58" i="2"/>
  <c r="L59" i="2" a="1"/>
  <c r="L59" i="2"/>
  <c r="L60" i="2" a="1"/>
  <c r="L60" i="2"/>
  <c r="L61" i="2" a="1"/>
  <c r="L61" i="2"/>
  <c r="L62" i="2" a="1"/>
  <c r="L62" i="2"/>
  <c r="L63" i="2" a="1"/>
  <c r="L63" i="2"/>
  <c r="L64" i="2" a="1"/>
  <c r="L64" i="2"/>
  <c r="L65" i="2" a="1"/>
  <c r="L65" i="2"/>
  <c r="L66" i="2" a="1"/>
  <c r="L66" i="2"/>
  <c r="L67" i="2" a="1"/>
  <c r="L67" i="2"/>
  <c r="L68" i="2" a="1"/>
  <c r="L68" i="2"/>
  <c r="L69" i="2" a="1"/>
  <c r="L69" i="2"/>
  <c r="L70" i="2" a="1"/>
  <c r="L70" i="2"/>
  <c r="L71" i="2" a="1"/>
  <c r="L71" i="2"/>
  <c r="L72" i="2" a="1"/>
  <c r="L72" i="2"/>
  <c r="L73" i="2" a="1"/>
  <c r="L73" i="2"/>
  <c r="L74" i="2" a="1"/>
  <c r="L74" i="2"/>
  <c r="L75" i="2" a="1"/>
  <c r="L75" i="2"/>
  <c r="L76" i="2" a="1"/>
  <c r="L76" i="2"/>
  <c r="L77" i="2" a="1"/>
  <c r="L77" i="2"/>
  <c r="L78" i="2" a="1"/>
  <c r="L78" i="2"/>
  <c r="L79" i="2" a="1"/>
  <c r="L79" i="2"/>
  <c r="L80" i="2" a="1"/>
  <c r="L80" i="2"/>
  <c r="L81" i="2" a="1"/>
  <c r="L81" i="2"/>
  <c r="L82" i="2" a="1"/>
  <c r="L82" i="2"/>
  <c r="L83" i="2" a="1"/>
  <c r="L83" i="2"/>
  <c r="L84" i="2" a="1"/>
  <c r="L84" i="2"/>
  <c r="L85" i="2" a="1"/>
  <c r="L85" i="2"/>
  <c r="L86" i="2" a="1"/>
  <c r="L86" i="2"/>
  <c r="L87" i="2" a="1"/>
  <c r="L87" i="2"/>
  <c r="L88" i="2" a="1"/>
  <c r="L88" i="2"/>
  <c r="L89" i="2" a="1"/>
  <c r="L89" i="2"/>
  <c r="L90" i="2" a="1"/>
  <c r="L90" i="2"/>
  <c r="L91" i="2" a="1"/>
  <c r="L91" i="2"/>
  <c r="L92" i="2" a="1"/>
  <c r="L92" i="2"/>
  <c r="L93" i="2" a="1"/>
  <c r="L93" i="2"/>
  <c r="L94" i="2" a="1"/>
  <c r="L94" i="2"/>
  <c r="L95" i="2" a="1"/>
  <c r="L95" i="2"/>
  <c r="L96" i="2" a="1"/>
  <c r="L96" i="2"/>
  <c r="L97" i="2" a="1"/>
  <c r="L97" i="2"/>
  <c r="L98" i="2" a="1"/>
  <c r="L98" i="2"/>
  <c r="L99" i="2" a="1"/>
  <c r="L99" i="2"/>
  <c r="L100" i="2" a="1"/>
  <c r="L100" i="2"/>
  <c r="L101" i="2" a="1"/>
  <c r="L101" i="2"/>
  <c r="L102" i="2" a="1"/>
  <c r="L102" i="2"/>
  <c r="L103" i="2" a="1"/>
  <c r="L103" i="2"/>
  <c r="L104" i="2" a="1"/>
  <c r="L104" i="2"/>
  <c r="L105" i="2" a="1"/>
  <c r="L105" i="2"/>
  <c r="L106" i="2" a="1"/>
  <c r="L106" i="2"/>
  <c r="L107" i="2" a="1"/>
  <c r="L107" i="2"/>
  <c r="L108" i="2" a="1"/>
  <c r="L108" i="2"/>
  <c r="L109" i="2" a="1"/>
  <c r="L109" i="2"/>
  <c r="L110" i="2" a="1"/>
  <c r="L110" i="2"/>
  <c r="L111" i="2" a="1"/>
  <c r="L111" i="2"/>
  <c r="L112" i="2" a="1"/>
  <c r="L112" i="2"/>
  <c r="L113" i="2" a="1"/>
  <c r="L113" i="2"/>
  <c r="L114" i="2" a="1"/>
  <c r="L114" i="2"/>
  <c r="L115" i="2" a="1"/>
  <c r="L115" i="2"/>
  <c r="L116" i="2" a="1"/>
  <c r="L116" i="2"/>
  <c r="L117" i="2" a="1"/>
  <c r="L117" i="2"/>
  <c r="L118" i="2" a="1"/>
  <c r="L118" i="2"/>
  <c r="L119" i="2" a="1"/>
  <c r="L119" i="2"/>
  <c r="L120" i="2" a="1"/>
  <c r="L120" i="2"/>
  <c r="L121" i="2" a="1"/>
  <c r="L121" i="2"/>
  <c r="L122" i="2" a="1"/>
  <c r="L122" i="2"/>
  <c r="L123" i="2" a="1"/>
  <c r="L123" i="2"/>
  <c r="L124" i="2" a="1"/>
  <c r="L124" i="2"/>
  <c r="L125" i="2" a="1"/>
  <c r="L125" i="2"/>
  <c r="L126" i="2" a="1"/>
  <c r="L126" i="2"/>
  <c r="L127" i="2" a="1"/>
  <c r="L127" i="2"/>
  <c r="L128" i="2" a="1"/>
  <c r="L128" i="2"/>
  <c r="L129" i="2" a="1"/>
  <c r="L129" i="2"/>
  <c r="L130" i="2" a="1"/>
  <c r="L130" i="2"/>
  <c r="L131" i="2" a="1"/>
  <c r="L131" i="2"/>
  <c r="L132" i="2" a="1"/>
  <c r="L132" i="2"/>
  <c r="L133" i="2" a="1"/>
  <c r="L133" i="2"/>
  <c r="L134" i="2" a="1"/>
  <c r="L134" i="2"/>
  <c r="L135" i="2" a="1"/>
  <c r="L135" i="2"/>
  <c r="L136" i="2" a="1"/>
  <c r="L136" i="2"/>
  <c r="L137" i="2" a="1"/>
  <c r="L137" i="2"/>
  <c r="L138" i="2" a="1"/>
  <c r="L138" i="2"/>
  <c r="L139" i="2" a="1"/>
  <c r="L139" i="2"/>
  <c r="L140" i="2" a="1"/>
  <c r="L140" i="2"/>
  <c r="L141" i="2" a="1"/>
  <c r="L141" i="2"/>
  <c r="L142" i="2" a="1"/>
  <c r="L142" i="2"/>
  <c r="L143" i="2" a="1"/>
  <c r="L143" i="2"/>
  <c r="L144" i="2" a="1"/>
  <c r="L144" i="2"/>
  <c r="L145" i="2" a="1"/>
  <c r="L145" i="2"/>
  <c r="L146" i="2" a="1"/>
  <c r="L146" i="2"/>
  <c r="L147" i="2" a="1"/>
  <c r="L147" i="2"/>
  <c r="L148" i="2" a="1"/>
  <c r="L148" i="2"/>
  <c r="L149" i="2" a="1"/>
  <c r="L149" i="2"/>
  <c r="L150" i="2" a="1"/>
  <c r="L150" i="2"/>
  <c r="L151" i="2" a="1"/>
  <c r="L151" i="2"/>
  <c r="L152" i="2" a="1"/>
  <c r="L152" i="2"/>
  <c r="L153" i="2" a="1"/>
  <c r="L153" i="2"/>
  <c r="L154" i="2" a="1"/>
  <c r="L154" i="2"/>
  <c r="L155" i="2" a="1"/>
  <c r="L155" i="2"/>
  <c r="L156" i="2" a="1"/>
  <c r="L156" i="2"/>
  <c r="L157" i="2" a="1"/>
  <c r="L157" i="2"/>
  <c r="L158" i="2" a="1"/>
  <c r="L158" i="2"/>
  <c r="L159" i="2" a="1"/>
  <c r="L159" i="2"/>
  <c r="L160" i="2" a="1"/>
  <c r="L160" i="2"/>
  <c r="L161" i="2" a="1"/>
  <c r="L161" i="2"/>
  <c r="L162" i="2" a="1"/>
  <c r="L162" i="2"/>
  <c r="L163" i="2" a="1"/>
  <c r="L163" i="2"/>
  <c r="L164" i="2" a="1"/>
  <c r="L164" i="2"/>
  <c r="L165" i="2" a="1"/>
  <c r="L165" i="2"/>
  <c r="L166" i="2" a="1"/>
  <c r="L166" i="2"/>
  <c r="L167" i="2" a="1"/>
  <c r="L167" i="2"/>
  <c r="L168" i="2" a="1"/>
  <c r="L168" i="2"/>
  <c r="L169" i="2" a="1"/>
  <c r="L169" i="2"/>
  <c r="L170" i="2" a="1"/>
  <c r="L170" i="2"/>
  <c r="L171" i="2" a="1"/>
  <c r="L171" i="2"/>
  <c r="L172" i="2" a="1"/>
  <c r="L172" i="2"/>
  <c r="L173" i="2" a="1"/>
  <c r="L173" i="2"/>
  <c r="L174" i="2" a="1"/>
  <c r="L174" i="2"/>
  <c r="L175" i="2" a="1"/>
  <c r="L175" i="2"/>
  <c r="L176" i="2" a="1"/>
  <c r="L176" i="2"/>
  <c r="L177" i="2" a="1"/>
  <c r="L177" i="2"/>
  <c r="L178" i="2" a="1"/>
  <c r="L178" i="2"/>
  <c r="L179" i="2" a="1"/>
  <c r="L179" i="2"/>
  <c r="L180" i="2" a="1"/>
  <c r="L180" i="2"/>
  <c r="L181" i="2" a="1"/>
  <c r="L181" i="2"/>
  <c r="L182" i="2" a="1"/>
  <c r="L182" i="2"/>
  <c r="L183" i="2" a="1"/>
  <c r="L183" i="2"/>
  <c r="L184" i="2" a="1"/>
  <c r="L184" i="2"/>
  <c r="L185" i="2" a="1"/>
  <c r="L185" i="2"/>
  <c r="L186" i="2" a="1"/>
  <c r="L186" i="2"/>
  <c r="L187" i="2" a="1"/>
  <c r="L187" i="2"/>
  <c r="L188" i="2" a="1"/>
  <c r="L188" i="2"/>
  <c r="L189" i="2" a="1"/>
  <c r="L189" i="2"/>
  <c r="L190" i="2" a="1"/>
  <c r="L190" i="2"/>
  <c r="L191" i="2" a="1"/>
  <c r="L191" i="2"/>
  <c r="L192" i="2" a="1"/>
  <c r="L192" i="2"/>
  <c r="L193" i="2" a="1"/>
  <c r="L193" i="2"/>
  <c r="L194" i="2" a="1"/>
  <c r="L194" i="2"/>
  <c r="L195" i="2" a="1"/>
  <c r="L195" i="2"/>
  <c r="L196" i="2" a="1"/>
  <c r="L196" i="2"/>
  <c r="L197" i="2" a="1"/>
  <c r="L197" i="2"/>
  <c r="L198" i="2" a="1"/>
  <c r="L198" i="2"/>
  <c r="L199" i="2" a="1"/>
  <c r="L199" i="2"/>
  <c r="L200" i="2" a="1"/>
  <c r="L200" i="2"/>
  <c r="L201" i="2" a="1"/>
  <c r="L201" i="2"/>
  <c r="L202" i="2" a="1"/>
  <c r="L202" i="2"/>
  <c r="L203" i="2" a="1"/>
  <c r="L203" i="2"/>
  <c r="L204" i="2" a="1"/>
  <c r="L204" i="2"/>
  <c r="L205" i="2" a="1"/>
  <c r="L205" i="2"/>
  <c r="L206" i="2" a="1"/>
  <c r="L206" i="2"/>
  <c r="L207" i="2" a="1"/>
  <c r="L207" i="2"/>
  <c r="L208" i="2" a="1"/>
  <c r="L208" i="2"/>
  <c r="L209" i="2" a="1"/>
  <c r="L209" i="2"/>
  <c r="L210" i="2" a="1"/>
  <c r="L210" i="2"/>
  <c r="L211" i="2" a="1"/>
  <c r="L211" i="2"/>
  <c r="L212" i="2" a="1"/>
  <c r="L212" i="2"/>
  <c r="L213" i="2" a="1"/>
  <c r="L213" i="2"/>
  <c r="L214" i="2" a="1"/>
  <c r="L214" i="2"/>
  <c r="L215" i="2" a="1"/>
  <c r="L215" i="2"/>
  <c r="L216" i="2" a="1"/>
  <c r="L216" i="2"/>
  <c r="L217" i="2" a="1"/>
  <c r="L217" i="2"/>
  <c r="L218" i="2" a="1"/>
  <c r="L218" i="2"/>
  <c r="L219" i="2" a="1"/>
  <c r="L219" i="2"/>
  <c r="L220" i="2" a="1"/>
  <c r="L220" i="2"/>
  <c r="L221" i="2" a="1"/>
  <c r="L221" i="2"/>
  <c r="L222" i="2" a="1"/>
  <c r="L222" i="2"/>
  <c r="L223" i="2" a="1"/>
  <c r="L223" i="2"/>
  <c r="L224" i="2" a="1"/>
  <c r="L224" i="2"/>
  <c r="L225" i="2" a="1"/>
  <c r="L225" i="2"/>
  <c r="L226" i="2" a="1"/>
  <c r="L226" i="2"/>
  <c r="L227" i="2" a="1"/>
  <c r="L227" i="2"/>
  <c r="L228" i="2" a="1"/>
  <c r="L228" i="2"/>
  <c r="L229" i="2" a="1"/>
  <c r="L229" i="2"/>
  <c r="L230" i="2" a="1"/>
  <c r="L230" i="2"/>
  <c r="L231" i="2" a="1"/>
  <c r="L231" i="2"/>
  <c r="L232" i="2" a="1"/>
  <c r="L232" i="2"/>
  <c r="L233" i="2" a="1"/>
  <c r="L233" i="2"/>
  <c r="L234" i="2" a="1"/>
  <c r="L234" i="2"/>
  <c r="L235" i="2" a="1"/>
  <c r="L235" i="2"/>
  <c r="L236" i="2" a="1"/>
  <c r="L236" i="2"/>
  <c r="L237" i="2" a="1"/>
  <c r="L237" i="2"/>
  <c r="L238" i="2" a="1"/>
  <c r="L238" i="2"/>
  <c r="L239" i="2" a="1"/>
  <c r="L239" i="2"/>
  <c r="L240" i="2" a="1"/>
  <c r="L240" i="2"/>
  <c r="L241" i="2" a="1"/>
  <c r="L241" i="2"/>
  <c r="L242" i="2" a="1"/>
  <c r="L242" i="2"/>
  <c r="L243" i="2" a="1"/>
  <c r="L243" i="2"/>
  <c r="L244" i="2" a="1"/>
  <c r="L244" i="2"/>
  <c r="L245" i="2" a="1"/>
  <c r="L245" i="2"/>
  <c r="L246" i="2" a="1"/>
  <c r="L246" i="2"/>
  <c r="L247" i="2" a="1"/>
  <c r="L247" i="2"/>
  <c r="L248" i="2" a="1"/>
  <c r="L248" i="2"/>
  <c r="L249" i="2" a="1"/>
  <c r="L249" i="2"/>
  <c r="L250" i="2" a="1"/>
  <c r="L250" i="2"/>
  <c r="L251" i="2" a="1"/>
  <c r="L251" i="2"/>
  <c r="L252" i="2" a="1"/>
  <c r="L252" i="2"/>
  <c r="L253" i="2" a="1"/>
  <c r="L253" i="2"/>
  <c r="L254" i="2" a="1"/>
  <c r="L254" i="2"/>
  <c r="L255" i="2" a="1"/>
  <c r="L255" i="2"/>
  <c r="L256" i="2" a="1"/>
  <c r="L256" i="2"/>
  <c r="L257" i="2" a="1"/>
  <c r="L257" i="2"/>
  <c r="L258" i="2" a="1"/>
  <c r="L258" i="2"/>
  <c r="L259" i="2" a="1"/>
  <c r="L259" i="2"/>
  <c r="L260" i="2" a="1"/>
  <c r="L260" i="2"/>
  <c r="L261" i="2" a="1"/>
  <c r="L261" i="2"/>
  <c r="L262" i="2" a="1"/>
  <c r="L262" i="2"/>
  <c r="L263" i="2" a="1"/>
  <c r="L263" i="2"/>
  <c r="L264" i="2" a="1"/>
  <c r="L264" i="2"/>
  <c r="L265" i="2" a="1"/>
  <c r="L265" i="2"/>
  <c r="L266" i="2" a="1"/>
  <c r="L266" i="2"/>
  <c r="L267" i="2" a="1"/>
  <c r="L267" i="2"/>
  <c r="L268" i="2" a="1"/>
  <c r="L268" i="2"/>
  <c r="L269" i="2" a="1"/>
  <c r="L269" i="2"/>
  <c r="L270" i="2" a="1"/>
  <c r="L270" i="2"/>
  <c r="L271" i="2" a="1"/>
  <c r="L271" i="2"/>
  <c r="L272" i="2" a="1"/>
  <c r="L272" i="2"/>
  <c r="L273" i="2" a="1"/>
  <c r="L273" i="2"/>
  <c r="K3" i="2"/>
  <c r="C4" i="6"/>
  <c r="E4" i="6" a="1"/>
  <c r="E4" i="6"/>
  <c r="F4" i="6" a="1"/>
  <c r="F4" i="6"/>
  <c r="G4" i="6"/>
  <c r="C5" i="6"/>
  <c r="E5" i="6" a="1"/>
  <c r="E5" i="6"/>
  <c r="F5" i="6" a="1"/>
  <c r="F5" i="6"/>
  <c r="G5" i="6"/>
  <c r="C6" i="6"/>
  <c r="E6" i="6" a="1"/>
  <c r="E6" i="6"/>
  <c r="F6" i="6" a="1"/>
  <c r="F6" i="6"/>
  <c r="G6" i="6"/>
  <c r="C7" i="6"/>
  <c r="E7" i="6" a="1"/>
  <c r="E7" i="6"/>
  <c r="F7" i="6" a="1"/>
  <c r="F7" i="6"/>
  <c r="G7" i="6"/>
  <c r="C8" i="6"/>
  <c r="E8" i="6" a="1"/>
  <c r="E8" i="6"/>
  <c r="F8" i="6" a="1"/>
  <c r="F8" i="6"/>
  <c r="G8" i="6"/>
  <c r="C9" i="6"/>
  <c r="E9" i="6" a="1"/>
  <c r="E9" i="6"/>
  <c r="F9" i="6" a="1"/>
  <c r="F9" i="6"/>
  <c r="G9" i="6"/>
  <c r="C10" i="6"/>
  <c r="E10" i="6" a="1"/>
  <c r="E10" i="6"/>
  <c r="F10" i="6" a="1"/>
  <c r="F10" i="6"/>
  <c r="G10" i="6"/>
  <c r="C11" i="6"/>
  <c r="E11" i="6" a="1"/>
  <c r="E11" i="6"/>
  <c r="F11" i="6" a="1"/>
  <c r="F11" i="6"/>
  <c r="G11" i="6"/>
  <c r="C12" i="6"/>
  <c r="E12" i="6" a="1"/>
  <c r="E12" i="6"/>
  <c r="F12" i="6" a="1"/>
  <c r="F12" i="6"/>
  <c r="G12" i="6"/>
  <c r="C13" i="6"/>
  <c r="E13" i="6" a="1"/>
  <c r="E13" i="6"/>
  <c r="F13" i="6" a="1"/>
  <c r="F13" i="6"/>
  <c r="G13" i="6"/>
  <c r="C14" i="6"/>
  <c r="E14" i="6" a="1"/>
  <c r="E14" i="6"/>
  <c r="F14" i="6" a="1"/>
  <c r="F14" i="6"/>
  <c r="G14" i="6"/>
  <c r="C15" i="6"/>
  <c r="G15" i="6"/>
  <c r="C16" i="6"/>
  <c r="G16" i="6"/>
  <c r="C17" i="6"/>
  <c r="G17" i="6"/>
  <c r="C18" i="6"/>
  <c r="G18" i="6"/>
  <c r="C19" i="6"/>
  <c r="G19" i="6"/>
  <c r="C20" i="6"/>
  <c r="G20" i="6"/>
  <c r="C21" i="6"/>
  <c r="G21" i="6"/>
  <c r="C22" i="6"/>
  <c r="G22" i="6"/>
  <c r="C23" i="6"/>
  <c r="G23" i="6"/>
  <c r="C24" i="6"/>
  <c r="G24" i="6"/>
  <c r="C25" i="6"/>
  <c r="G25" i="6"/>
  <c r="C26" i="6"/>
  <c r="G26" i="6"/>
  <c r="C27" i="6"/>
  <c r="G27" i="6"/>
  <c r="C28" i="6"/>
  <c r="G28" i="6"/>
  <c r="C29" i="6"/>
  <c r="G29" i="6"/>
  <c r="C30" i="6"/>
  <c r="G30" i="6"/>
  <c r="C31" i="6"/>
  <c r="G31" i="6"/>
  <c r="C32" i="6"/>
  <c r="G32" i="6"/>
  <c r="C33" i="6"/>
  <c r="G33" i="6"/>
  <c r="C34" i="6"/>
  <c r="G34" i="6"/>
  <c r="C35" i="6"/>
  <c r="G35" i="6"/>
  <c r="C36" i="6"/>
  <c r="G36" i="6"/>
  <c r="C37" i="6"/>
  <c r="G37" i="6"/>
  <c r="C38" i="6"/>
  <c r="G38" i="6"/>
  <c r="C39" i="6"/>
  <c r="G39" i="6"/>
  <c r="C40" i="6"/>
  <c r="G40" i="6"/>
  <c r="C41" i="6"/>
  <c r="G41" i="6"/>
  <c r="C42" i="6"/>
  <c r="G42" i="6"/>
  <c r="C43" i="6"/>
  <c r="G43" i="6"/>
  <c r="C44" i="6"/>
  <c r="G44" i="6"/>
  <c r="C45" i="6"/>
  <c r="G45" i="6"/>
  <c r="C46" i="6"/>
  <c r="G46" i="6"/>
  <c r="C47" i="6"/>
  <c r="G47" i="6"/>
  <c r="C48" i="6"/>
  <c r="G48" i="6"/>
  <c r="C49" i="6"/>
  <c r="G49" i="6"/>
  <c r="C50" i="6"/>
  <c r="G50" i="6"/>
  <c r="C51" i="6"/>
  <c r="G51" i="6"/>
  <c r="C52" i="6"/>
  <c r="G52" i="6"/>
  <c r="C53" i="6"/>
  <c r="G53" i="6"/>
  <c r="C54" i="6"/>
  <c r="G54" i="6"/>
  <c r="C55" i="6"/>
  <c r="G55" i="6"/>
  <c r="C56" i="6"/>
  <c r="G56" i="6"/>
  <c r="C57" i="6"/>
  <c r="G57" i="6"/>
  <c r="C58" i="6"/>
  <c r="G58" i="6"/>
  <c r="C59" i="6"/>
  <c r="G59" i="6"/>
  <c r="C60" i="6"/>
  <c r="G60" i="6"/>
  <c r="C61" i="6"/>
  <c r="G61" i="6"/>
  <c r="C62" i="6"/>
  <c r="G62" i="6"/>
  <c r="C63" i="6"/>
  <c r="G63" i="6"/>
  <c r="C64" i="6"/>
  <c r="G64" i="6"/>
  <c r="C65" i="6"/>
  <c r="G65" i="6"/>
  <c r="C66" i="6"/>
  <c r="G66" i="6"/>
  <c r="C67" i="6"/>
  <c r="G67" i="6"/>
  <c r="C68" i="6"/>
  <c r="G68" i="6"/>
  <c r="C69" i="6"/>
  <c r="G69" i="6"/>
  <c r="C70" i="6"/>
  <c r="G70" i="6"/>
  <c r="C71" i="6"/>
  <c r="G71" i="6"/>
  <c r="C72" i="6"/>
  <c r="G72" i="6"/>
  <c r="C73" i="6"/>
  <c r="G73" i="6"/>
  <c r="C74" i="6"/>
  <c r="G74" i="6"/>
  <c r="C75" i="6"/>
  <c r="G75" i="6"/>
  <c r="C76" i="6"/>
  <c r="G76" i="6"/>
  <c r="C77" i="6"/>
  <c r="G77" i="6"/>
  <c r="C78" i="6"/>
  <c r="G78" i="6"/>
  <c r="C79" i="6"/>
  <c r="G79" i="6"/>
  <c r="C80" i="6"/>
  <c r="G80" i="6"/>
  <c r="C81" i="6"/>
  <c r="G81" i="6"/>
  <c r="C82" i="6"/>
  <c r="G82" i="6"/>
  <c r="C83" i="6"/>
  <c r="G83" i="6"/>
  <c r="C84" i="6"/>
  <c r="G84" i="6"/>
  <c r="C85" i="6"/>
  <c r="G85" i="6"/>
  <c r="C86" i="6"/>
  <c r="G86" i="6"/>
  <c r="C87" i="6"/>
  <c r="G87" i="6"/>
  <c r="C88" i="6"/>
  <c r="G88" i="6"/>
  <c r="C89" i="6"/>
  <c r="G89" i="6"/>
  <c r="C90" i="6"/>
  <c r="G90" i="6"/>
  <c r="C91" i="6"/>
  <c r="G91" i="6"/>
  <c r="C92" i="6"/>
  <c r="G92" i="6"/>
  <c r="C93" i="6"/>
  <c r="G93" i="6"/>
  <c r="C94" i="6"/>
  <c r="G94" i="6"/>
  <c r="C95" i="6"/>
  <c r="G95" i="6"/>
  <c r="C96" i="6"/>
  <c r="G96" i="6"/>
  <c r="C97" i="6"/>
  <c r="G97" i="6"/>
  <c r="C98" i="6"/>
  <c r="G98" i="6"/>
  <c r="C99" i="6"/>
  <c r="G99" i="6"/>
  <c r="C100" i="6"/>
  <c r="G100" i="6"/>
  <c r="C101" i="6"/>
  <c r="G101" i="6"/>
  <c r="C102" i="6"/>
  <c r="G102" i="6"/>
  <c r="C103" i="6"/>
  <c r="G103" i="6"/>
  <c r="C104" i="6"/>
  <c r="G104" i="6"/>
  <c r="C105" i="6"/>
  <c r="G105" i="6"/>
  <c r="C106" i="6"/>
  <c r="G106" i="6"/>
  <c r="C107" i="6"/>
  <c r="G107" i="6"/>
  <c r="C108" i="6"/>
  <c r="G108" i="6"/>
  <c r="C109" i="6"/>
  <c r="G109" i="6"/>
  <c r="C110" i="6"/>
  <c r="G110" i="6"/>
  <c r="C111" i="6"/>
  <c r="G111" i="6"/>
  <c r="C112" i="6"/>
  <c r="G112" i="6"/>
  <c r="C113" i="6"/>
  <c r="G113" i="6"/>
  <c r="C114" i="6"/>
  <c r="G114" i="6"/>
  <c r="C115" i="6"/>
  <c r="G115" i="6"/>
  <c r="C116" i="6"/>
  <c r="G116" i="6"/>
  <c r="C117" i="6"/>
  <c r="G117" i="6"/>
  <c r="C118" i="6"/>
  <c r="G118" i="6"/>
  <c r="C119" i="6"/>
  <c r="G119" i="6"/>
  <c r="C120" i="6"/>
  <c r="G120" i="6"/>
  <c r="C121" i="6"/>
  <c r="G121" i="6"/>
  <c r="C122" i="6"/>
  <c r="G122" i="6"/>
  <c r="C123" i="6"/>
  <c r="G123" i="6"/>
  <c r="C124" i="6"/>
  <c r="G124" i="6"/>
  <c r="C125" i="6"/>
  <c r="G125" i="6"/>
  <c r="C126" i="6"/>
  <c r="G126" i="6"/>
  <c r="C127" i="6"/>
  <c r="G127" i="6"/>
  <c r="C128" i="6"/>
  <c r="G128" i="6"/>
  <c r="C129" i="6"/>
  <c r="G129" i="6"/>
  <c r="C130" i="6"/>
  <c r="G130" i="6"/>
  <c r="C131" i="6"/>
  <c r="G131" i="6"/>
  <c r="C132" i="6"/>
  <c r="G132" i="6"/>
  <c r="C133" i="6"/>
  <c r="G133" i="6"/>
  <c r="C134" i="6"/>
  <c r="G134" i="6"/>
  <c r="C135" i="6"/>
  <c r="G135" i="6"/>
  <c r="C136" i="6"/>
  <c r="G136" i="6"/>
  <c r="C137" i="6"/>
  <c r="G137" i="6"/>
  <c r="C138" i="6"/>
  <c r="G138" i="6"/>
  <c r="C139" i="6"/>
  <c r="G139" i="6"/>
  <c r="C140" i="6"/>
  <c r="G140" i="6"/>
  <c r="C141" i="6"/>
  <c r="G141" i="6"/>
  <c r="C142" i="6"/>
  <c r="G142" i="6"/>
  <c r="C143" i="6"/>
  <c r="G143" i="6"/>
  <c r="C144" i="6"/>
  <c r="G144" i="6"/>
  <c r="C145" i="6"/>
  <c r="G145" i="6"/>
  <c r="C146" i="6"/>
  <c r="G146" i="6"/>
  <c r="C147" i="6"/>
  <c r="G147" i="6"/>
  <c r="C148" i="6"/>
  <c r="G148" i="6"/>
  <c r="C149" i="6"/>
  <c r="G149" i="6"/>
  <c r="C150" i="6"/>
  <c r="G150" i="6"/>
  <c r="C151" i="6"/>
  <c r="G151" i="6"/>
  <c r="C152" i="6"/>
  <c r="G152" i="6"/>
  <c r="C153" i="6"/>
  <c r="G153" i="6"/>
  <c r="C154" i="6"/>
  <c r="G154" i="6"/>
  <c r="C155" i="6"/>
  <c r="G155" i="6"/>
  <c r="C156" i="6"/>
  <c r="G156" i="6"/>
  <c r="C157" i="6"/>
  <c r="G157" i="6"/>
  <c r="C158" i="6"/>
  <c r="G158" i="6"/>
  <c r="C159" i="6"/>
  <c r="G159" i="6"/>
  <c r="C160" i="6"/>
  <c r="G160" i="6"/>
  <c r="C161" i="6"/>
  <c r="G161" i="6"/>
  <c r="C162" i="6"/>
  <c r="G162" i="6"/>
  <c r="C163" i="6"/>
  <c r="G163" i="6"/>
  <c r="C164" i="6"/>
  <c r="G164" i="6"/>
  <c r="C165" i="6"/>
  <c r="G165" i="6"/>
  <c r="C166" i="6"/>
  <c r="G166" i="6"/>
  <c r="C167" i="6"/>
  <c r="G167" i="6"/>
  <c r="C168" i="6"/>
  <c r="G168" i="6"/>
  <c r="C169" i="6"/>
  <c r="G169" i="6"/>
  <c r="C170" i="6"/>
  <c r="G170" i="6"/>
  <c r="C171" i="6"/>
  <c r="G171" i="6"/>
  <c r="C172" i="6"/>
  <c r="G172" i="6"/>
  <c r="C173" i="6"/>
  <c r="G173" i="6"/>
  <c r="C174" i="6"/>
  <c r="G174" i="6"/>
  <c r="C175" i="6"/>
  <c r="G175" i="6"/>
  <c r="C176" i="6"/>
  <c r="G176" i="6"/>
  <c r="C177" i="6"/>
  <c r="G177" i="6"/>
  <c r="C178" i="6"/>
  <c r="G178" i="6"/>
  <c r="C179" i="6"/>
  <c r="G179" i="6"/>
  <c r="C180" i="6"/>
  <c r="G180" i="6"/>
  <c r="C181" i="6"/>
  <c r="G181" i="6"/>
  <c r="C182" i="6"/>
  <c r="G182" i="6"/>
  <c r="C183" i="6"/>
  <c r="G183" i="6"/>
  <c r="C184" i="6"/>
  <c r="G184" i="6"/>
  <c r="C185" i="6"/>
  <c r="G185" i="6"/>
  <c r="C186" i="6"/>
  <c r="G186" i="6"/>
  <c r="C187" i="6"/>
  <c r="G187" i="6"/>
  <c r="C188" i="6"/>
  <c r="G188" i="6"/>
  <c r="C189" i="6"/>
  <c r="G189" i="6"/>
  <c r="C190" i="6"/>
  <c r="G190" i="6"/>
  <c r="C191" i="6"/>
  <c r="G191" i="6"/>
  <c r="C192" i="6"/>
  <c r="G192" i="6"/>
  <c r="C193" i="6"/>
  <c r="G193" i="6"/>
  <c r="C194" i="6"/>
  <c r="G194" i="6"/>
  <c r="C195" i="6"/>
  <c r="G195" i="6"/>
  <c r="C196" i="6"/>
  <c r="G196" i="6"/>
  <c r="C197" i="6"/>
  <c r="G197" i="6"/>
  <c r="C198" i="6"/>
  <c r="G198" i="6"/>
  <c r="C199" i="6"/>
  <c r="G199" i="6"/>
  <c r="C200" i="6"/>
  <c r="G200" i="6"/>
  <c r="C201" i="6"/>
  <c r="G201" i="6"/>
  <c r="C202" i="6"/>
  <c r="G202" i="6"/>
  <c r="C203" i="6"/>
  <c r="G203" i="6"/>
  <c r="C204" i="6"/>
  <c r="G204" i="6"/>
  <c r="C205" i="6"/>
  <c r="G205" i="6"/>
  <c r="C206" i="6"/>
  <c r="G206" i="6"/>
  <c r="C207" i="6"/>
  <c r="G207" i="6"/>
  <c r="C208" i="6"/>
  <c r="G208" i="6"/>
  <c r="C209" i="6"/>
  <c r="G209" i="6"/>
  <c r="C210" i="6"/>
  <c r="G210" i="6"/>
  <c r="C211" i="6"/>
  <c r="G211" i="6"/>
  <c r="C212" i="6"/>
  <c r="G212" i="6"/>
  <c r="C213" i="6"/>
  <c r="G213" i="6"/>
  <c r="C214" i="6"/>
  <c r="G214" i="6"/>
  <c r="C215" i="6"/>
  <c r="G215" i="6"/>
  <c r="C216" i="6"/>
  <c r="G216" i="6"/>
  <c r="C217" i="6"/>
  <c r="G217" i="6"/>
  <c r="C218" i="6"/>
  <c r="G218" i="6"/>
  <c r="C219" i="6"/>
  <c r="G219" i="6"/>
  <c r="C220" i="6"/>
  <c r="G220" i="6"/>
  <c r="C221" i="6"/>
  <c r="G221" i="6"/>
  <c r="C222" i="6"/>
  <c r="G222" i="6"/>
  <c r="C223" i="6"/>
  <c r="G223" i="6"/>
  <c r="C224" i="6"/>
  <c r="G224" i="6"/>
  <c r="C225" i="6"/>
  <c r="G225" i="6"/>
  <c r="C226" i="6"/>
  <c r="G226" i="6"/>
  <c r="C227" i="6"/>
  <c r="G227" i="6"/>
  <c r="C228" i="6"/>
  <c r="G228" i="6"/>
  <c r="C229" i="6"/>
  <c r="G229" i="6"/>
  <c r="C230" i="6"/>
  <c r="G230" i="6"/>
  <c r="C231" i="6"/>
  <c r="G231" i="6"/>
  <c r="C232" i="6"/>
  <c r="G232" i="6"/>
  <c r="C233" i="6"/>
  <c r="G233" i="6"/>
  <c r="C234" i="6"/>
  <c r="G234" i="6"/>
  <c r="C235" i="6"/>
  <c r="G235" i="6"/>
  <c r="C236" i="6"/>
  <c r="G236" i="6"/>
  <c r="C237" i="6"/>
  <c r="G237" i="6"/>
  <c r="C238" i="6"/>
  <c r="G238" i="6"/>
  <c r="C239" i="6"/>
  <c r="G239" i="6"/>
  <c r="C240" i="6"/>
  <c r="G240" i="6"/>
  <c r="C241" i="6"/>
  <c r="G241" i="6"/>
  <c r="C242" i="6"/>
  <c r="G242" i="6"/>
  <c r="C243" i="6"/>
  <c r="G243" i="6"/>
  <c r="C244" i="6"/>
  <c r="G244" i="6"/>
  <c r="C245" i="6"/>
  <c r="G245" i="6"/>
  <c r="C246" i="6"/>
  <c r="G246" i="6"/>
  <c r="C247" i="6"/>
  <c r="G247" i="6"/>
  <c r="C248" i="6"/>
  <c r="G248" i="6"/>
  <c r="C249" i="6"/>
  <c r="G249" i="6"/>
  <c r="C250" i="6"/>
  <c r="G250" i="6"/>
  <c r="C251" i="6"/>
  <c r="G251" i="6"/>
  <c r="C252" i="6"/>
  <c r="G252" i="6"/>
  <c r="C253" i="6"/>
  <c r="G253" i="6"/>
  <c r="C254" i="6"/>
  <c r="G254" i="6"/>
  <c r="C255" i="6"/>
  <c r="G255" i="6"/>
  <c r="C256" i="6"/>
  <c r="G256" i="6"/>
  <c r="C257" i="6"/>
  <c r="G257" i="6"/>
  <c r="C258" i="6"/>
  <c r="G258" i="6"/>
  <c r="C259" i="6"/>
  <c r="G259" i="6"/>
  <c r="C260" i="6"/>
  <c r="G260" i="6"/>
  <c r="C261" i="6"/>
  <c r="G261" i="6"/>
  <c r="C262" i="6"/>
  <c r="G262" i="6"/>
  <c r="C263" i="6"/>
  <c r="G263" i="6"/>
  <c r="C264" i="6"/>
  <c r="G264" i="6"/>
  <c r="C265" i="6"/>
  <c r="G265" i="6"/>
  <c r="C266" i="6"/>
  <c r="G266" i="6"/>
  <c r="C267" i="6"/>
  <c r="G267" i="6"/>
  <c r="C268" i="6"/>
  <c r="G268" i="6"/>
  <c r="C269" i="6"/>
  <c r="G269" i="6"/>
  <c r="C270" i="6"/>
  <c r="G270" i="6"/>
  <c r="C271" i="6"/>
  <c r="G271" i="6"/>
  <c r="C272" i="6"/>
  <c r="G272" i="6"/>
  <c r="L4" i="6"/>
  <c r="H5" i="6" a="1"/>
  <c r="H5" i="6"/>
  <c r="H11" i="6" a="1"/>
  <c r="H11" i="6"/>
  <c r="H12" i="6" a="1"/>
  <c r="H12" i="6"/>
  <c r="H13" i="6" a="1"/>
  <c r="H13" i="6"/>
  <c r="I13" i="6"/>
  <c r="I12" i="6"/>
  <c r="I11" i="6"/>
  <c r="H10" i="6" a="1"/>
  <c r="H10" i="6"/>
  <c r="I10" i="6"/>
  <c r="H9" i="6" a="1"/>
  <c r="H9" i="6"/>
  <c r="I9" i="6"/>
  <c r="H8" i="6" a="1"/>
  <c r="H8" i="6"/>
  <c r="I8" i="6"/>
  <c r="H7" i="6" a="1"/>
  <c r="H7" i="6"/>
  <c r="I7" i="6"/>
  <c r="H6" i="6" a="1"/>
  <c r="H6" i="6"/>
  <c r="I6" i="6"/>
  <c r="I5" i="6"/>
  <c r="K13" i="6"/>
  <c r="K12" i="6"/>
  <c r="K11" i="6"/>
  <c r="K10" i="6"/>
  <c r="K9" i="6"/>
  <c r="K8" i="6"/>
  <c r="K7" i="6"/>
  <c r="K6" i="6"/>
  <c r="K5" i="6"/>
  <c r="H4" i="6" a="1"/>
  <c r="H4" i="6"/>
  <c r="I4" i="6"/>
  <c r="K4" i="6"/>
  <c r="D12" i="6" a="1"/>
  <c r="D12" i="6"/>
  <c r="D13" i="6" a="1"/>
  <c r="D13" i="6"/>
  <c r="D11" i="6" a="1"/>
  <c r="D11" i="6"/>
  <c r="D10" i="6" a="1"/>
  <c r="D10" i="6"/>
  <c r="D9" i="6" a="1"/>
  <c r="D9" i="6"/>
  <c r="D7" i="6" a="1"/>
  <c r="D7" i="6"/>
  <c r="D8" i="6" a="1"/>
  <c r="D8" i="6"/>
  <c r="D6" i="6" a="1"/>
  <c r="D6" i="6"/>
  <c r="D4" i="6" a="1"/>
  <c r="D4" i="6"/>
  <c r="D5" i="6" a="1"/>
  <c r="D5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L66" i="6"/>
  <c r="L67" i="6"/>
  <c r="L68" i="6"/>
  <c r="L69" i="6"/>
  <c r="L70" i="6"/>
  <c r="L71" i="6"/>
  <c r="L72" i="6"/>
  <c r="L73" i="6"/>
  <c r="L74" i="6"/>
  <c r="L75" i="6"/>
  <c r="L76" i="6"/>
  <c r="L77" i="6"/>
  <c r="L78" i="6"/>
  <c r="L79" i="6"/>
  <c r="L80" i="6"/>
  <c r="L81" i="6"/>
  <c r="L82" i="6"/>
  <c r="L83" i="6"/>
  <c r="L84" i="6"/>
  <c r="L85" i="6"/>
  <c r="L86" i="6"/>
  <c r="L87" i="6"/>
  <c r="L88" i="6"/>
  <c r="L89" i="6"/>
  <c r="L90" i="6"/>
  <c r="L91" i="6"/>
  <c r="L92" i="6"/>
  <c r="L93" i="6"/>
  <c r="L94" i="6"/>
  <c r="L95" i="6"/>
  <c r="L96" i="6"/>
  <c r="L97" i="6"/>
  <c r="L98" i="6"/>
  <c r="L99" i="6"/>
  <c r="L100" i="6"/>
  <c r="L101" i="6"/>
  <c r="L102" i="6"/>
  <c r="L103" i="6"/>
  <c r="L104" i="6"/>
  <c r="L105" i="6"/>
  <c r="L106" i="6"/>
  <c r="L107" i="6"/>
  <c r="L108" i="6"/>
  <c r="L109" i="6"/>
  <c r="L110" i="6"/>
  <c r="L111" i="6"/>
  <c r="L112" i="6"/>
  <c r="L113" i="6"/>
  <c r="L114" i="6"/>
  <c r="L115" i="6"/>
  <c r="L116" i="6"/>
  <c r="L117" i="6"/>
  <c r="L118" i="6"/>
  <c r="L119" i="6"/>
  <c r="L120" i="6"/>
  <c r="L121" i="6"/>
  <c r="L122" i="6"/>
  <c r="L123" i="6"/>
  <c r="L124" i="6"/>
  <c r="L125" i="6"/>
  <c r="L126" i="6"/>
  <c r="L127" i="6"/>
  <c r="L128" i="6"/>
  <c r="L129" i="6"/>
  <c r="L130" i="6"/>
  <c r="L131" i="6"/>
  <c r="L132" i="6"/>
  <c r="L133" i="6"/>
  <c r="L134" i="6"/>
  <c r="L135" i="6"/>
  <c r="L136" i="6"/>
  <c r="L137" i="6"/>
  <c r="L138" i="6"/>
  <c r="L139" i="6"/>
  <c r="L140" i="6"/>
  <c r="L141" i="6"/>
  <c r="L142" i="6"/>
  <c r="L143" i="6"/>
  <c r="L144" i="6"/>
  <c r="L145" i="6"/>
  <c r="L146" i="6"/>
  <c r="L147" i="6"/>
  <c r="L148" i="6"/>
  <c r="L149" i="6"/>
  <c r="L150" i="6"/>
  <c r="L151" i="6"/>
  <c r="L152" i="6"/>
  <c r="L153" i="6"/>
  <c r="L154" i="6"/>
  <c r="L155" i="6"/>
  <c r="L156" i="6"/>
  <c r="L157" i="6"/>
  <c r="L158" i="6"/>
  <c r="L159" i="6"/>
  <c r="L160" i="6"/>
  <c r="L161" i="6"/>
  <c r="L162" i="6"/>
  <c r="L163" i="6"/>
  <c r="L164" i="6"/>
  <c r="L165" i="6"/>
  <c r="L166" i="6"/>
  <c r="L167" i="6"/>
  <c r="L168" i="6"/>
  <c r="L169" i="6"/>
  <c r="L170" i="6"/>
  <c r="L171" i="6"/>
  <c r="L172" i="6"/>
  <c r="L173" i="6"/>
  <c r="L174" i="6"/>
  <c r="L175" i="6"/>
  <c r="L176" i="6"/>
  <c r="L177" i="6"/>
  <c r="L178" i="6"/>
  <c r="L179" i="6"/>
  <c r="L180" i="6"/>
  <c r="L181" i="6"/>
  <c r="L182" i="6"/>
  <c r="L183" i="6"/>
  <c r="L184" i="6"/>
  <c r="L185" i="6"/>
  <c r="L186" i="6"/>
  <c r="L187" i="6"/>
  <c r="L188" i="6"/>
  <c r="L189" i="6"/>
  <c r="L190" i="6"/>
  <c r="L191" i="6"/>
  <c r="L192" i="6"/>
  <c r="L193" i="6"/>
  <c r="L194" i="6"/>
  <c r="L195" i="6"/>
  <c r="L196" i="6"/>
  <c r="L197" i="6"/>
  <c r="L198" i="6"/>
  <c r="L199" i="6"/>
  <c r="L200" i="6"/>
  <c r="L201" i="6"/>
  <c r="L202" i="6"/>
  <c r="L203" i="6"/>
  <c r="L204" i="6"/>
  <c r="L205" i="6"/>
  <c r="L206" i="6"/>
  <c r="L207" i="6"/>
  <c r="L208" i="6"/>
  <c r="L209" i="6"/>
  <c r="L210" i="6"/>
  <c r="L211" i="6"/>
  <c r="L212" i="6"/>
  <c r="L213" i="6"/>
  <c r="L214" i="6"/>
  <c r="L215" i="6"/>
  <c r="L216" i="6"/>
  <c r="L217" i="6"/>
  <c r="L218" i="6"/>
  <c r="L219" i="6"/>
  <c r="L220" i="6"/>
  <c r="L221" i="6"/>
  <c r="L222" i="6"/>
  <c r="L223" i="6"/>
  <c r="L224" i="6"/>
  <c r="L225" i="6"/>
  <c r="L226" i="6"/>
  <c r="L227" i="6"/>
  <c r="L228" i="6"/>
  <c r="L229" i="6"/>
  <c r="L230" i="6"/>
  <c r="L231" i="6"/>
  <c r="L232" i="6"/>
  <c r="L233" i="6"/>
  <c r="L234" i="6"/>
  <c r="L235" i="6"/>
  <c r="L236" i="6"/>
  <c r="L237" i="6"/>
  <c r="L238" i="6"/>
  <c r="L239" i="6"/>
  <c r="L240" i="6"/>
  <c r="L241" i="6"/>
  <c r="L242" i="6"/>
  <c r="L243" i="6"/>
  <c r="L244" i="6"/>
  <c r="L245" i="6"/>
  <c r="L246" i="6"/>
  <c r="L247" i="6"/>
  <c r="L248" i="6"/>
  <c r="L249" i="6"/>
  <c r="L250" i="6"/>
  <c r="L251" i="6"/>
  <c r="L252" i="6"/>
  <c r="L253" i="6"/>
  <c r="L254" i="6"/>
  <c r="L255" i="6"/>
  <c r="L256" i="6"/>
  <c r="L257" i="6"/>
  <c r="L258" i="6"/>
  <c r="L259" i="6"/>
  <c r="L260" i="6"/>
  <c r="L261" i="6"/>
  <c r="L262" i="6"/>
  <c r="L263" i="6"/>
  <c r="L264" i="6"/>
  <c r="L265" i="6"/>
  <c r="L266" i="6"/>
  <c r="L267" i="6"/>
  <c r="L268" i="6"/>
  <c r="L269" i="6"/>
  <c r="L270" i="6"/>
  <c r="L271" i="6"/>
  <c r="L272" i="6"/>
  <c r="O4" i="6"/>
  <c r="P4" i="6"/>
  <c r="S4" i="2"/>
  <c r="Q4" i="6"/>
  <c r="O5" i="6"/>
  <c r="Q5" i="6"/>
  <c r="O6" i="6"/>
  <c r="Q6" i="6"/>
  <c r="O7" i="6"/>
  <c r="Q7" i="6"/>
  <c r="O8" i="6"/>
  <c r="Q8" i="6"/>
  <c r="O9" i="6"/>
  <c r="Q9" i="6"/>
  <c r="O10" i="6"/>
  <c r="Q10" i="6"/>
  <c r="O11" i="6"/>
  <c r="Q11" i="6"/>
  <c r="O12" i="6"/>
  <c r="Q12" i="6"/>
  <c r="O13" i="6"/>
  <c r="Q13" i="6"/>
  <c r="O14" i="6"/>
  <c r="Q14" i="6"/>
  <c r="O15" i="6"/>
  <c r="Q15" i="6"/>
  <c r="O16" i="6"/>
  <c r="Q16" i="6"/>
  <c r="O17" i="6"/>
  <c r="Q17" i="6"/>
  <c r="O18" i="6"/>
  <c r="Q18" i="6"/>
  <c r="O19" i="6"/>
  <c r="Q19" i="6"/>
  <c r="O20" i="6"/>
  <c r="Q20" i="6"/>
  <c r="O21" i="6"/>
  <c r="Q21" i="6"/>
  <c r="O22" i="6"/>
  <c r="Q22" i="6"/>
  <c r="O23" i="6"/>
  <c r="Q23" i="6"/>
  <c r="O24" i="6"/>
  <c r="Q24" i="6"/>
  <c r="O25" i="6"/>
  <c r="Q25" i="6"/>
  <c r="O26" i="6"/>
  <c r="Q26" i="6"/>
  <c r="O27" i="6"/>
  <c r="Q27" i="6"/>
  <c r="O28" i="6"/>
  <c r="Q28" i="6"/>
  <c r="O29" i="6"/>
  <c r="Q29" i="6"/>
  <c r="O30" i="6"/>
  <c r="Q30" i="6"/>
  <c r="O31" i="6"/>
  <c r="Q31" i="6"/>
  <c r="O32" i="6"/>
  <c r="Q32" i="6"/>
  <c r="O33" i="6"/>
  <c r="Q33" i="6"/>
  <c r="O34" i="6"/>
  <c r="Q34" i="6"/>
  <c r="O35" i="6"/>
  <c r="Q35" i="6"/>
  <c r="O36" i="6"/>
  <c r="Q36" i="6"/>
  <c r="O37" i="6"/>
  <c r="Q37" i="6"/>
  <c r="O38" i="6"/>
  <c r="Q38" i="6"/>
  <c r="O39" i="6"/>
  <c r="Q39" i="6"/>
  <c r="O40" i="6"/>
  <c r="Q40" i="6"/>
  <c r="O41" i="6"/>
  <c r="Q41" i="6"/>
  <c r="O42" i="6"/>
  <c r="Q42" i="6"/>
  <c r="O43" i="6"/>
  <c r="Q43" i="6"/>
  <c r="O44" i="6"/>
  <c r="Q44" i="6"/>
  <c r="O45" i="6"/>
  <c r="Q45" i="6"/>
  <c r="O46" i="6"/>
  <c r="Q46" i="6"/>
  <c r="O47" i="6"/>
  <c r="Q47" i="6"/>
  <c r="O48" i="6"/>
  <c r="Q48" i="6"/>
  <c r="O49" i="6"/>
  <c r="Q49" i="6"/>
  <c r="O50" i="6"/>
  <c r="Q50" i="6"/>
  <c r="O51" i="6"/>
  <c r="Q51" i="6"/>
  <c r="O52" i="6"/>
  <c r="Q52" i="6"/>
  <c r="O53" i="6"/>
  <c r="Q53" i="6"/>
  <c r="O54" i="6"/>
  <c r="Q54" i="6"/>
  <c r="O55" i="6"/>
  <c r="Q55" i="6"/>
  <c r="O56" i="6"/>
  <c r="Q56" i="6"/>
  <c r="O57" i="6"/>
  <c r="Q57" i="6"/>
  <c r="O58" i="6"/>
  <c r="Q58" i="6"/>
  <c r="O59" i="6"/>
  <c r="Q59" i="6"/>
  <c r="O60" i="6"/>
  <c r="Q60" i="6"/>
  <c r="O61" i="6"/>
  <c r="Q61" i="6"/>
  <c r="O62" i="6"/>
  <c r="Q62" i="6"/>
  <c r="O63" i="6"/>
  <c r="Q63" i="6"/>
  <c r="O64" i="6"/>
  <c r="Q64" i="6"/>
  <c r="O65" i="6"/>
  <c r="Q65" i="6"/>
  <c r="O66" i="6"/>
  <c r="Q66" i="6"/>
  <c r="O67" i="6"/>
  <c r="Q67" i="6"/>
  <c r="O68" i="6"/>
  <c r="Q68" i="6"/>
  <c r="O69" i="6"/>
  <c r="Q69" i="6"/>
  <c r="O70" i="6"/>
  <c r="Q70" i="6"/>
  <c r="O71" i="6"/>
  <c r="Q71" i="6"/>
  <c r="O72" i="6"/>
  <c r="Q72" i="6"/>
  <c r="O73" i="6"/>
  <c r="Q73" i="6"/>
  <c r="O74" i="6"/>
  <c r="Q74" i="6"/>
  <c r="O75" i="6"/>
  <c r="Q75" i="6"/>
  <c r="O76" i="6"/>
  <c r="Q76" i="6"/>
  <c r="O77" i="6"/>
  <c r="Q77" i="6"/>
  <c r="O78" i="6"/>
  <c r="Q78" i="6"/>
  <c r="O79" i="6"/>
  <c r="Q79" i="6"/>
  <c r="O80" i="6"/>
  <c r="Q80" i="6"/>
  <c r="O81" i="6"/>
  <c r="Q81" i="6"/>
  <c r="O82" i="6"/>
  <c r="Q82" i="6"/>
  <c r="O83" i="6"/>
  <c r="Q83" i="6"/>
  <c r="O84" i="6"/>
  <c r="Q84" i="6"/>
  <c r="O85" i="6"/>
  <c r="Q85" i="6"/>
  <c r="O86" i="6"/>
  <c r="Q86" i="6"/>
  <c r="O87" i="6"/>
  <c r="Q87" i="6"/>
  <c r="O88" i="6"/>
  <c r="Q88" i="6"/>
  <c r="O89" i="6"/>
  <c r="Q89" i="6"/>
  <c r="O90" i="6"/>
  <c r="Q90" i="6"/>
  <c r="O91" i="6"/>
  <c r="Q91" i="6"/>
  <c r="O92" i="6"/>
  <c r="Q92" i="6"/>
  <c r="O93" i="6"/>
  <c r="Q93" i="6"/>
  <c r="O94" i="6"/>
  <c r="Q94" i="6"/>
  <c r="O95" i="6"/>
  <c r="Q95" i="6"/>
  <c r="O96" i="6"/>
  <c r="Q96" i="6"/>
  <c r="O97" i="6"/>
  <c r="Q97" i="6"/>
  <c r="O98" i="6"/>
  <c r="Q98" i="6"/>
  <c r="O99" i="6"/>
  <c r="Q99" i="6"/>
  <c r="O100" i="6"/>
  <c r="Q100" i="6"/>
  <c r="O101" i="6"/>
  <c r="Q101" i="6"/>
  <c r="O102" i="6"/>
  <c r="Q102" i="6"/>
  <c r="O103" i="6"/>
  <c r="Q103" i="6"/>
  <c r="O104" i="6"/>
  <c r="Q104" i="6"/>
  <c r="O105" i="6"/>
  <c r="Q105" i="6"/>
  <c r="O106" i="6"/>
  <c r="Q106" i="6"/>
  <c r="O107" i="6"/>
  <c r="Q107" i="6"/>
  <c r="O108" i="6"/>
  <c r="Q108" i="6"/>
  <c r="O109" i="6"/>
  <c r="Q109" i="6"/>
  <c r="O110" i="6"/>
  <c r="Q110" i="6"/>
  <c r="O111" i="6"/>
  <c r="Q111" i="6"/>
  <c r="O112" i="6"/>
  <c r="Q112" i="6"/>
  <c r="O113" i="6"/>
  <c r="Q113" i="6"/>
  <c r="O114" i="6"/>
  <c r="Q114" i="6"/>
  <c r="O115" i="6"/>
  <c r="Q115" i="6"/>
  <c r="O116" i="6"/>
  <c r="Q116" i="6"/>
  <c r="O117" i="6"/>
  <c r="Q117" i="6"/>
  <c r="O118" i="6"/>
  <c r="Q118" i="6"/>
  <c r="O119" i="6"/>
  <c r="Q119" i="6"/>
  <c r="O120" i="6"/>
  <c r="Q120" i="6"/>
  <c r="O121" i="6"/>
  <c r="Q121" i="6"/>
  <c r="O122" i="6"/>
  <c r="Q122" i="6"/>
  <c r="O123" i="6"/>
  <c r="Q123" i="6"/>
  <c r="O124" i="6"/>
  <c r="Q124" i="6"/>
  <c r="O125" i="6"/>
  <c r="Q125" i="6"/>
  <c r="O126" i="6"/>
  <c r="Q126" i="6"/>
  <c r="O127" i="6"/>
  <c r="Q127" i="6"/>
  <c r="O128" i="6"/>
  <c r="Q128" i="6"/>
  <c r="O129" i="6"/>
  <c r="Q129" i="6"/>
  <c r="O130" i="6"/>
  <c r="Q130" i="6"/>
  <c r="O131" i="6"/>
  <c r="Q131" i="6"/>
  <c r="O132" i="6"/>
  <c r="Q132" i="6"/>
  <c r="O133" i="6"/>
  <c r="Q133" i="6"/>
  <c r="O134" i="6"/>
  <c r="Q134" i="6"/>
  <c r="O135" i="6"/>
  <c r="Q135" i="6"/>
  <c r="O136" i="6"/>
  <c r="Q136" i="6"/>
  <c r="O137" i="6"/>
  <c r="Q137" i="6"/>
  <c r="O138" i="6"/>
  <c r="Q138" i="6"/>
  <c r="O139" i="6"/>
  <c r="Q139" i="6"/>
  <c r="O140" i="6"/>
  <c r="Q140" i="6"/>
  <c r="O141" i="6"/>
  <c r="Q141" i="6"/>
  <c r="O142" i="6"/>
  <c r="Q142" i="6"/>
  <c r="O143" i="6"/>
  <c r="Q143" i="6"/>
  <c r="O144" i="6"/>
  <c r="Q144" i="6"/>
  <c r="O145" i="6"/>
  <c r="Q145" i="6"/>
  <c r="O146" i="6"/>
  <c r="Q146" i="6"/>
  <c r="O147" i="6"/>
  <c r="Q147" i="6"/>
  <c r="O148" i="6"/>
  <c r="Q148" i="6"/>
  <c r="O149" i="6"/>
  <c r="Q149" i="6"/>
  <c r="O150" i="6"/>
  <c r="Q150" i="6"/>
  <c r="O151" i="6"/>
  <c r="Q151" i="6"/>
  <c r="O152" i="6"/>
  <c r="Q152" i="6"/>
  <c r="O153" i="6"/>
  <c r="Q153" i="6"/>
  <c r="O154" i="6"/>
  <c r="Q154" i="6"/>
  <c r="O155" i="6"/>
  <c r="Q155" i="6"/>
  <c r="O156" i="6"/>
  <c r="Q156" i="6"/>
  <c r="O157" i="6"/>
  <c r="Q157" i="6"/>
  <c r="O158" i="6"/>
  <c r="Q158" i="6"/>
  <c r="O159" i="6"/>
  <c r="Q159" i="6"/>
  <c r="O160" i="6"/>
  <c r="Q160" i="6"/>
  <c r="O161" i="6"/>
  <c r="Q161" i="6"/>
  <c r="O162" i="6"/>
  <c r="Q162" i="6"/>
  <c r="O163" i="6"/>
  <c r="Q163" i="6"/>
  <c r="O164" i="6"/>
  <c r="Q164" i="6"/>
  <c r="O165" i="6"/>
  <c r="Q165" i="6"/>
  <c r="O166" i="6"/>
  <c r="Q166" i="6"/>
  <c r="O167" i="6"/>
  <c r="Q167" i="6"/>
  <c r="O168" i="6"/>
  <c r="Q168" i="6"/>
  <c r="O169" i="6"/>
  <c r="Q169" i="6"/>
  <c r="O170" i="6"/>
  <c r="Q170" i="6"/>
  <c r="O171" i="6"/>
  <c r="Q171" i="6"/>
  <c r="O172" i="6"/>
  <c r="Q172" i="6"/>
  <c r="O173" i="6"/>
  <c r="Q173" i="6"/>
  <c r="O174" i="6"/>
  <c r="Q174" i="6"/>
  <c r="O175" i="6"/>
  <c r="Q175" i="6"/>
  <c r="O176" i="6"/>
  <c r="Q176" i="6"/>
  <c r="O177" i="6"/>
  <c r="Q177" i="6"/>
  <c r="O178" i="6"/>
  <c r="Q178" i="6"/>
  <c r="O179" i="6"/>
  <c r="Q179" i="6"/>
  <c r="O180" i="6"/>
  <c r="Q180" i="6"/>
  <c r="O181" i="6"/>
  <c r="Q181" i="6"/>
  <c r="O182" i="6"/>
  <c r="Q182" i="6"/>
  <c r="O183" i="6"/>
  <c r="Q183" i="6"/>
  <c r="O184" i="6"/>
  <c r="Q184" i="6"/>
  <c r="O185" i="6"/>
  <c r="Q185" i="6"/>
  <c r="O186" i="6"/>
  <c r="Q186" i="6"/>
  <c r="O187" i="6"/>
  <c r="Q187" i="6"/>
  <c r="O188" i="6"/>
  <c r="Q188" i="6"/>
  <c r="O189" i="6"/>
  <c r="Q189" i="6"/>
  <c r="O190" i="6"/>
  <c r="Q190" i="6"/>
  <c r="O191" i="6"/>
  <c r="Q191" i="6"/>
  <c r="O192" i="6"/>
  <c r="Q192" i="6"/>
  <c r="O193" i="6"/>
  <c r="Q193" i="6"/>
  <c r="O194" i="6"/>
  <c r="Q194" i="6"/>
  <c r="O195" i="6"/>
  <c r="Q195" i="6"/>
  <c r="O196" i="6"/>
  <c r="Q196" i="6"/>
  <c r="O197" i="6"/>
  <c r="Q197" i="6"/>
  <c r="O198" i="6"/>
  <c r="Q198" i="6"/>
  <c r="O199" i="6"/>
  <c r="Q199" i="6"/>
  <c r="O200" i="6"/>
  <c r="Q200" i="6"/>
  <c r="O201" i="6"/>
  <c r="Q201" i="6"/>
  <c r="O202" i="6"/>
  <c r="Q202" i="6"/>
  <c r="O203" i="6"/>
  <c r="Q203" i="6"/>
  <c r="O204" i="6"/>
  <c r="Q204" i="6"/>
  <c r="O205" i="6"/>
  <c r="Q205" i="6"/>
  <c r="O206" i="6"/>
  <c r="Q206" i="6"/>
  <c r="O207" i="6"/>
  <c r="Q207" i="6"/>
  <c r="O208" i="6"/>
  <c r="Q208" i="6"/>
  <c r="O209" i="6"/>
  <c r="Q209" i="6"/>
  <c r="O210" i="6"/>
  <c r="Q210" i="6"/>
  <c r="O211" i="6"/>
  <c r="Q211" i="6"/>
  <c r="O212" i="6"/>
  <c r="Q212" i="6"/>
  <c r="O213" i="6"/>
  <c r="Q213" i="6"/>
  <c r="O214" i="6"/>
  <c r="Q214" i="6"/>
  <c r="O215" i="6"/>
  <c r="Q215" i="6"/>
  <c r="O216" i="6"/>
  <c r="Q216" i="6"/>
  <c r="O217" i="6"/>
  <c r="Q217" i="6"/>
  <c r="O218" i="6"/>
  <c r="Q218" i="6"/>
  <c r="O219" i="6"/>
  <c r="Q219" i="6"/>
  <c r="O220" i="6"/>
  <c r="Q220" i="6"/>
  <c r="O221" i="6"/>
  <c r="Q221" i="6"/>
  <c r="O222" i="6"/>
  <c r="Q222" i="6"/>
  <c r="O223" i="6"/>
  <c r="Q223" i="6"/>
  <c r="O224" i="6"/>
  <c r="Q224" i="6"/>
  <c r="O225" i="6"/>
  <c r="Q225" i="6"/>
  <c r="O226" i="6"/>
  <c r="Q226" i="6"/>
  <c r="O227" i="6"/>
  <c r="Q227" i="6"/>
  <c r="O228" i="6"/>
  <c r="Q228" i="6"/>
  <c r="O229" i="6"/>
  <c r="Q229" i="6"/>
  <c r="O230" i="6"/>
  <c r="Q230" i="6"/>
  <c r="O231" i="6"/>
  <c r="Q231" i="6"/>
  <c r="O232" i="6"/>
  <c r="Q232" i="6"/>
  <c r="O233" i="6"/>
  <c r="Q233" i="6"/>
  <c r="O234" i="6"/>
  <c r="Q234" i="6"/>
  <c r="O235" i="6"/>
  <c r="Q235" i="6"/>
  <c r="O236" i="6"/>
  <c r="Q236" i="6"/>
  <c r="O237" i="6"/>
  <c r="Q237" i="6"/>
  <c r="O238" i="6"/>
  <c r="Q238" i="6"/>
  <c r="O239" i="6"/>
  <c r="Q239" i="6"/>
  <c r="O240" i="6"/>
  <c r="Q240" i="6"/>
  <c r="O241" i="6"/>
  <c r="Q241" i="6"/>
  <c r="O242" i="6"/>
  <c r="Q242" i="6"/>
  <c r="O243" i="6"/>
  <c r="Q243" i="6"/>
  <c r="O244" i="6"/>
  <c r="Q244" i="6"/>
  <c r="O245" i="6"/>
  <c r="Q245" i="6"/>
  <c r="O246" i="6"/>
  <c r="Q246" i="6"/>
  <c r="O247" i="6"/>
  <c r="Q247" i="6"/>
  <c r="O248" i="6"/>
  <c r="Q248" i="6"/>
  <c r="O249" i="6"/>
  <c r="Q249" i="6"/>
  <c r="O250" i="6"/>
  <c r="Q250" i="6"/>
  <c r="O251" i="6"/>
  <c r="Q251" i="6"/>
  <c r="O252" i="6"/>
  <c r="Q252" i="6"/>
  <c r="O253" i="6"/>
  <c r="Q253" i="6"/>
  <c r="O254" i="6"/>
  <c r="Q254" i="6"/>
  <c r="O255" i="6"/>
  <c r="Q255" i="6"/>
  <c r="O256" i="6"/>
  <c r="Q256" i="6"/>
  <c r="O257" i="6"/>
  <c r="Q257" i="6"/>
  <c r="O258" i="6"/>
  <c r="Q258" i="6"/>
  <c r="O259" i="6"/>
  <c r="Q259" i="6"/>
  <c r="O260" i="6"/>
  <c r="Q260" i="6"/>
  <c r="O261" i="6"/>
  <c r="Q261" i="6"/>
  <c r="O262" i="6"/>
  <c r="Q262" i="6"/>
  <c r="O263" i="6"/>
  <c r="Q263" i="6"/>
  <c r="O264" i="6"/>
  <c r="Q264" i="6"/>
  <c r="O265" i="6"/>
  <c r="Q265" i="6"/>
  <c r="O266" i="6"/>
  <c r="Q266" i="6"/>
  <c r="O267" i="6"/>
  <c r="Q267" i="6"/>
  <c r="O268" i="6"/>
  <c r="Q268" i="6"/>
  <c r="O269" i="6"/>
  <c r="Q269" i="6"/>
  <c r="O270" i="6"/>
  <c r="Q270" i="6"/>
  <c r="O271" i="6"/>
  <c r="Q271" i="6"/>
  <c r="O272" i="6"/>
  <c r="Q272" i="6"/>
  <c r="S3" i="2"/>
  <c r="P12" i="6"/>
  <c r="D14" i="6" a="1"/>
  <c r="D14" i="6"/>
  <c r="P8" i="6"/>
  <c r="P5" i="6"/>
  <c r="P10" i="6"/>
  <c r="P9" i="6"/>
  <c r="P7" i="6"/>
  <c r="P6" i="6"/>
  <c r="P13" i="6"/>
  <c r="S5" i="2"/>
  <c r="P11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42" i="6"/>
  <c r="P43" i="6"/>
  <c r="P44" i="6"/>
  <c r="P45" i="6"/>
  <c r="P46" i="6"/>
  <c r="P47" i="6"/>
  <c r="P48" i="6"/>
  <c r="P49" i="6"/>
  <c r="P50" i="6"/>
  <c r="P51" i="6"/>
  <c r="P52" i="6"/>
  <c r="P53" i="6"/>
  <c r="P54" i="6"/>
  <c r="P55" i="6"/>
  <c r="P56" i="6"/>
  <c r="P57" i="6"/>
  <c r="P58" i="6"/>
  <c r="P59" i="6"/>
  <c r="P60" i="6"/>
  <c r="P61" i="6"/>
  <c r="P62" i="6"/>
  <c r="P63" i="6"/>
  <c r="P64" i="6"/>
  <c r="P65" i="6"/>
  <c r="P66" i="6"/>
  <c r="P67" i="6"/>
  <c r="P68" i="6"/>
  <c r="P69" i="6"/>
  <c r="P70" i="6"/>
  <c r="P71" i="6"/>
  <c r="P72" i="6"/>
  <c r="P73" i="6"/>
  <c r="P74" i="6"/>
  <c r="P75" i="6"/>
  <c r="P76" i="6"/>
  <c r="P77" i="6"/>
  <c r="P78" i="6"/>
  <c r="P79" i="6"/>
  <c r="P80" i="6"/>
  <c r="P81" i="6"/>
  <c r="P82" i="6"/>
  <c r="P83" i="6"/>
  <c r="P84" i="6"/>
  <c r="P85" i="6"/>
  <c r="P86" i="6"/>
  <c r="P87" i="6"/>
  <c r="P88" i="6"/>
  <c r="P89" i="6"/>
  <c r="P90" i="6"/>
  <c r="P91" i="6"/>
  <c r="P92" i="6"/>
  <c r="P93" i="6"/>
  <c r="P94" i="6"/>
  <c r="P95" i="6"/>
  <c r="P96" i="6"/>
  <c r="P97" i="6"/>
  <c r="P98" i="6"/>
  <c r="P99" i="6"/>
  <c r="P100" i="6"/>
  <c r="P101" i="6"/>
  <c r="P102" i="6"/>
  <c r="P103" i="6"/>
  <c r="P104" i="6"/>
  <c r="P105" i="6"/>
  <c r="P106" i="6"/>
  <c r="P107" i="6"/>
  <c r="P108" i="6"/>
  <c r="P109" i="6"/>
  <c r="P110" i="6"/>
  <c r="P111" i="6"/>
  <c r="P112" i="6"/>
  <c r="P113" i="6"/>
  <c r="P114" i="6"/>
  <c r="P115" i="6"/>
  <c r="P116" i="6"/>
  <c r="P117" i="6"/>
  <c r="P118" i="6"/>
  <c r="P119" i="6"/>
  <c r="P120" i="6"/>
  <c r="P121" i="6"/>
  <c r="P122" i="6"/>
  <c r="P123" i="6"/>
  <c r="P124" i="6"/>
  <c r="P125" i="6"/>
  <c r="P126" i="6"/>
  <c r="P127" i="6"/>
  <c r="P128" i="6"/>
  <c r="P129" i="6"/>
  <c r="P130" i="6"/>
  <c r="P131" i="6"/>
  <c r="P132" i="6"/>
  <c r="P133" i="6"/>
  <c r="P134" i="6"/>
  <c r="P135" i="6"/>
  <c r="P136" i="6"/>
  <c r="P137" i="6"/>
  <c r="P138" i="6"/>
  <c r="P139" i="6"/>
  <c r="P140" i="6"/>
  <c r="P141" i="6"/>
  <c r="P142" i="6"/>
  <c r="P143" i="6"/>
  <c r="P144" i="6"/>
  <c r="P145" i="6"/>
  <c r="P146" i="6"/>
  <c r="P147" i="6"/>
  <c r="P148" i="6"/>
  <c r="P149" i="6"/>
  <c r="P150" i="6"/>
  <c r="P151" i="6"/>
  <c r="P152" i="6"/>
  <c r="P153" i="6"/>
  <c r="P154" i="6"/>
  <c r="P155" i="6"/>
  <c r="P156" i="6"/>
  <c r="P157" i="6"/>
  <c r="P158" i="6"/>
  <c r="P159" i="6"/>
  <c r="P160" i="6"/>
  <c r="P161" i="6"/>
  <c r="P162" i="6"/>
  <c r="P163" i="6"/>
  <c r="P164" i="6"/>
  <c r="P165" i="6"/>
  <c r="P166" i="6"/>
  <c r="P167" i="6"/>
  <c r="P168" i="6"/>
  <c r="P169" i="6"/>
  <c r="P170" i="6"/>
  <c r="P171" i="6"/>
  <c r="P172" i="6"/>
  <c r="P173" i="6"/>
  <c r="P174" i="6"/>
  <c r="P175" i="6"/>
  <c r="P176" i="6"/>
  <c r="P177" i="6"/>
  <c r="P178" i="6"/>
  <c r="P179" i="6"/>
  <c r="P180" i="6"/>
  <c r="P181" i="6"/>
  <c r="P182" i="6"/>
  <c r="P183" i="6"/>
  <c r="P184" i="6"/>
  <c r="P185" i="6"/>
  <c r="P186" i="6"/>
  <c r="P187" i="6"/>
  <c r="P188" i="6"/>
  <c r="P189" i="6"/>
  <c r="P190" i="6"/>
  <c r="P191" i="6"/>
  <c r="P192" i="6"/>
  <c r="P193" i="6"/>
  <c r="P194" i="6"/>
  <c r="P195" i="6"/>
  <c r="P196" i="6"/>
  <c r="P197" i="6"/>
  <c r="P198" i="6"/>
  <c r="P199" i="6"/>
  <c r="P200" i="6"/>
  <c r="P201" i="6"/>
  <c r="P202" i="6"/>
  <c r="P203" i="6"/>
  <c r="P204" i="6"/>
  <c r="P205" i="6"/>
  <c r="P206" i="6"/>
  <c r="P207" i="6"/>
  <c r="P208" i="6"/>
  <c r="P209" i="6"/>
  <c r="P210" i="6"/>
  <c r="P211" i="6"/>
  <c r="P212" i="6"/>
  <c r="P213" i="6"/>
  <c r="P214" i="6"/>
  <c r="P215" i="6"/>
  <c r="P216" i="6"/>
  <c r="P217" i="6"/>
  <c r="P218" i="6"/>
  <c r="P219" i="6"/>
  <c r="P220" i="6"/>
  <c r="P221" i="6"/>
  <c r="P222" i="6"/>
  <c r="P223" i="6"/>
  <c r="P224" i="6"/>
  <c r="P225" i="6"/>
  <c r="P226" i="6"/>
  <c r="P227" i="6"/>
  <c r="P228" i="6"/>
  <c r="P229" i="6"/>
  <c r="P230" i="6"/>
  <c r="P231" i="6"/>
  <c r="P232" i="6"/>
  <c r="P233" i="6"/>
  <c r="P234" i="6"/>
  <c r="P235" i="6"/>
  <c r="P236" i="6"/>
  <c r="P237" i="6"/>
  <c r="P238" i="6"/>
  <c r="P239" i="6"/>
  <c r="P240" i="6"/>
  <c r="P241" i="6"/>
  <c r="P242" i="6"/>
  <c r="P243" i="6"/>
  <c r="P244" i="6"/>
  <c r="P245" i="6"/>
  <c r="P246" i="6"/>
  <c r="P247" i="6"/>
  <c r="P248" i="6"/>
  <c r="P249" i="6"/>
  <c r="P250" i="6"/>
  <c r="P251" i="6"/>
  <c r="P252" i="6"/>
  <c r="P253" i="6"/>
  <c r="P254" i="6"/>
  <c r="P255" i="6"/>
  <c r="P256" i="6"/>
  <c r="P257" i="6"/>
  <c r="P258" i="6"/>
  <c r="P259" i="6"/>
  <c r="P260" i="6"/>
  <c r="P261" i="6"/>
  <c r="P262" i="6"/>
  <c r="P263" i="6"/>
  <c r="P264" i="6"/>
  <c r="P265" i="6"/>
  <c r="P266" i="6"/>
  <c r="P267" i="6"/>
  <c r="P268" i="6"/>
  <c r="P269" i="6"/>
  <c r="P270" i="6"/>
  <c r="P271" i="6"/>
  <c r="P272" i="6"/>
  <c r="T6" i="6"/>
  <c r="T4" i="6"/>
  <c r="W6" i="2"/>
  <c r="R5" i="6"/>
  <c r="R4" i="6"/>
  <c r="W5" i="2"/>
  <c r="U6" i="6"/>
  <c r="U4" i="6"/>
  <c r="V6" i="2"/>
  <c r="S5" i="6"/>
  <c r="S4" i="6"/>
  <c r="V5" i="2"/>
  <c r="U5" i="6"/>
  <c r="T5" i="6"/>
  <c r="T7" i="6"/>
  <c r="H14" i="6" a="1"/>
  <c r="H14" i="6"/>
  <c r="T8" i="6"/>
  <c r="T9" i="6"/>
  <c r="T10" i="6"/>
  <c r="T11" i="6"/>
  <c r="T12" i="6"/>
  <c r="T13" i="6"/>
  <c r="T14" i="6"/>
  <c r="T15" i="6"/>
  <c r="T16" i="6"/>
  <c r="T17" i="6"/>
  <c r="T18" i="6"/>
  <c r="T19" i="6"/>
  <c r="T20" i="6"/>
  <c r="T21" i="6"/>
  <c r="T22" i="6"/>
  <c r="T23" i="6"/>
  <c r="T24" i="6"/>
  <c r="T25" i="6"/>
  <c r="T26" i="6"/>
  <c r="T27" i="6"/>
  <c r="T28" i="6"/>
  <c r="T29" i="6"/>
  <c r="T30" i="6"/>
  <c r="T31" i="6"/>
  <c r="T32" i="6"/>
  <c r="T33" i="6"/>
  <c r="T34" i="6"/>
  <c r="T35" i="6"/>
  <c r="T36" i="6"/>
  <c r="T37" i="6"/>
  <c r="T38" i="6"/>
  <c r="T39" i="6"/>
  <c r="T40" i="6"/>
  <c r="T41" i="6"/>
  <c r="T42" i="6"/>
  <c r="T43" i="6"/>
  <c r="T44" i="6"/>
  <c r="T45" i="6"/>
  <c r="T46" i="6"/>
  <c r="T47" i="6"/>
  <c r="T48" i="6"/>
  <c r="T49" i="6"/>
  <c r="T50" i="6"/>
  <c r="T51" i="6"/>
  <c r="T52" i="6"/>
  <c r="T53" i="6"/>
  <c r="T54" i="6"/>
  <c r="T55" i="6"/>
  <c r="T56" i="6"/>
  <c r="T57" i="6"/>
  <c r="T58" i="6"/>
  <c r="T59" i="6"/>
  <c r="T60" i="6"/>
  <c r="T61" i="6"/>
  <c r="T62" i="6"/>
  <c r="T63" i="6"/>
  <c r="T64" i="6"/>
  <c r="T65" i="6"/>
  <c r="T66" i="6"/>
  <c r="T67" i="6"/>
  <c r="T68" i="6"/>
  <c r="T69" i="6"/>
  <c r="T70" i="6"/>
  <c r="T71" i="6"/>
  <c r="T72" i="6"/>
  <c r="T73" i="6"/>
  <c r="T74" i="6"/>
  <c r="T75" i="6"/>
  <c r="T76" i="6"/>
  <c r="T77" i="6"/>
  <c r="T78" i="6"/>
  <c r="T79" i="6"/>
  <c r="T80" i="6"/>
  <c r="T81" i="6"/>
  <c r="T82" i="6"/>
  <c r="T83" i="6"/>
  <c r="T84" i="6"/>
  <c r="T85" i="6"/>
  <c r="T86" i="6"/>
  <c r="T87" i="6"/>
  <c r="T88" i="6"/>
  <c r="T89" i="6"/>
  <c r="T90" i="6"/>
  <c r="T91" i="6"/>
  <c r="T92" i="6"/>
  <c r="T93" i="6"/>
  <c r="T94" i="6"/>
  <c r="T95" i="6"/>
  <c r="T96" i="6"/>
  <c r="T97" i="6"/>
  <c r="T98" i="6"/>
  <c r="T99" i="6"/>
  <c r="T100" i="6"/>
  <c r="T101" i="6"/>
  <c r="T102" i="6"/>
  <c r="T103" i="6"/>
  <c r="T104" i="6"/>
  <c r="T105" i="6"/>
  <c r="T106" i="6"/>
  <c r="T107" i="6"/>
  <c r="T108" i="6"/>
  <c r="T109" i="6"/>
  <c r="T110" i="6"/>
  <c r="T111" i="6"/>
  <c r="T112" i="6"/>
  <c r="T113" i="6"/>
  <c r="T114" i="6"/>
  <c r="T115" i="6"/>
  <c r="T116" i="6"/>
  <c r="T117" i="6"/>
  <c r="T118" i="6"/>
  <c r="T119" i="6"/>
  <c r="T120" i="6"/>
  <c r="T121" i="6"/>
  <c r="T122" i="6"/>
  <c r="T123" i="6"/>
  <c r="T124" i="6"/>
  <c r="T125" i="6"/>
  <c r="T126" i="6"/>
  <c r="T127" i="6"/>
  <c r="T128" i="6"/>
  <c r="T129" i="6"/>
  <c r="T130" i="6"/>
  <c r="T131" i="6"/>
  <c r="T132" i="6"/>
  <c r="T133" i="6"/>
  <c r="T134" i="6"/>
  <c r="T135" i="6"/>
  <c r="T136" i="6"/>
  <c r="T137" i="6"/>
  <c r="T138" i="6"/>
  <c r="T139" i="6"/>
  <c r="T140" i="6"/>
  <c r="T141" i="6"/>
  <c r="T142" i="6"/>
  <c r="T143" i="6"/>
  <c r="T144" i="6"/>
  <c r="T145" i="6"/>
  <c r="T146" i="6"/>
  <c r="T147" i="6"/>
  <c r="T148" i="6"/>
  <c r="T149" i="6"/>
  <c r="T150" i="6"/>
  <c r="T151" i="6"/>
  <c r="T152" i="6"/>
  <c r="T153" i="6"/>
  <c r="T154" i="6"/>
  <c r="T155" i="6"/>
  <c r="T156" i="6"/>
  <c r="T157" i="6"/>
  <c r="T158" i="6"/>
  <c r="T159" i="6"/>
  <c r="T160" i="6"/>
  <c r="T161" i="6"/>
  <c r="T162" i="6"/>
  <c r="T163" i="6"/>
  <c r="T164" i="6"/>
  <c r="T165" i="6"/>
  <c r="T166" i="6"/>
  <c r="T167" i="6"/>
  <c r="T168" i="6"/>
  <c r="T169" i="6"/>
  <c r="T170" i="6"/>
  <c r="T171" i="6"/>
  <c r="T172" i="6"/>
  <c r="T173" i="6"/>
  <c r="T174" i="6"/>
  <c r="T175" i="6"/>
  <c r="T176" i="6"/>
  <c r="T177" i="6"/>
  <c r="T178" i="6"/>
  <c r="T179" i="6"/>
  <c r="T180" i="6"/>
  <c r="T181" i="6"/>
  <c r="T182" i="6"/>
  <c r="T183" i="6"/>
  <c r="T184" i="6"/>
  <c r="T185" i="6"/>
  <c r="T186" i="6"/>
  <c r="T187" i="6"/>
  <c r="T188" i="6"/>
  <c r="T189" i="6"/>
  <c r="T190" i="6"/>
  <c r="T191" i="6"/>
  <c r="T192" i="6"/>
  <c r="T193" i="6"/>
  <c r="T194" i="6"/>
  <c r="T195" i="6"/>
  <c r="T196" i="6"/>
  <c r="T197" i="6"/>
  <c r="T198" i="6"/>
  <c r="T199" i="6"/>
  <c r="T200" i="6"/>
  <c r="T201" i="6"/>
  <c r="T202" i="6"/>
  <c r="T203" i="6"/>
  <c r="T204" i="6"/>
  <c r="T205" i="6"/>
  <c r="T206" i="6"/>
  <c r="T207" i="6"/>
  <c r="T208" i="6"/>
  <c r="T209" i="6"/>
  <c r="T210" i="6"/>
  <c r="T211" i="6"/>
  <c r="T212" i="6"/>
  <c r="T213" i="6"/>
  <c r="T214" i="6"/>
  <c r="T215" i="6"/>
  <c r="T216" i="6"/>
  <c r="T217" i="6"/>
  <c r="T218" i="6"/>
  <c r="T219" i="6"/>
  <c r="T220" i="6"/>
  <c r="T221" i="6"/>
  <c r="T222" i="6"/>
  <c r="T223" i="6"/>
  <c r="T224" i="6"/>
  <c r="T225" i="6"/>
  <c r="T226" i="6"/>
  <c r="T227" i="6"/>
  <c r="T228" i="6"/>
  <c r="T229" i="6"/>
  <c r="T230" i="6"/>
  <c r="T231" i="6"/>
  <c r="T232" i="6"/>
  <c r="T233" i="6"/>
  <c r="T234" i="6"/>
  <c r="T235" i="6"/>
  <c r="T236" i="6"/>
  <c r="T237" i="6"/>
  <c r="T238" i="6"/>
  <c r="T239" i="6"/>
  <c r="T240" i="6"/>
  <c r="T241" i="6"/>
  <c r="T242" i="6"/>
  <c r="T243" i="6"/>
  <c r="T244" i="6"/>
  <c r="T245" i="6"/>
  <c r="T246" i="6"/>
  <c r="T247" i="6"/>
  <c r="T248" i="6"/>
  <c r="T249" i="6"/>
  <c r="T250" i="6"/>
  <c r="T251" i="6"/>
  <c r="T252" i="6"/>
  <c r="T253" i="6"/>
  <c r="T254" i="6"/>
  <c r="T255" i="6"/>
  <c r="T256" i="6"/>
  <c r="T257" i="6"/>
  <c r="T258" i="6"/>
  <c r="T259" i="6"/>
  <c r="T260" i="6"/>
  <c r="T261" i="6"/>
  <c r="T262" i="6"/>
  <c r="T263" i="6"/>
  <c r="T264" i="6"/>
  <c r="T265" i="6"/>
  <c r="T266" i="6"/>
  <c r="T267" i="6"/>
  <c r="T268" i="6"/>
  <c r="T269" i="6"/>
  <c r="T270" i="6"/>
  <c r="T271" i="6"/>
  <c r="T272" i="6"/>
  <c r="U7" i="6"/>
  <c r="I14" i="6"/>
  <c r="U8" i="6"/>
  <c r="U9" i="6"/>
  <c r="U10" i="6"/>
  <c r="U11" i="6"/>
  <c r="U12" i="6"/>
  <c r="U13" i="6"/>
  <c r="U14" i="6"/>
  <c r="U15" i="6"/>
  <c r="U16" i="6"/>
  <c r="U17" i="6"/>
  <c r="U18" i="6"/>
  <c r="U19" i="6"/>
  <c r="U20" i="6"/>
  <c r="U21" i="6"/>
  <c r="U22" i="6"/>
  <c r="U23" i="6"/>
  <c r="U24" i="6"/>
  <c r="U25" i="6"/>
  <c r="U26" i="6"/>
  <c r="U27" i="6"/>
  <c r="U28" i="6"/>
  <c r="U29" i="6"/>
  <c r="U30" i="6"/>
  <c r="U31" i="6"/>
  <c r="U32" i="6"/>
  <c r="U33" i="6"/>
  <c r="U34" i="6"/>
  <c r="U35" i="6"/>
  <c r="U36" i="6"/>
  <c r="U37" i="6"/>
  <c r="U38" i="6"/>
  <c r="U39" i="6"/>
  <c r="U40" i="6"/>
  <c r="U41" i="6"/>
  <c r="U42" i="6"/>
  <c r="U43" i="6"/>
  <c r="U44" i="6"/>
  <c r="U45" i="6"/>
  <c r="U46" i="6"/>
  <c r="U47" i="6"/>
  <c r="U48" i="6"/>
  <c r="U49" i="6"/>
  <c r="U50" i="6"/>
  <c r="U51" i="6"/>
  <c r="U52" i="6"/>
  <c r="U53" i="6"/>
  <c r="U54" i="6"/>
  <c r="U55" i="6"/>
  <c r="U56" i="6"/>
  <c r="U57" i="6"/>
  <c r="U58" i="6"/>
  <c r="U59" i="6"/>
  <c r="U60" i="6"/>
  <c r="U61" i="6"/>
  <c r="U62" i="6"/>
  <c r="U63" i="6"/>
  <c r="U64" i="6"/>
  <c r="U65" i="6"/>
  <c r="U66" i="6"/>
  <c r="U67" i="6"/>
  <c r="U68" i="6"/>
  <c r="U69" i="6"/>
  <c r="U70" i="6"/>
  <c r="U71" i="6"/>
  <c r="U72" i="6"/>
  <c r="U73" i="6"/>
  <c r="U74" i="6"/>
  <c r="U75" i="6"/>
  <c r="U76" i="6"/>
  <c r="U77" i="6"/>
  <c r="U78" i="6"/>
  <c r="U79" i="6"/>
  <c r="U80" i="6"/>
  <c r="U81" i="6"/>
  <c r="U82" i="6"/>
  <c r="U83" i="6"/>
  <c r="U84" i="6"/>
  <c r="U85" i="6"/>
  <c r="U86" i="6"/>
  <c r="U87" i="6"/>
  <c r="U88" i="6"/>
  <c r="U89" i="6"/>
  <c r="U90" i="6"/>
  <c r="U91" i="6"/>
  <c r="U92" i="6"/>
  <c r="U93" i="6"/>
  <c r="U94" i="6"/>
  <c r="U95" i="6"/>
  <c r="U96" i="6"/>
  <c r="U97" i="6"/>
  <c r="U98" i="6"/>
  <c r="U99" i="6"/>
  <c r="U100" i="6"/>
  <c r="U101" i="6"/>
  <c r="U102" i="6"/>
  <c r="U103" i="6"/>
  <c r="U104" i="6"/>
  <c r="U105" i="6"/>
  <c r="U106" i="6"/>
  <c r="U107" i="6"/>
  <c r="U108" i="6"/>
  <c r="U109" i="6"/>
  <c r="U110" i="6"/>
  <c r="U111" i="6"/>
  <c r="U112" i="6"/>
  <c r="U113" i="6"/>
  <c r="U114" i="6"/>
  <c r="U115" i="6"/>
  <c r="U116" i="6"/>
  <c r="U117" i="6"/>
  <c r="U118" i="6"/>
  <c r="U119" i="6"/>
  <c r="U120" i="6"/>
  <c r="U121" i="6"/>
  <c r="U122" i="6"/>
  <c r="U123" i="6"/>
  <c r="U124" i="6"/>
  <c r="U125" i="6"/>
  <c r="U126" i="6"/>
  <c r="U127" i="6"/>
  <c r="U128" i="6"/>
  <c r="U129" i="6"/>
  <c r="U130" i="6"/>
  <c r="U131" i="6"/>
  <c r="U132" i="6"/>
  <c r="U133" i="6"/>
  <c r="U134" i="6"/>
  <c r="U135" i="6"/>
  <c r="U136" i="6"/>
  <c r="U137" i="6"/>
  <c r="U138" i="6"/>
  <c r="U139" i="6"/>
  <c r="U140" i="6"/>
  <c r="U141" i="6"/>
  <c r="U142" i="6"/>
  <c r="U143" i="6"/>
  <c r="U144" i="6"/>
  <c r="U145" i="6"/>
  <c r="U146" i="6"/>
  <c r="U147" i="6"/>
  <c r="U148" i="6"/>
  <c r="U149" i="6"/>
  <c r="U150" i="6"/>
  <c r="U151" i="6"/>
  <c r="U152" i="6"/>
  <c r="U153" i="6"/>
  <c r="U154" i="6"/>
  <c r="U155" i="6"/>
  <c r="U156" i="6"/>
  <c r="U157" i="6"/>
  <c r="U158" i="6"/>
  <c r="U159" i="6"/>
  <c r="U160" i="6"/>
  <c r="U161" i="6"/>
  <c r="U162" i="6"/>
  <c r="U163" i="6"/>
  <c r="U164" i="6"/>
  <c r="U165" i="6"/>
  <c r="U166" i="6"/>
  <c r="U167" i="6"/>
  <c r="U168" i="6"/>
  <c r="U169" i="6"/>
  <c r="U170" i="6"/>
  <c r="U171" i="6"/>
  <c r="U172" i="6"/>
  <c r="U173" i="6"/>
  <c r="U174" i="6"/>
  <c r="U175" i="6"/>
  <c r="U176" i="6"/>
  <c r="U177" i="6"/>
  <c r="U178" i="6"/>
  <c r="U179" i="6"/>
  <c r="U180" i="6"/>
  <c r="U181" i="6"/>
  <c r="U182" i="6"/>
  <c r="U183" i="6"/>
  <c r="U184" i="6"/>
  <c r="U185" i="6"/>
  <c r="U186" i="6"/>
  <c r="U187" i="6"/>
  <c r="U188" i="6"/>
  <c r="U189" i="6"/>
  <c r="U190" i="6"/>
  <c r="U191" i="6"/>
  <c r="U192" i="6"/>
  <c r="U193" i="6"/>
  <c r="U194" i="6"/>
  <c r="U195" i="6"/>
  <c r="U196" i="6"/>
  <c r="U197" i="6"/>
  <c r="U198" i="6"/>
  <c r="U199" i="6"/>
  <c r="U200" i="6"/>
  <c r="U201" i="6"/>
  <c r="U202" i="6"/>
  <c r="U203" i="6"/>
  <c r="U204" i="6"/>
  <c r="U205" i="6"/>
  <c r="U206" i="6"/>
  <c r="U207" i="6"/>
  <c r="U208" i="6"/>
  <c r="U209" i="6"/>
  <c r="U210" i="6"/>
  <c r="U211" i="6"/>
  <c r="U212" i="6"/>
  <c r="U213" i="6"/>
  <c r="U214" i="6"/>
  <c r="U215" i="6"/>
  <c r="U216" i="6"/>
  <c r="U217" i="6"/>
  <c r="U218" i="6"/>
  <c r="U219" i="6"/>
  <c r="U220" i="6"/>
  <c r="U221" i="6"/>
  <c r="U222" i="6"/>
  <c r="U223" i="6"/>
  <c r="U224" i="6"/>
  <c r="U225" i="6"/>
  <c r="U226" i="6"/>
  <c r="U227" i="6"/>
  <c r="U228" i="6"/>
  <c r="U229" i="6"/>
  <c r="U230" i="6"/>
  <c r="U231" i="6"/>
  <c r="U232" i="6"/>
  <c r="U233" i="6"/>
  <c r="U234" i="6"/>
  <c r="U235" i="6"/>
  <c r="U236" i="6"/>
  <c r="U237" i="6"/>
  <c r="U238" i="6"/>
  <c r="U239" i="6"/>
  <c r="U240" i="6"/>
  <c r="U241" i="6"/>
  <c r="U242" i="6"/>
  <c r="U243" i="6"/>
  <c r="U244" i="6"/>
  <c r="U245" i="6"/>
  <c r="U246" i="6"/>
  <c r="U247" i="6"/>
  <c r="U248" i="6"/>
  <c r="U249" i="6"/>
  <c r="U250" i="6"/>
  <c r="U251" i="6"/>
  <c r="U252" i="6"/>
  <c r="U253" i="6"/>
  <c r="U254" i="6"/>
  <c r="U255" i="6"/>
  <c r="U256" i="6"/>
  <c r="U257" i="6"/>
  <c r="U258" i="6"/>
  <c r="U259" i="6"/>
  <c r="U260" i="6"/>
  <c r="U261" i="6"/>
  <c r="U262" i="6"/>
  <c r="U263" i="6"/>
  <c r="U264" i="6"/>
  <c r="U265" i="6"/>
  <c r="U266" i="6"/>
  <c r="U267" i="6"/>
  <c r="U268" i="6"/>
  <c r="U269" i="6"/>
  <c r="U270" i="6"/>
  <c r="U271" i="6"/>
  <c r="U272" i="6"/>
  <c r="H15" i="6" a="1"/>
  <c r="H15" i="6"/>
  <c r="H16" i="6" a="1"/>
  <c r="H16" i="6"/>
  <c r="H17" i="6" a="1"/>
  <c r="H17" i="6"/>
  <c r="H18" i="6" a="1"/>
  <c r="H18" i="6"/>
  <c r="H19" i="6" a="1"/>
  <c r="H19" i="6"/>
  <c r="H20" i="6" a="1"/>
  <c r="H20" i="6"/>
  <c r="H21" i="6" a="1"/>
  <c r="H21" i="6"/>
  <c r="H22" i="6" a="1"/>
  <c r="H22" i="6"/>
  <c r="H23" i="6" a="1"/>
  <c r="H23" i="6"/>
  <c r="H24" i="6" a="1"/>
  <c r="H24" i="6"/>
  <c r="H25" i="6" a="1"/>
  <c r="H25" i="6"/>
  <c r="H26" i="6" a="1"/>
  <c r="H26" i="6"/>
  <c r="H27" i="6" a="1"/>
  <c r="H27" i="6"/>
  <c r="H28" i="6" a="1"/>
  <c r="H28" i="6"/>
  <c r="H29" i="6" a="1"/>
  <c r="H29" i="6"/>
  <c r="H30" i="6" a="1"/>
  <c r="H30" i="6"/>
  <c r="H31" i="6" a="1"/>
  <c r="H31" i="6"/>
  <c r="H32" i="6" a="1"/>
  <c r="H32" i="6"/>
  <c r="H33" i="6" a="1"/>
  <c r="H33" i="6"/>
  <c r="H34" i="6" a="1"/>
  <c r="H34" i="6"/>
  <c r="H35" i="6" a="1"/>
  <c r="H35" i="6"/>
  <c r="H36" i="6" a="1"/>
  <c r="H36" i="6"/>
  <c r="H37" i="6" a="1"/>
  <c r="H37" i="6"/>
  <c r="H38" i="6" a="1"/>
  <c r="H38" i="6"/>
  <c r="H39" i="6" a="1"/>
  <c r="H39" i="6"/>
  <c r="H40" i="6" a="1"/>
  <c r="H40" i="6"/>
  <c r="H41" i="6" a="1"/>
  <c r="H41" i="6"/>
  <c r="H42" i="6" a="1"/>
  <c r="H42" i="6"/>
  <c r="H43" i="6" a="1"/>
  <c r="H43" i="6"/>
  <c r="H44" i="6" a="1"/>
  <c r="H44" i="6"/>
  <c r="H45" i="6" a="1"/>
  <c r="H45" i="6"/>
  <c r="H46" i="6" a="1"/>
  <c r="H46" i="6"/>
  <c r="H47" i="6" a="1"/>
  <c r="H47" i="6"/>
  <c r="H48" i="6" a="1"/>
  <c r="H48" i="6"/>
  <c r="H49" i="6" a="1"/>
  <c r="H49" i="6"/>
  <c r="H50" i="6" a="1"/>
  <c r="H50" i="6"/>
  <c r="H51" i="6" a="1"/>
  <c r="H51" i="6"/>
  <c r="H52" i="6" a="1"/>
  <c r="H52" i="6"/>
  <c r="H53" i="6" a="1"/>
  <c r="H53" i="6"/>
  <c r="H54" i="6" a="1"/>
  <c r="H54" i="6"/>
  <c r="H55" i="6" a="1"/>
  <c r="H55" i="6"/>
  <c r="H56" i="6" a="1"/>
  <c r="H56" i="6"/>
  <c r="H57" i="6" a="1"/>
  <c r="H57" i="6"/>
  <c r="H58" i="6" a="1"/>
  <c r="H58" i="6"/>
  <c r="H59" i="6" a="1"/>
  <c r="H59" i="6"/>
  <c r="H60" i="6" a="1"/>
  <c r="H60" i="6"/>
  <c r="H61" i="6" a="1"/>
  <c r="H61" i="6"/>
  <c r="H62" i="6" a="1"/>
  <c r="H62" i="6"/>
  <c r="H63" i="6" a="1"/>
  <c r="H63" i="6"/>
  <c r="H64" i="6" a="1"/>
  <c r="H64" i="6"/>
  <c r="H65" i="6" a="1"/>
  <c r="H65" i="6"/>
  <c r="H66" i="6" a="1"/>
  <c r="H66" i="6"/>
  <c r="H67" i="6" a="1"/>
  <c r="H67" i="6"/>
  <c r="H68" i="6" a="1"/>
  <c r="H68" i="6"/>
  <c r="H69" i="6" a="1"/>
  <c r="H69" i="6"/>
  <c r="H70" i="6" a="1"/>
  <c r="H70" i="6"/>
  <c r="H71" i="6" a="1"/>
  <c r="H71" i="6"/>
  <c r="H72" i="6" a="1"/>
  <c r="H72" i="6"/>
  <c r="H73" i="6" a="1"/>
  <c r="H73" i="6"/>
  <c r="H74" i="6" a="1"/>
  <c r="H74" i="6"/>
  <c r="H75" i="6" a="1"/>
  <c r="H75" i="6"/>
  <c r="H76" i="6" a="1"/>
  <c r="H76" i="6"/>
  <c r="H77" i="6" a="1"/>
  <c r="H77" i="6"/>
  <c r="H78" i="6" a="1"/>
  <c r="H78" i="6"/>
  <c r="H79" i="6" a="1"/>
  <c r="H79" i="6"/>
  <c r="H80" i="6" a="1"/>
  <c r="H80" i="6"/>
  <c r="H81" i="6" a="1"/>
  <c r="H81" i="6"/>
  <c r="H82" i="6" a="1"/>
  <c r="H82" i="6"/>
  <c r="H83" i="6" a="1"/>
  <c r="H83" i="6"/>
  <c r="H84" i="6" a="1"/>
  <c r="H84" i="6"/>
  <c r="H85" i="6" a="1"/>
  <c r="H85" i="6"/>
  <c r="H86" i="6" a="1"/>
  <c r="H86" i="6"/>
  <c r="H87" i="6" a="1"/>
  <c r="H87" i="6"/>
  <c r="H88" i="6" a="1"/>
  <c r="H88" i="6"/>
  <c r="H89" i="6" a="1"/>
  <c r="H89" i="6"/>
  <c r="H90" i="6" a="1"/>
  <c r="H90" i="6"/>
  <c r="H91" i="6" a="1"/>
  <c r="H91" i="6"/>
  <c r="H92" i="6" a="1"/>
  <c r="H92" i="6"/>
  <c r="H93" i="6" a="1"/>
  <c r="H93" i="6"/>
  <c r="H94" i="6" a="1"/>
  <c r="H94" i="6"/>
  <c r="H95" i="6" a="1"/>
  <c r="H95" i="6"/>
  <c r="H96" i="6" a="1"/>
  <c r="H96" i="6"/>
  <c r="H97" i="6" a="1"/>
  <c r="H97" i="6"/>
  <c r="H98" i="6" a="1"/>
  <c r="H98" i="6"/>
  <c r="H99" i="6" a="1"/>
  <c r="H99" i="6"/>
  <c r="H100" i="6" a="1"/>
  <c r="H100" i="6"/>
  <c r="H101" i="6" a="1"/>
  <c r="H101" i="6"/>
  <c r="H102" i="6" a="1"/>
  <c r="H102" i="6"/>
  <c r="H103" i="6" a="1"/>
  <c r="H103" i="6"/>
  <c r="H104" i="6" a="1"/>
  <c r="H104" i="6"/>
  <c r="H105" i="6" a="1"/>
  <c r="H105" i="6"/>
  <c r="H106" i="6" a="1"/>
  <c r="H106" i="6"/>
  <c r="H107" i="6" a="1"/>
  <c r="H107" i="6"/>
  <c r="H108" i="6" a="1"/>
  <c r="H108" i="6"/>
  <c r="H109" i="6" a="1"/>
  <c r="H109" i="6"/>
  <c r="H110" i="6" a="1"/>
  <c r="H110" i="6"/>
  <c r="H111" i="6" a="1"/>
  <c r="H111" i="6"/>
  <c r="H112" i="6" a="1"/>
  <c r="H112" i="6"/>
  <c r="H113" i="6" a="1"/>
  <c r="H113" i="6"/>
  <c r="H114" i="6" a="1"/>
  <c r="H114" i="6"/>
  <c r="H115" i="6" a="1"/>
  <c r="H115" i="6"/>
  <c r="H116" i="6" a="1"/>
  <c r="H116" i="6"/>
  <c r="H117" i="6" a="1"/>
  <c r="H117" i="6"/>
  <c r="H118" i="6" a="1"/>
  <c r="H118" i="6"/>
  <c r="H119" i="6" a="1"/>
  <c r="H119" i="6"/>
  <c r="H120" i="6" a="1"/>
  <c r="H120" i="6"/>
  <c r="H121" i="6" a="1"/>
  <c r="H121" i="6"/>
  <c r="H122" i="6" a="1"/>
  <c r="H122" i="6"/>
  <c r="H123" i="6" a="1"/>
  <c r="H123" i="6"/>
  <c r="H124" i="6" a="1"/>
  <c r="H124" i="6"/>
  <c r="H125" i="6" a="1"/>
  <c r="H125" i="6"/>
  <c r="H126" i="6" a="1"/>
  <c r="H126" i="6"/>
  <c r="H127" i="6" a="1"/>
  <c r="H127" i="6"/>
  <c r="H128" i="6" a="1"/>
  <c r="H128" i="6"/>
  <c r="H129" i="6" a="1"/>
  <c r="H129" i="6"/>
  <c r="H130" i="6" a="1"/>
  <c r="H130" i="6"/>
  <c r="H131" i="6" a="1"/>
  <c r="H131" i="6"/>
  <c r="H132" i="6" a="1"/>
  <c r="H132" i="6"/>
  <c r="H133" i="6" a="1"/>
  <c r="H133" i="6"/>
  <c r="H134" i="6" a="1"/>
  <c r="H134" i="6"/>
  <c r="H135" i="6" a="1"/>
  <c r="H135" i="6"/>
  <c r="H136" i="6" a="1"/>
  <c r="H136" i="6"/>
  <c r="H137" i="6" a="1"/>
  <c r="H137" i="6"/>
  <c r="H138" i="6" a="1"/>
  <c r="H138" i="6"/>
  <c r="H139" i="6" a="1"/>
  <c r="H139" i="6"/>
  <c r="H140" i="6" a="1"/>
  <c r="H140" i="6"/>
  <c r="H141" i="6" a="1"/>
  <c r="H141" i="6"/>
  <c r="H142" i="6" a="1"/>
  <c r="H142" i="6"/>
  <c r="H143" i="6" a="1"/>
  <c r="H143" i="6"/>
  <c r="H144" i="6" a="1"/>
  <c r="H144" i="6"/>
  <c r="H145" i="6" a="1"/>
  <c r="H145" i="6"/>
  <c r="H146" i="6" a="1"/>
  <c r="H146" i="6"/>
  <c r="H147" i="6" a="1"/>
  <c r="H147" i="6"/>
  <c r="H148" i="6" a="1"/>
  <c r="H148" i="6"/>
  <c r="H149" i="6" a="1"/>
  <c r="H149" i="6"/>
  <c r="H150" i="6" a="1"/>
  <c r="H150" i="6"/>
  <c r="H151" i="6" a="1"/>
  <c r="H151" i="6"/>
  <c r="H152" i="6" a="1"/>
  <c r="H152" i="6"/>
  <c r="H153" i="6" a="1"/>
  <c r="H153" i="6"/>
  <c r="H154" i="6" a="1"/>
  <c r="H154" i="6"/>
  <c r="H155" i="6" a="1"/>
  <c r="H155" i="6"/>
  <c r="H156" i="6" a="1"/>
  <c r="H156" i="6"/>
  <c r="H157" i="6" a="1"/>
  <c r="H157" i="6"/>
  <c r="H158" i="6" a="1"/>
  <c r="H158" i="6"/>
  <c r="H159" i="6" a="1"/>
  <c r="H159" i="6"/>
  <c r="H160" i="6" a="1"/>
  <c r="H160" i="6"/>
  <c r="H161" i="6" a="1"/>
  <c r="H161" i="6"/>
  <c r="H162" i="6" a="1"/>
  <c r="H162" i="6"/>
  <c r="H163" i="6" a="1"/>
  <c r="H163" i="6"/>
  <c r="H164" i="6" a="1"/>
  <c r="H164" i="6"/>
  <c r="H165" i="6" a="1"/>
  <c r="H165" i="6"/>
  <c r="H166" i="6" a="1"/>
  <c r="H166" i="6"/>
  <c r="H167" i="6" a="1"/>
  <c r="H167" i="6"/>
  <c r="H168" i="6" a="1"/>
  <c r="H168" i="6"/>
  <c r="H169" i="6" a="1"/>
  <c r="H169" i="6"/>
  <c r="H170" i="6" a="1"/>
  <c r="H170" i="6"/>
  <c r="H171" i="6" a="1"/>
  <c r="H171" i="6"/>
  <c r="H172" i="6" a="1"/>
  <c r="H172" i="6"/>
  <c r="H173" i="6" a="1"/>
  <c r="H173" i="6"/>
  <c r="H174" i="6" a="1"/>
  <c r="H174" i="6"/>
  <c r="H175" i="6" a="1"/>
  <c r="H175" i="6"/>
  <c r="H176" i="6" a="1"/>
  <c r="H176" i="6"/>
  <c r="H177" i="6" a="1"/>
  <c r="H177" i="6"/>
  <c r="H178" i="6" a="1"/>
  <c r="H178" i="6"/>
  <c r="H179" i="6" a="1"/>
  <c r="H179" i="6"/>
  <c r="H180" i="6" a="1"/>
  <c r="H180" i="6"/>
  <c r="H181" i="6" a="1"/>
  <c r="H181" i="6"/>
  <c r="H182" i="6" a="1"/>
  <c r="H182" i="6"/>
  <c r="H183" i="6" a="1"/>
  <c r="H183" i="6"/>
  <c r="H184" i="6" a="1"/>
  <c r="H184" i="6"/>
  <c r="H185" i="6" a="1"/>
  <c r="H185" i="6"/>
  <c r="H186" i="6" a="1"/>
  <c r="H186" i="6"/>
  <c r="H187" i="6" a="1"/>
  <c r="H187" i="6"/>
  <c r="H188" i="6" a="1"/>
  <c r="H188" i="6"/>
  <c r="H189" i="6" a="1"/>
  <c r="H189" i="6"/>
  <c r="H190" i="6" a="1"/>
  <c r="H190" i="6"/>
  <c r="H191" i="6" a="1"/>
  <c r="H191" i="6"/>
  <c r="H192" i="6" a="1"/>
  <c r="H192" i="6"/>
  <c r="H193" i="6" a="1"/>
  <c r="H193" i="6"/>
  <c r="H194" i="6" a="1"/>
  <c r="H194" i="6"/>
  <c r="H195" i="6" a="1"/>
  <c r="H195" i="6"/>
  <c r="H196" i="6" a="1"/>
  <c r="H196" i="6"/>
  <c r="H197" i="6" a="1"/>
  <c r="H197" i="6"/>
  <c r="H198" i="6" a="1"/>
  <c r="H198" i="6"/>
  <c r="H199" i="6" a="1"/>
  <c r="H199" i="6"/>
  <c r="H200" i="6" a="1"/>
  <c r="H200" i="6"/>
  <c r="H201" i="6" a="1"/>
  <c r="H201" i="6"/>
  <c r="H202" i="6" a="1"/>
  <c r="H202" i="6"/>
  <c r="H203" i="6" a="1"/>
  <c r="H203" i="6"/>
  <c r="H204" i="6" a="1"/>
  <c r="H204" i="6"/>
  <c r="H205" i="6" a="1"/>
  <c r="H205" i="6"/>
  <c r="H206" i="6" a="1"/>
  <c r="H206" i="6"/>
  <c r="H207" i="6" a="1"/>
  <c r="H207" i="6"/>
  <c r="H208" i="6" a="1"/>
  <c r="H208" i="6"/>
  <c r="H209" i="6" a="1"/>
  <c r="H209" i="6"/>
  <c r="H210" i="6" a="1"/>
  <c r="H210" i="6"/>
  <c r="H211" i="6" a="1"/>
  <c r="H211" i="6"/>
  <c r="H212" i="6" a="1"/>
  <c r="H212" i="6"/>
  <c r="H213" i="6" a="1"/>
  <c r="H213" i="6"/>
  <c r="H214" i="6" a="1"/>
  <c r="H214" i="6"/>
  <c r="H215" i="6" a="1"/>
  <c r="H215" i="6"/>
  <c r="H216" i="6" a="1"/>
  <c r="H216" i="6"/>
  <c r="H217" i="6" a="1"/>
  <c r="H217" i="6"/>
  <c r="H218" i="6" a="1"/>
  <c r="H218" i="6"/>
  <c r="H219" i="6" a="1"/>
  <c r="H219" i="6"/>
  <c r="H220" i="6" a="1"/>
  <c r="H220" i="6"/>
  <c r="H221" i="6" a="1"/>
  <c r="H221" i="6"/>
  <c r="H222" i="6" a="1"/>
  <c r="H222" i="6"/>
  <c r="H223" i="6" a="1"/>
  <c r="H223" i="6"/>
  <c r="H224" i="6" a="1"/>
  <c r="H224" i="6"/>
  <c r="H225" i="6" a="1"/>
  <c r="H225" i="6"/>
  <c r="H226" i="6" a="1"/>
  <c r="H226" i="6"/>
  <c r="H227" i="6" a="1"/>
  <c r="H227" i="6"/>
  <c r="H228" i="6" a="1"/>
  <c r="H228" i="6"/>
  <c r="H229" i="6" a="1"/>
  <c r="H229" i="6"/>
  <c r="H230" i="6" a="1"/>
  <c r="H230" i="6"/>
  <c r="H231" i="6" a="1"/>
  <c r="H231" i="6"/>
  <c r="H232" i="6" a="1"/>
  <c r="H232" i="6"/>
  <c r="H233" i="6" a="1"/>
  <c r="H233" i="6"/>
  <c r="H234" i="6" a="1"/>
  <c r="H234" i="6"/>
  <c r="H235" i="6" a="1"/>
  <c r="H235" i="6"/>
  <c r="H236" i="6" a="1"/>
  <c r="H236" i="6"/>
  <c r="H237" i="6" a="1"/>
  <c r="H237" i="6"/>
  <c r="H238" i="6" a="1"/>
  <c r="H238" i="6"/>
  <c r="H239" i="6" a="1"/>
  <c r="H239" i="6"/>
  <c r="H240" i="6" a="1"/>
  <c r="H240" i="6"/>
  <c r="H241" i="6" a="1"/>
  <c r="H241" i="6"/>
  <c r="H242" i="6" a="1"/>
  <c r="H242" i="6"/>
  <c r="H243" i="6" a="1"/>
  <c r="H243" i="6"/>
  <c r="H244" i="6" a="1"/>
  <c r="H244" i="6"/>
  <c r="H245" i="6" a="1"/>
  <c r="H245" i="6"/>
  <c r="H246" i="6" a="1"/>
  <c r="H246" i="6"/>
  <c r="H247" i="6" a="1"/>
  <c r="H247" i="6"/>
  <c r="H248" i="6" a="1"/>
  <c r="H248" i="6"/>
  <c r="H249" i="6" a="1"/>
  <c r="H249" i="6"/>
  <c r="H250" i="6" a="1"/>
  <c r="H250" i="6"/>
  <c r="H251" i="6" a="1"/>
  <c r="H251" i="6"/>
  <c r="H252" i="6" a="1"/>
  <c r="H252" i="6"/>
  <c r="H253" i="6" a="1"/>
  <c r="H253" i="6"/>
  <c r="H254" i="6" a="1"/>
  <c r="H254" i="6"/>
  <c r="H255" i="6" a="1"/>
  <c r="H255" i="6"/>
  <c r="H256" i="6" a="1"/>
  <c r="H256" i="6"/>
  <c r="H257" i="6" a="1"/>
  <c r="H257" i="6"/>
  <c r="H258" i="6" a="1"/>
  <c r="H258" i="6"/>
  <c r="H259" i="6" a="1"/>
  <c r="H259" i="6"/>
  <c r="H260" i="6" a="1"/>
  <c r="H260" i="6"/>
  <c r="H261" i="6" a="1"/>
  <c r="H261" i="6"/>
  <c r="H262" i="6" a="1"/>
  <c r="H262" i="6"/>
  <c r="H263" i="6" a="1"/>
  <c r="H263" i="6"/>
  <c r="H264" i="6" a="1"/>
  <c r="H264" i="6"/>
  <c r="H265" i="6" a="1"/>
  <c r="H265" i="6"/>
  <c r="H266" i="6" a="1"/>
  <c r="H266" i="6"/>
  <c r="H267" i="6" a="1"/>
  <c r="H267" i="6"/>
  <c r="H268" i="6" a="1"/>
  <c r="H268" i="6"/>
  <c r="H269" i="6" a="1"/>
  <c r="H269" i="6"/>
  <c r="H270" i="6" a="1"/>
  <c r="H270" i="6"/>
  <c r="H271" i="6" a="1"/>
  <c r="H271" i="6"/>
  <c r="H272" i="6" a="1"/>
  <c r="H272" i="6"/>
  <c r="E15" i="6" a="1"/>
  <c r="E15" i="6"/>
  <c r="E16" i="6" a="1"/>
  <c r="E16" i="6"/>
  <c r="E17" i="6" a="1"/>
  <c r="E17" i="6"/>
  <c r="E18" i="6" a="1"/>
  <c r="E18" i="6"/>
  <c r="E19" i="6" a="1"/>
  <c r="E19" i="6"/>
  <c r="E20" i="6" a="1"/>
  <c r="E20" i="6"/>
  <c r="E21" i="6" a="1"/>
  <c r="E21" i="6"/>
  <c r="E22" i="6" a="1"/>
  <c r="E22" i="6"/>
  <c r="E23" i="6" a="1"/>
  <c r="E23" i="6"/>
  <c r="E24" i="6" a="1"/>
  <c r="E24" i="6"/>
  <c r="E25" i="6" a="1"/>
  <c r="E25" i="6"/>
  <c r="E26" i="6" a="1"/>
  <c r="E26" i="6"/>
  <c r="E27" i="6" a="1"/>
  <c r="E27" i="6"/>
  <c r="E28" i="6" a="1"/>
  <c r="E28" i="6"/>
  <c r="E29" i="6" a="1"/>
  <c r="E29" i="6"/>
  <c r="E30" i="6" a="1"/>
  <c r="E30" i="6"/>
  <c r="E31" i="6" a="1"/>
  <c r="E31" i="6"/>
  <c r="E32" i="6" a="1"/>
  <c r="E32" i="6"/>
  <c r="E33" i="6" a="1"/>
  <c r="E33" i="6"/>
  <c r="E34" i="6" a="1"/>
  <c r="E34" i="6"/>
  <c r="E35" i="6" a="1"/>
  <c r="E35" i="6"/>
  <c r="E36" i="6" a="1"/>
  <c r="E36" i="6"/>
  <c r="E37" i="6" a="1"/>
  <c r="E37" i="6"/>
  <c r="E38" i="6" a="1"/>
  <c r="E38" i="6"/>
  <c r="E39" i="6" a="1"/>
  <c r="E39" i="6"/>
  <c r="E40" i="6" a="1"/>
  <c r="E40" i="6"/>
  <c r="E41" i="6" a="1"/>
  <c r="E41" i="6"/>
  <c r="E42" i="6" a="1"/>
  <c r="E42" i="6"/>
  <c r="E43" i="6" a="1"/>
  <c r="E43" i="6"/>
  <c r="E44" i="6" a="1"/>
  <c r="E44" i="6"/>
  <c r="E45" i="6" a="1"/>
  <c r="E45" i="6"/>
  <c r="E46" i="6" a="1"/>
  <c r="E46" i="6"/>
  <c r="E47" i="6" a="1"/>
  <c r="E47" i="6"/>
  <c r="E48" i="6" a="1"/>
  <c r="E48" i="6"/>
  <c r="E49" i="6" a="1"/>
  <c r="E49" i="6"/>
  <c r="E50" i="6" a="1"/>
  <c r="E50" i="6"/>
  <c r="E51" i="6" a="1"/>
  <c r="E51" i="6"/>
  <c r="E52" i="6" a="1"/>
  <c r="E52" i="6"/>
  <c r="E53" i="6" a="1"/>
  <c r="E53" i="6"/>
  <c r="E54" i="6" a="1"/>
  <c r="E54" i="6"/>
  <c r="E55" i="6" a="1"/>
  <c r="E55" i="6"/>
  <c r="E56" i="6" a="1"/>
  <c r="E56" i="6"/>
  <c r="E57" i="6" a="1"/>
  <c r="E57" i="6"/>
  <c r="E58" i="6" a="1"/>
  <c r="E58" i="6"/>
  <c r="E59" i="6" a="1"/>
  <c r="E59" i="6"/>
  <c r="E60" i="6" a="1"/>
  <c r="E60" i="6"/>
  <c r="E61" i="6" a="1"/>
  <c r="E61" i="6"/>
  <c r="E62" i="6" a="1"/>
  <c r="E62" i="6"/>
  <c r="E63" i="6" a="1"/>
  <c r="E63" i="6"/>
  <c r="E64" i="6" a="1"/>
  <c r="E64" i="6"/>
  <c r="E65" i="6" a="1"/>
  <c r="E65" i="6"/>
  <c r="E66" i="6" a="1"/>
  <c r="E66" i="6"/>
  <c r="E67" i="6" a="1"/>
  <c r="E67" i="6"/>
  <c r="E68" i="6" a="1"/>
  <c r="E68" i="6"/>
  <c r="E69" i="6" a="1"/>
  <c r="E69" i="6"/>
  <c r="E70" i="6" a="1"/>
  <c r="E70" i="6"/>
  <c r="E71" i="6" a="1"/>
  <c r="E71" i="6"/>
  <c r="E72" i="6" a="1"/>
  <c r="E72" i="6"/>
  <c r="E73" i="6" a="1"/>
  <c r="E73" i="6"/>
  <c r="E74" i="6" a="1"/>
  <c r="E74" i="6"/>
  <c r="E75" i="6" a="1"/>
  <c r="E75" i="6"/>
  <c r="E76" i="6" a="1"/>
  <c r="E76" i="6"/>
  <c r="E77" i="6" a="1"/>
  <c r="E77" i="6"/>
  <c r="E78" i="6" a="1"/>
  <c r="E78" i="6"/>
  <c r="E79" i="6" a="1"/>
  <c r="E79" i="6"/>
  <c r="E80" i="6" a="1"/>
  <c r="E80" i="6"/>
  <c r="E81" i="6" a="1"/>
  <c r="E81" i="6"/>
  <c r="E82" i="6" a="1"/>
  <c r="E82" i="6"/>
  <c r="E83" i="6" a="1"/>
  <c r="E83" i="6"/>
  <c r="E84" i="6" a="1"/>
  <c r="E84" i="6"/>
  <c r="E85" i="6" a="1"/>
  <c r="E85" i="6"/>
  <c r="E86" i="6" a="1"/>
  <c r="E86" i="6"/>
  <c r="E87" i="6" a="1"/>
  <c r="E87" i="6"/>
  <c r="E88" i="6" a="1"/>
  <c r="E88" i="6"/>
  <c r="E89" i="6" a="1"/>
  <c r="E89" i="6"/>
  <c r="E90" i="6" a="1"/>
  <c r="E90" i="6"/>
  <c r="E91" i="6" a="1"/>
  <c r="E91" i="6"/>
  <c r="E92" i="6" a="1"/>
  <c r="E92" i="6"/>
  <c r="E93" i="6" a="1"/>
  <c r="E93" i="6"/>
  <c r="E94" i="6" a="1"/>
  <c r="E94" i="6"/>
  <c r="E95" i="6" a="1"/>
  <c r="E95" i="6"/>
  <c r="E96" i="6" a="1"/>
  <c r="E96" i="6"/>
  <c r="E97" i="6" a="1"/>
  <c r="E97" i="6"/>
  <c r="E98" i="6" a="1"/>
  <c r="E98" i="6"/>
  <c r="E99" i="6" a="1"/>
  <c r="E99" i="6"/>
  <c r="E100" i="6" a="1"/>
  <c r="E100" i="6"/>
  <c r="E101" i="6" a="1"/>
  <c r="E101" i="6"/>
  <c r="E102" i="6" a="1"/>
  <c r="E102" i="6"/>
  <c r="E103" i="6" a="1"/>
  <c r="E103" i="6"/>
  <c r="E104" i="6" a="1"/>
  <c r="E104" i="6"/>
  <c r="E105" i="6" a="1"/>
  <c r="E105" i="6"/>
  <c r="E106" i="6" a="1"/>
  <c r="E106" i="6"/>
  <c r="E107" i="6" a="1"/>
  <c r="E107" i="6"/>
  <c r="E108" i="6" a="1"/>
  <c r="E108" i="6"/>
  <c r="E109" i="6" a="1"/>
  <c r="E109" i="6"/>
  <c r="E110" i="6" a="1"/>
  <c r="E110" i="6"/>
  <c r="E111" i="6" a="1"/>
  <c r="E111" i="6"/>
  <c r="E112" i="6" a="1"/>
  <c r="E112" i="6"/>
  <c r="E113" i="6" a="1"/>
  <c r="E113" i="6"/>
  <c r="E114" i="6" a="1"/>
  <c r="E114" i="6"/>
  <c r="E115" i="6" a="1"/>
  <c r="E115" i="6"/>
  <c r="E116" i="6" a="1"/>
  <c r="E116" i="6"/>
  <c r="E117" i="6" a="1"/>
  <c r="E117" i="6"/>
  <c r="E118" i="6" a="1"/>
  <c r="E118" i="6"/>
  <c r="E119" i="6" a="1"/>
  <c r="E119" i="6"/>
  <c r="E120" i="6" a="1"/>
  <c r="E120" i="6"/>
  <c r="E121" i="6" a="1"/>
  <c r="E121" i="6"/>
  <c r="E122" i="6" a="1"/>
  <c r="E122" i="6"/>
  <c r="E123" i="6" a="1"/>
  <c r="E123" i="6"/>
  <c r="E124" i="6" a="1"/>
  <c r="E124" i="6"/>
  <c r="E125" i="6" a="1"/>
  <c r="E125" i="6"/>
  <c r="E126" i="6" a="1"/>
  <c r="E126" i="6"/>
  <c r="E127" i="6" a="1"/>
  <c r="E127" i="6"/>
  <c r="E128" i="6" a="1"/>
  <c r="E128" i="6"/>
  <c r="E129" i="6" a="1"/>
  <c r="E129" i="6"/>
  <c r="E130" i="6" a="1"/>
  <c r="E130" i="6"/>
  <c r="E131" i="6" a="1"/>
  <c r="E131" i="6"/>
  <c r="E132" i="6" a="1"/>
  <c r="E132" i="6"/>
  <c r="E133" i="6" a="1"/>
  <c r="E133" i="6"/>
  <c r="E134" i="6" a="1"/>
  <c r="E134" i="6"/>
  <c r="E135" i="6" a="1"/>
  <c r="E135" i="6"/>
  <c r="E136" i="6" a="1"/>
  <c r="E136" i="6"/>
  <c r="E137" i="6" a="1"/>
  <c r="E137" i="6"/>
  <c r="E138" i="6" a="1"/>
  <c r="E138" i="6"/>
  <c r="E139" i="6" a="1"/>
  <c r="E139" i="6"/>
  <c r="E140" i="6" a="1"/>
  <c r="E140" i="6"/>
  <c r="E141" i="6" a="1"/>
  <c r="E141" i="6"/>
  <c r="E142" i="6" a="1"/>
  <c r="E142" i="6"/>
  <c r="E143" i="6" a="1"/>
  <c r="E143" i="6"/>
  <c r="E144" i="6" a="1"/>
  <c r="E144" i="6"/>
  <c r="E145" i="6" a="1"/>
  <c r="E145" i="6"/>
  <c r="E146" i="6" a="1"/>
  <c r="E146" i="6"/>
  <c r="E147" i="6" a="1"/>
  <c r="E147" i="6"/>
  <c r="E148" i="6" a="1"/>
  <c r="E148" i="6"/>
  <c r="E149" i="6" a="1"/>
  <c r="E149" i="6"/>
  <c r="E150" i="6" a="1"/>
  <c r="E150" i="6"/>
  <c r="E151" i="6" a="1"/>
  <c r="E151" i="6"/>
  <c r="E152" i="6" a="1"/>
  <c r="E152" i="6"/>
  <c r="E153" i="6" a="1"/>
  <c r="E153" i="6"/>
  <c r="E154" i="6" a="1"/>
  <c r="E154" i="6"/>
  <c r="E155" i="6" a="1"/>
  <c r="E155" i="6"/>
  <c r="E156" i="6" a="1"/>
  <c r="E156" i="6"/>
  <c r="E157" i="6" a="1"/>
  <c r="E157" i="6"/>
  <c r="E158" i="6" a="1"/>
  <c r="E158" i="6"/>
  <c r="E159" i="6" a="1"/>
  <c r="E159" i="6"/>
  <c r="E160" i="6" a="1"/>
  <c r="E160" i="6"/>
  <c r="E161" i="6" a="1"/>
  <c r="E161" i="6"/>
  <c r="E162" i="6" a="1"/>
  <c r="E162" i="6"/>
  <c r="E163" i="6" a="1"/>
  <c r="E163" i="6"/>
  <c r="E164" i="6" a="1"/>
  <c r="E164" i="6"/>
  <c r="E165" i="6" a="1"/>
  <c r="E165" i="6"/>
  <c r="E166" i="6" a="1"/>
  <c r="E166" i="6"/>
  <c r="E167" i="6" a="1"/>
  <c r="E167" i="6"/>
  <c r="E168" i="6" a="1"/>
  <c r="E168" i="6"/>
  <c r="E169" i="6" a="1"/>
  <c r="E169" i="6"/>
  <c r="E170" i="6" a="1"/>
  <c r="E170" i="6"/>
  <c r="E171" i="6" a="1"/>
  <c r="E171" i="6"/>
  <c r="E172" i="6" a="1"/>
  <c r="E172" i="6"/>
  <c r="E173" i="6" a="1"/>
  <c r="E173" i="6"/>
  <c r="E174" i="6" a="1"/>
  <c r="E174" i="6"/>
  <c r="E175" i="6" a="1"/>
  <c r="E175" i="6"/>
  <c r="E176" i="6" a="1"/>
  <c r="E176" i="6"/>
  <c r="E177" i="6" a="1"/>
  <c r="E177" i="6"/>
  <c r="E178" i="6" a="1"/>
  <c r="E178" i="6"/>
  <c r="E179" i="6" a="1"/>
  <c r="E179" i="6"/>
  <c r="E180" i="6" a="1"/>
  <c r="E180" i="6"/>
  <c r="E181" i="6" a="1"/>
  <c r="E181" i="6"/>
  <c r="E182" i="6" a="1"/>
  <c r="E182" i="6"/>
  <c r="E183" i="6" a="1"/>
  <c r="E183" i="6"/>
  <c r="E184" i="6" a="1"/>
  <c r="E184" i="6"/>
  <c r="E185" i="6" a="1"/>
  <c r="E185" i="6"/>
  <c r="E186" i="6" a="1"/>
  <c r="E186" i="6"/>
  <c r="E187" i="6" a="1"/>
  <c r="E187" i="6"/>
  <c r="E188" i="6" a="1"/>
  <c r="E188" i="6"/>
  <c r="E189" i="6" a="1"/>
  <c r="E189" i="6"/>
  <c r="E190" i="6" a="1"/>
  <c r="E190" i="6"/>
  <c r="E191" i="6" a="1"/>
  <c r="E191" i="6"/>
  <c r="E192" i="6" a="1"/>
  <c r="E192" i="6"/>
  <c r="E193" i="6" a="1"/>
  <c r="E193" i="6"/>
  <c r="E194" i="6" a="1"/>
  <c r="E194" i="6"/>
  <c r="E195" i="6" a="1"/>
  <c r="E195" i="6"/>
  <c r="E196" i="6" a="1"/>
  <c r="E196" i="6"/>
  <c r="E197" i="6" a="1"/>
  <c r="E197" i="6"/>
  <c r="E198" i="6" a="1"/>
  <c r="E198" i="6"/>
  <c r="E199" i="6" a="1"/>
  <c r="E199" i="6"/>
  <c r="E200" i="6" a="1"/>
  <c r="E200" i="6"/>
  <c r="E201" i="6" a="1"/>
  <c r="E201" i="6"/>
  <c r="E202" i="6" a="1"/>
  <c r="E202" i="6"/>
  <c r="E203" i="6" a="1"/>
  <c r="E203" i="6"/>
  <c r="E204" i="6" a="1"/>
  <c r="E204" i="6"/>
  <c r="E205" i="6" a="1"/>
  <c r="E205" i="6"/>
  <c r="E206" i="6" a="1"/>
  <c r="E206" i="6"/>
  <c r="E207" i="6" a="1"/>
  <c r="E207" i="6"/>
  <c r="E208" i="6" a="1"/>
  <c r="E208" i="6"/>
  <c r="E209" i="6" a="1"/>
  <c r="E209" i="6"/>
  <c r="E210" i="6" a="1"/>
  <c r="E210" i="6"/>
  <c r="E211" i="6" a="1"/>
  <c r="E211" i="6"/>
  <c r="E212" i="6" a="1"/>
  <c r="E212" i="6"/>
  <c r="E213" i="6" a="1"/>
  <c r="E213" i="6"/>
  <c r="E214" i="6" a="1"/>
  <c r="E214" i="6"/>
  <c r="E215" i="6" a="1"/>
  <c r="E215" i="6"/>
  <c r="E216" i="6" a="1"/>
  <c r="E216" i="6"/>
  <c r="E217" i="6" a="1"/>
  <c r="E217" i="6"/>
  <c r="E218" i="6" a="1"/>
  <c r="E218" i="6"/>
  <c r="E219" i="6" a="1"/>
  <c r="E219" i="6"/>
  <c r="E220" i="6" a="1"/>
  <c r="E220" i="6"/>
  <c r="E221" i="6" a="1"/>
  <c r="E221" i="6"/>
  <c r="E222" i="6" a="1"/>
  <c r="E222" i="6"/>
  <c r="E223" i="6" a="1"/>
  <c r="E223" i="6"/>
  <c r="E224" i="6" a="1"/>
  <c r="E224" i="6"/>
  <c r="E225" i="6" a="1"/>
  <c r="E225" i="6"/>
  <c r="E226" i="6" a="1"/>
  <c r="E226" i="6"/>
  <c r="E227" i="6" a="1"/>
  <c r="E227" i="6"/>
  <c r="E228" i="6" a="1"/>
  <c r="E228" i="6"/>
  <c r="E229" i="6" a="1"/>
  <c r="E229" i="6"/>
  <c r="E230" i="6" a="1"/>
  <c r="E230" i="6"/>
  <c r="E231" i="6" a="1"/>
  <c r="E231" i="6"/>
  <c r="E232" i="6" a="1"/>
  <c r="E232" i="6"/>
  <c r="E233" i="6" a="1"/>
  <c r="E233" i="6"/>
  <c r="E234" i="6" a="1"/>
  <c r="E234" i="6"/>
  <c r="E235" i="6" a="1"/>
  <c r="E235" i="6"/>
  <c r="E236" i="6" a="1"/>
  <c r="E236" i="6"/>
  <c r="E237" i="6" a="1"/>
  <c r="E237" i="6"/>
  <c r="E238" i="6" a="1"/>
  <c r="E238" i="6"/>
  <c r="E239" i="6" a="1"/>
  <c r="E239" i="6"/>
  <c r="E240" i="6" a="1"/>
  <c r="E240" i="6"/>
  <c r="E241" i="6" a="1"/>
  <c r="E241" i="6"/>
  <c r="E242" i="6" a="1"/>
  <c r="E242" i="6"/>
  <c r="E243" i="6" a="1"/>
  <c r="E243" i="6"/>
  <c r="E244" i="6" a="1"/>
  <c r="E244" i="6"/>
  <c r="E245" i="6" a="1"/>
  <c r="E245" i="6"/>
  <c r="E246" i="6" a="1"/>
  <c r="E246" i="6"/>
  <c r="E247" i="6" a="1"/>
  <c r="E247" i="6"/>
  <c r="E248" i="6" a="1"/>
  <c r="E248" i="6"/>
  <c r="E249" i="6" a="1"/>
  <c r="E249" i="6"/>
  <c r="E250" i="6" a="1"/>
  <c r="E250" i="6"/>
  <c r="E251" i="6" a="1"/>
  <c r="E251" i="6"/>
  <c r="E252" i="6" a="1"/>
  <c r="E252" i="6"/>
  <c r="E253" i="6" a="1"/>
  <c r="E253" i="6"/>
  <c r="E254" i="6" a="1"/>
  <c r="E254" i="6"/>
  <c r="E255" i="6" a="1"/>
  <c r="E255" i="6"/>
  <c r="E256" i="6" a="1"/>
  <c r="E256" i="6"/>
  <c r="E257" i="6" a="1"/>
  <c r="E257" i="6"/>
  <c r="E258" i="6" a="1"/>
  <c r="E258" i="6"/>
  <c r="E259" i="6" a="1"/>
  <c r="E259" i="6"/>
  <c r="E260" i="6" a="1"/>
  <c r="E260" i="6"/>
  <c r="E261" i="6" a="1"/>
  <c r="E261" i="6"/>
  <c r="E262" i="6" a="1"/>
  <c r="E262" i="6"/>
  <c r="E263" i="6" a="1"/>
  <c r="E263" i="6"/>
  <c r="E264" i="6" a="1"/>
  <c r="E264" i="6"/>
  <c r="E265" i="6" a="1"/>
  <c r="E265" i="6"/>
  <c r="E266" i="6" a="1"/>
  <c r="E266" i="6"/>
  <c r="E267" i="6" a="1"/>
  <c r="E267" i="6"/>
  <c r="E268" i="6" a="1"/>
  <c r="E268" i="6"/>
  <c r="E269" i="6" a="1"/>
  <c r="E269" i="6"/>
  <c r="E270" i="6" a="1"/>
  <c r="E270" i="6"/>
  <c r="E271" i="6" a="1"/>
  <c r="E271" i="6"/>
  <c r="E272" i="6" a="1"/>
  <c r="E272" i="6"/>
  <c r="V4" i="2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K92" i="6"/>
  <c r="K93" i="6"/>
  <c r="K94" i="6"/>
  <c r="K95" i="6"/>
  <c r="K96" i="6"/>
  <c r="K97" i="6"/>
  <c r="K98" i="6"/>
  <c r="K99" i="6"/>
  <c r="K100" i="6"/>
  <c r="K101" i="6"/>
  <c r="K102" i="6"/>
  <c r="K103" i="6"/>
  <c r="K104" i="6"/>
  <c r="K105" i="6"/>
  <c r="K106" i="6"/>
  <c r="K107" i="6"/>
  <c r="K108" i="6"/>
  <c r="K109" i="6"/>
  <c r="K110" i="6"/>
  <c r="K111" i="6"/>
  <c r="K112" i="6"/>
  <c r="K113" i="6"/>
  <c r="K114" i="6"/>
  <c r="K115" i="6"/>
  <c r="K116" i="6"/>
  <c r="K117" i="6"/>
  <c r="K118" i="6"/>
  <c r="K119" i="6"/>
  <c r="K120" i="6"/>
  <c r="K121" i="6"/>
  <c r="K122" i="6"/>
  <c r="K123" i="6"/>
  <c r="K124" i="6"/>
  <c r="K125" i="6"/>
  <c r="K126" i="6"/>
  <c r="K127" i="6"/>
  <c r="K128" i="6"/>
  <c r="K129" i="6"/>
  <c r="K130" i="6"/>
  <c r="K131" i="6"/>
  <c r="K132" i="6"/>
  <c r="K133" i="6"/>
  <c r="K134" i="6"/>
  <c r="K135" i="6"/>
  <c r="K136" i="6"/>
  <c r="K137" i="6"/>
  <c r="K138" i="6"/>
  <c r="K139" i="6"/>
  <c r="K140" i="6"/>
  <c r="K141" i="6"/>
  <c r="K142" i="6"/>
  <c r="K143" i="6"/>
  <c r="K144" i="6"/>
  <c r="K145" i="6"/>
  <c r="K146" i="6"/>
  <c r="K147" i="6"/>
  <c r="K148" i="6"/>
  <c r="K149" i="6"/>
  <c r="K150" i="6"/>
  <c r="K151" i="6"/>
  <c r="K152" i="6"/>
  <c r="K153" i="6"/>
  <c r="K154" i="6"/>
  <c r="K155" i="6"/>
  <c r="K156" i="6"/>
  <c r="K157" i="6"/>
  <c r="K158" i="6"/>
  <c r="K159" i="6"/>
  <c r="K160" i="6"/>
  <c r="K161" i="6"/>
  <c r="K162" i="6"/>
  <c r="K163" i="6"/>
  <c r="K164" i="6"/>
  <c r="K165" i="6"/>
  <c r="K166" i="6"/>
  <c r="K167" i="6"/>
  <c r="K168" i="6"/>
  <c r="K169" i="6"/>
  <c r="K170" i="6"/>
  <c r="K171" i="6"/>
  <c r="K172" i="6"/>
  <c r="K173" i="6"/>
  <c r="K174" i="6"/>
  <c r="K175" i="6"/>
  <c r="K176" i="6"/>
  <c r="K177" i="6"/>
  <c r="K178" i="6"/>
  <c r="K179" i="6"/>
  <c r="K180" i="6"/>
  <c r="K181" i="6"/>
  <c r="K182" i="6"/>
  <c r="K183" i="6"/>
  <c r="K184" i="6"/>
  <c r="K185" i="6"/>
  <c r="K186" i="6"/>
  <c r="K187" i="6"/>
  <c r="K188" i="6"/>
  <c r="K189" i="6"/>
  <c r="K190" i="6"/>
  <c r="K191" i="6"/>
  <c r="K192" i="6"/>
  <c r="K193" i="6"/>
  <c r="K194" i="6"/>
  <c r="K195" i="6"/>
  <c r="K196" i="6"/>
  <c r="K197" i="6"/>
  <c r="K198" i="6"/>
  <c r="K199" i="6"/>
  <c r="K200" i="6"/>
  <c r="K201" i="6"/>
  <c r="K202" i="6"/>
  <c r="K203" i="6"/>
  <c r="K204" i="6"/>
  <c r="K205" i="6"/>
  <c r="K206" i="6"/>
  <c r="K207" i="6"/>
  <c r="K208" i="6"/>
  <c r="K209" i="6"/>
  <c r="K210" i="6"/>
  <c r="K211" i="6"/>
  <c r="K212" i="6"/>
  <c r="K213" i="6"/>
  <c r="K214" i="6"/>
  <c r="K215" i="6"/>
  <c r="K216" i="6"/>
  <c r="K217" i="6"/>
  <c r="K218" i="6"/>
  <c r="K219" i="6"/>
  <c r="K220" i="6"/>
  <c r="K221" i="6"/>
  <c r="K222" i="6"/>
  <c r="K223" i="6"/>
  <c r="K224" i="6"/>
  <c r="K225" i="6"/>
  <c r="K226" i="6"/>
  <c r="K227" i="6"/>
  <c r="K228" i="6"/>
  <c r="K229" i="6"/>
  <c r="K230" i="6"/>
  <c r="K231" i="6"/>
  <c r="K232" i="6"/>
  <c r="K233" i="6"/>
  <c r="K234" i="6"/>
  <c r="K235" i="6"/>
  <c r="K236" i="6"/>
  <c r="K237" i="6"/>
  <c r="K238" i="6"/>
  <c r="K239" i="6"/>
  <c r="K240" i="6"/>
  <c r="K241" i="6"/>
  <c r="K242" i="6"/>
  <c r="K243" i="6"/>
  <c r="K244" i="6"/>
  <c r="K245" i="6"/>
  <c r="K246" i="6"/>
  <c r="K247" i="6"/>
  <c r="K248" i="6"/>
  <c r="K249" i="6"/>
  <c r="K250" i="6"/>
  <c r="K251" i="6"/>
  <c r="K252" i="6"/>
  <c r="K253" i="6"/>
  <c r="K254" i="6"/>
  <c r="K255" i="6"/>
  <c r="K256" i="6"/>
  <c r="K257" i="6"/>
  <c r="K258" i="6"/>
  <c r="K259" i="6"/>
  <c r="K260" i="6"/>
  <c r="K261" i="6"/>
  <c r="K262" i="6"/>
  <c r="K263" i="6"/>
  <c r="K264" i="6"/>
  <c r="K265" i="6"/>
  <c r="K266" i="6"/>
  <c r="K267" i="6"/>
  <c r="K268" i="6"/>
  <c r="K269" i="6"/>
  <c r="K270" i="6"/>
  <c r="K271" i="6"/>
  <c r="K272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211" i="6"/>
  <c r="I212" i="6"/>
  <c r="I213" i="6"/>
  <c r="I214" i="6"/>
  <c r="I215" i="6"/>
  <c r="I216" i="6"/>
  <c r="I217" i="6"/>
  <c r="I218" i="6"/>
  <c r="I219" i="6"/>
  <c r="I220" i="6"/>
  <c r="I221" i="6"/>
  <c r="I222" i="6"/>
  <c r="I223" i="6"/>
  <c r="I224" i="6"/>
  <c r="I225" i="6"/>
  <c r="I226" i="6"/>
  <c r="I227" i="6"/>
  <c r="I228" i="6"/>
  <c r="I229" i="6"/>
  <c r="I230" i="6"/>
  <c r="I231" i="6"/>
  <c r="I232" i="6"/>
  <c r="I233" i="6"/>
  <c r="I234" i="6"/>
  <c r="I235" i="6"/>
  <c r="I236" i="6"/>
  <c r="I237" i="6"/>
  <c r="I238" i="6"/>
  <c r="I239" i="6"/>
  <c r="I240" i="6"/>
  <c r="I241" i="6"/>
  <c r="I242" i="6"/>
  <c r="I243" i="6"/>
  <c r="I244" i="6"/>
  <c r="I245" i="6"/>
  <c r="I246" i="6"/>
  <c r="I247" i="6"/>
  <c r="I248" i="6"/>
  <c r="I249" i="6"/>
  <c r="I250" i="6"/>
  <c r="I251" i="6"/>
  <c r="I252" i="6"/>
  <c r="I253" i="6"/>
  <c r="I254" i="6"/>
  <c r="I255" i="6"/>
  <c r="I256" i="6"/>
  <c r="I257" i="6"/>
  <c r="I258" i="6"/>
  <c r="I259" i="6"/>
  <c r="I260" i="6"/>
  <c r="I261" i="6"/>
  <c r="I262" i="6"/>
  <c r="I263" i="6"/>
  <c r="I264" i="6"/>
  <c r="I265" i="6"/>
  <c r="I266" i="6"/>
  <c r="I267" i="6"/>
  <c r="I268" i="6"/>
  <c r="I269" i="6"/>
  <c r="I270" i="6"/>
  <c r="I271" i="6"/>
  <c r="I272" i="6"/>
  <c r="D15" i="6" a="1"/>
  <c r="D15" i="6"/>
  <c r="D16" i="6" a="1"/>
  <c r="D16" i="6"/>
  <c r="D17" i="6" a="1"/>
  <c r="D17" i="6"/>
  <c r="D18" i="6" a="1"/>
  <c r="D18" i="6"/>
  <c r="D19" i="6" a="1"/>
  <c r="D19" i="6"/>
  <c r="D20" i="6" a="1"/>
  <c r="D20" i="6"/>
  <c r="D21" i="6" a="1"/>
  <c r="D21" i="6"/>
  <c r="D22" i="6" a="1"/>
  <c r="D22" i="6"/>
  <c r="D23" i="6" a="1"/>
  <c r="D23" i="6"/>
  <c r="D24" i="6" a="1"/>
  <c r="D24" i="6"/>
  <c r="D25" i="6" a="1"/>
  <c r="D25" i="6"/>
  <c r="D26" i="6" a="1"/>
  <c r="D26" i="6"/>
  <c r="D27" i="6" a="1"/>
  <c r="D27" i="6"/>
  <c r="D28" i="6" a="1"/>
  <c r="D28" i="6"/>
  <c r="D29" i="6" a="1"/>
  <c r="D29" i="6"/>
  <c r="D30" i="6" a="1"/>
  <c r="D30" i="6"/>
  <c r="D31" i="6" a="1"/>
  <c r="D31" i="6"/>
  <c r="D32" i="6" a="1"/>
  <c r="D32" i="6"/>
  <c r="D33" i="6" a="1"/>
  <c r="D33" i="6"/>
  <c r="D34" i="6" a="1"/>
  <c r="D34" i="6"/>
  <c r="D35" i="6" a="1"/>
  <c r="D35" i="6"/>
  <c r="D36" i="6" a="1"/>
  <c r="D36" i="6"/>
  <c r="D37" i="6" a="1"/>
  <c r="D37" i="6"/>
  <c r="D38" i="6" a="1"/>
  <c r="D38" i="6"/>
  <c r="D39" i="6" a="1"/>
  <c r="D39" i="6"/>
  <c r="D40" i="6" a="1"/>
  <c r="D40" i="6"/>
  <c r="D41" i="6" a="1"/>
  <c r="D41" i="6"/>
  <c r="D42" i="6" a="1"/>
  <c r="D42" i="6"/>
  <c r="D43" i="6" a="1"/>
  <c r="D43" i="6"/>
  <c r="D44" i="6" a="1"/>
  <c r="D44" i="6"/>
  <c r="D45" i="6" a="1"/>
  <c r="D45" i="6"/>
  <c r="D46" i="6" a="1"/>
  <c r="D46" i="6"/>
  <c r="D47" i="6" a="1"/>
  <c r="D47" i="6"/>
  <c r="D48" i="6" a="1"/>
  <c r="D48" i="6"/>
  <c r="D49" i="6" a="1"/>
  <c r="D49" i="6"/>
  <c r="D50" i="6" a="1"/>
  <c r="D50" i="6"/>
  <c r="D51" i="6" a="1"/>
  <c r="D51" i="6"/>
  <c r="D52" i="6" a="1"/>
  <c r="D52" i="6"/>
  <c r="D53" i="6" a="1"/>
  <c r="D53" i="6"/>
  <c r="D54" i="6" a="1"/>
  <c r="D54" i="6"/>
  <c r="D55" i="6" a="1"/>
  <c r="D55" i="6"/>
  <c r="D56" i="6" a="1"/>
  <c r="D56" i="6"/>
  <c r="D57" i="6" a="1"/>
  <c r="D57" i="6"/>
  <c r="D58" i="6" a="1"/>
  <c r="D58" i="6"/>
  <c r="D59" i="6" a="1"/>
  <c r="D59" i="6"/>
  <c r="D60" i="6" a="1"/>
  <c r="D60" i="6"/>
  <c r="D61" i="6" a="1"/>
  <c r="D61" i="6"/>
  <c r="D62" i="6" a="1"/>
  <c r="D62" i="6"/>
  <c r="D63" i="6" a="1"/>
  <c r="D63" i="6"/>
  <c r="D64" i="6" a="1"/>
  <c r="D64" i="6"/>
  <c r="D65" i="6" a="1"/>
  <c r="D65" i="6"/>
  <c r="D66" i="6" a="1"/>
  <c r="D66" i="6"/>
  <c r="D67" i="6" a="1"/>
  <c r="D67" i="6"/>
  <c r="D68" i="6" a="1"/>
  <c r="D68" i="6"/>
  <c r="D69" i="6" a="1"/>
  <c r="D69" i="6"/>
  <c r="D70" i="6" a="1"/>
  <c r="D70" i="6"/>
  <c r="D71" i="6" a="1"/>
  <c r="D71" i="6"/>
  <c r="D72" i="6" a="1"/>
  <c r="D72" i="6"/>
  <c r="D73" i="6" a="1"/>
  <c r="D73" i="6"/>
  <c r="D74" i="6" a="1"/>
  <c r="D74" i="6"/>
  <c r="D75" i="6" a="1"/>
  <c r="D75" i="6"/>
  <c r="D76" i="6" a="1"/>
  <c r="D76" i="6"/>
  <c r="D77" i="6" a="1"/>
  <c r="D77" i="6"/>
  <c r="D78" i="6" a="1"/>
  <c r="D78" i="6"/>
  <c r="D79" i="6" a="1"/>
  <c r="D79" i="6"/>
  <c r="D80" i="6" a="1"/>
  <c r="D80" i="6"/>
  <c r="D81" i="6" a="1"/>
  <c r="D81" i="6"/>
  <c r="D82" i="6" a="1"/>
  <c r="D82" i="6"/>
  <c r="D83" i="6" a="1"/>
  <c r="D83" i="6"/>
  <c r="D84" i="6" a="1"/>
  <c r="D84" i="6"/>
  <c r="D85" i="6" a="1"/>
  <c r="D85" i="6"/>
  <c r="D86" i="6" a="1"/>
  <c r="D86" i="6"/>
  <c r="D87" i="6" a="1"/>
  <c r="D87" i="6"/>
  <c r="D88" i="6" a="1"/>
  <c r="D88" i="6"/>
  <c r="D89" i="6" a="1"/>
  <c r="D89" i="6"/>
  <c r="D90" i="6" a="1"/>
  <c r="D90" i="6"/>
  <c r="D91" i="6" a="1"/>
  <c r="D91" i="6"/>
  <c r="D92" i="6" a="1"/>
  <c r="D92" i="6"/>
  <c r="D93" i="6" a="1"/>
  <c r="D93" i="6"/>
  <c r="D94" i="6" a="1"/>
  <c r="D94" i="6"/>
  <c r="D95" i="6" a="1"/>
  <c r="D95" i="6"/>
  <c r="D96" i="6" a="1"/>
  <c r="D96" i="6"/>
  <c r="D97" i="6" a="1"/>
  <c r="D97" i="6"/>
  <c r="D98" i="6" a="1"/>
  <c r="D98" i="6"/>
  <c r="D99" i="6" a="1"/>
  <c r="D99" i="6"/>
  <c r="D100" i="6" a="1"/>
  <c r="D100" i="6"/>
  <c r="D101" i="6" a="1"/>
  <c r="D101" i="6"/>
  <c r="D102" i="6" a="1"/>
  <c r="D102" i="6"/>
  <c r="D103" i="6" a="1"/>
  <c r="D103" i="6"/>
  <c r="D104" i="6" a="1"/>
  <c r="D104" i="6"/>
  <c r="D105" i="6" a="1"/>
  <c r="D105" i="6"/>
  <c r="D106" i="6" a="1"/>
  <c r="D106" i="6"/>
  <c r="D107" i="6" a="1"/>
  <c r="D107" i="6"/>
  <c r="D108" i="6" a="1"/>
  <c r="D108" i="6"/>
  <c r="D109" i="6" a="1"/>
  <c r="D109" i="6"/>
  <c r="D110" i="6" a="1"/>
  <c r="D110" i="6"/>
  <c r="D111" i="6" a="1"/>
  <c r="D111" i="6"/>
  <c r="D112" i="6" a="1"/>
  <c r="D112" i="6"/>
  <c r="D113" i="6" a="1"/>
  <c r="D113" i="6"/>
  <c r="D114" i="6" a="1"/>
  <c r="D114" i="6"/>
  <c r="D115" i="6" a="1"/>
  <c r="D115" i="6"/>
  <c r="D116" i="6" a="1"/>
  <c r="D116" i="6"/>
  <c r="D117" i="6" a="1"/>
  <c r="D117" i="6"/>
  <c r="D118" i="6" a="1"/>
  <c r="D118" i="6"/>
  <c r="D119" i="6" a="1"/>
  <c r="D119" i="6"/>
  <c r="D120" i="6" a="1"/>
  <c r="D120" i="6"/>
  <c r="D121" i="6" a="1"/>
  <c r="D121" i="6"/>
  <c r="D122" i="6" a="1"/>
  <c r="D122" i="6"/>
  <c r="D123" i="6" a="1"/>
  <c r="D123" i="6"/>
  <c r="D124" i="6" a="1"/>
  <c r="D124" i="6"/>
  <c r="D125" i="6" a="1"/>
  <c r="D125" i="6"/>
  <c r="D126" i="6" a="1"/>
  <c r="D126" i="6"/>
  <c r="D127" i="6" a="1"/>
  <c r="D127" i="6"/>
  <c r="D128" i="6" a="1"/>
  <c r="D128" i="6"/>
  <c r="D129" i="6" a="1"/>
  <c r="D129" i="6"/>
  <c r="D130" i="6" a="1"/>
  <c r="D130" i="6"/>
  <c r="D131" i="6" a="1"/>
  <c r="D131" i="6"/>
  <c r="D132" i="6" a="1"/>
  <c r="D132" i="6"/>
  <c r="D133" i="6" a="1"/>
  <c r="D133" i="6"/>
  <c r="D134" i="6" a="1"/>
  <c r="D134" i="6"/>
  <c r="D135" i="6" a="1"/>
  <c r="D135" i="6"/>
  <c r="D136" i="6" a="1"/>
  <c r="D136" i="6"/>
  <c r="D137" i="6" a="1"/>
  <c r="D137" i="6"/>
  <c r="D138" i="6" a="1"/>
  <c r="D138" i="6"/>
  <c r="D139" i="6" a="1"/>
  <c r="D139" i="6"/>
  <c r="D140" i="6" a="1"/>
  <c r="D140" i="6"/>
  <c r="D141" i="6" a="1"/>
  <c r="D141" i="6"/>
  <c r="D142" i="6" a="1"/>
  <c r="D142" i="6"/>
  <c r="D143" i="6" a="1"/>
  <c r="D143" i="6"/>
  <c r="D144" i="6" a="1"/>
  <c r="D144" i="6"/>
  <c r="D145" i="6" a="1"/>
  <c r="D145" i="6"/>
  <c r="D146" i="6" a="1"/>
  <c r="D146" i="6"/>
  <c r="D147" i="6" a="1"/>
  <c r="D147" i="6"/>
  <c r="D148" i="6" a="1"/>
  <c r="D148" i="6"/>
  <c r="D149" i="6" a="1"/>
  <c r="D149" i="6"/>
  <c r="D150" i="6" a="1"/>
  <c r="D150" i="6"/>
  <c r="D151" i="6" a="1"/>
  <c r="D151" i="6"/>
  <c r="D152" i="6" a="1"/>
  <c r="D152" i="6"/>
  <c r="D153" i="6" a="1"/>
  <c r="D153" i="6"/>
  <c r="D154" i="6" a="1"/>
  <c r="D154" i="6"/>
  <c r="D155" i="6" a="1"/>
  <c r="D155" i="6"/>
  <c r="D156" i="6" a="1"/>
  <c r="D156" i="6"/>
  <c r="D157" i="6" a="1"/>
  <c r="D157" i="6"/>
  <c r="D158" i="6" a="1"/>
  <c r="D158" i="6"/>
  <c r="D159" i="6" a="1"/>
  <c r="D159" i="6"/>
  <c r="D160" i="6" a="1"/>
  <c r="D160" i="6"/>
  <c r="D161" i="6" a="1"/>
  <c r="D161" i="6"/>
  <c r="D162" i="6" a="1"/>
  <c r="D162" i="6"/>
  <c r="D163" i="6" a="1"/>
  <c r="D163" i="6"/>
  <c r="D164" i="6" a="1"/>
  <c r="D164" i="6"/>
  <c r="D165" i="6" a="1"/>
  <c r="D165" i="6"/>
  <c r="D166" i="6" a="1"/>
  <c r="D166" i="6"/>
  <c r="D167" i="6" a="1"/>
  <c r="D167" i="6"/>
  <c r="D168" i="6" a="1"/>
  <c r="D168" i="6"/>
  <c r="D169" i="6" a="1"/>
  <c r="D169" i="6"/>
  <c r="D170" i="6" a="1"/>
  <c r="D170" i="6"/>
  <c r="D171" i="6" a="1"/>
  <c r="D171" i="6"/>
  <c r="D172" i="6" a="1"/>
  <c r="D172" i="6"/>
  <c r="D173" i="6" a="1"/>
  <c r="D173" i="6"/>
  <c r="D174" i="6" a="1"/>
  <c r="D174" i="6"/>
  <c r="D175" i="6" a="1"/>
  <c r="D175" i="6"/>
  <c r="D176" i="6" a="1"/>
  <c r="D176" i="6"/>
  <c r="D177" i="6" a="1"/>
  <c r="D177" i="6"/>
  <c r="D178" i="6" a="1"/>
  <c r="D178" i="6"/>
  <c r="D179" i="6" a="1"/>
  <c r="D179" i="6"/>
  <c r="D180" i="6" a="1"/>
  <c r="D180" i="6"/>
  <c r="D181" i="6" a="1"/>
  <c r="D181" i="6"/>
  <c r="D182" i="6" a="1"/>
  <c r="D182" i="6"/>
  <c r="D183" i="6" a="1"/>
  <c r="D183" i="6"/>
  <c r="D184" i="6" a="1"/>
  <c r="D184" i="6"/>
  <c r="D185" i="6" a="1"/>
  <c r="D185" i="6"/>
  <c r="D186" i="6" a="1"/>
  <c r="D186" i="6"/>
  <c r="D187" i="6" a="1"/>
  <c r="D187" i="6"/>
  <c r="D188" i="6" a="1"/>
  <c r="D188" i="6"/>
  <c r="D189" i="6" a="1"/>
  <c r="D189" i="6"/>
  <c r="D190" i="6" a="1"/>
  <c r="D190" i="6"/>
  <c r="D191" i="6" a="1"/>
  <c r="D191" i="6"/>
  <c r="D192" i="6" a="1"/>
  <c r="D192" i="6"/>
  <c r="D193" i="6" a="1"/>
  <c r="D193" i="6"/>
  <c r="D194" i="6" a="1"/>
  <c r="D194" i="6"/>
  <c r="D195" i="6" a="1"/>
  <c r="D195" i="6"/>
  <c r="D196" i="6" a="1"/>
  <c r="D196" i="6"/>
  <c r="D197" i="6" a="1"/>
  <c r="D197" i="6"/>
  <c r="D198" i="6" a="1"/>
  <c r="D198" i="6"/>
  <c r="D199" i="6" a="1"/>
  <c r="D199" i="6"/>
  <c r="D200" i="6" a="1"/>
  <c r="D200" i="6"/>
  <c r="D201" i="6" a="1"/>
  <c r="D201" i="6"/>
  <c r="D202" i="6" a="1"/>
  <c r="D202" i="6"/>
  <c r="D203" i="6" a="1"/>
  <c r="D203" i="6"/>
  <c r="D204" i="6" a="1"/>
  <c r="D204" i="6"/>
  <c r="D205" i="6" a="1"/>
  <c r="D205" i="6"/>
  <c r="D206" i="6" a="1"/>
  <c r="D206" i="6"/>
  <c r="D207" i="6" a="1"/>
  <c r="D207" i="6"/>
  <c r="D208" i="6" a="1"/>
  <c r="D208" i="6"/>
  <c r="D209" i="6" a="1"/>
  <c r="D209" i="6"/>
  <c r="D210" i="6" a="1"/>
  <c r="D210" i="6"/>
  <c r="D211" i="6" a="1"/>
  <c r="D211" i="6"/>
  <c r="D212" i="6" a="1"/>
  <c r="D212" i="6"/>
  <c r="D213" i="6" a="1"/>
  <c r="D213" i="6"/>
  <c r="D214" i="6" a="1"/>
  <c r="D214" i="6"/>
  <c r="D215" i="6" a="1"/>
  <c r="D215" i="6"/>
  <c r="D216" i="6" a="1"/>
  <c r="D216" i="6"/>
  <c r="D217" i="6" a="1"/>
  <c r="D217" i="6"/>
  <c r="D218" i="6" a="1"/>
  <c r="D218" i="6"/>
  <c r="D219" i="6" a="1"/>
  <c r="D219" i="6"/>
  <c r="D220" i="6" a="1"/>
  <c r="D220" i="6"/>
  <c r="D221" i="6" a="1"/>
  <c r="D221" i="6"/>
  <c r="D222" i="6" a="1"/>
  <c r="D222" i="6"/>
  <c r="D223" i="6" a="1"/>
  <c r="D223" i="6"/>
  <c r="D224" i="6" a="1"/>
  <c r="D224" i="6"/>
  <c r="D225" i="6" a="1"/>
  <c r="D225" i="6"/>
  <c r="D226" i="6" a="1"/>
  <c r="D226" i="6"/>
  <c r="D227" i="6" a="1"/>
  <c r="D227" i="6"/>
  <c r="D228" i="6" a="1"/>
  <c r="D228" i="6"/>
  <c r="D229" i="6" a="1"/>
  <c r="D229" i="6"/>
  <c r="D230" i="6" a="1"/>
  <c r="D230" i="6"/>
  <c r="D231" i="6" a="1"/>
  <c r="D231" i="6"/>
  <c r="D232" i="6" a="1"/>
  <c r="D232" i="6"/>
  <c r="D233" i="6" a="1"/>
  <c r="D233" i="6"/>
  <c r="D234" i="6" a="1"/>
  <c r="D234" i="6"/>
  <c r="D235" i="6" a="1"/>
  <c r="D235" i="6"/>
  <c r="D236" i="6" a="1"/>
  <c r="D236" i="6"/>
  <c r="D237" i="6" a="1"/>
  <c r="D237" i="6"/>
  <c r="D238" i="6" a="1"/>
  <c r="D238" i="6"/>
  <c r="D239" i="6" a="1"/>
  <c r="D239" i="6"/>
  <c r="D240" i="6" a="1"/>
  <c r="D240" i="6"/>
  <c r="D241" i="6" a="1"/>
  <c r="D241" i="6"/>
  <c r="D242" i="6" a="1"/>
  <c r="D242" i="6"/>
  <c r="D243" i="6" a="1"/>
  <c r="D243" i="6"/>
  <c r="D244" i="6" a="1"/>
  <c r="D244" i="6"/>
  <c r="D245" i="6" a="1"/>
  <c r="D245" i="6"/>
  <c r="D246" i="6" a="1"/>
  <c r="D246" i="6"/>
  <c r="D247" i="6" a="1"/>
  <c r="D247" i="6"/>
  <c r="D248" i="6" a="1"/>
  <c r="D248" i="6"/>
  <c r="D249" i="6" a="1"/>
  <c r="D249" i="6"/>
  <c r="D250" i="6" a="1"/>
  <c r="D250" i="6"/>
  <c r="D251" i="6" a="1"/>
  <c r="D251" i="6"/>
  <c r="D252" i="6" a="1"/>
  <c r="D252" i="6"/>
  <c r="D253" i="6" a="1"/>
  <c r="D253" i="6"/>
  <c r="D254" i="6" a="1"/>
  <c r="D254" i="6"/>
  <c r="D255" i="6" a="1"/>
  <c r="D255" i="6"/>
  <c r="D256" i="6" a="1"/>
  <c r="D256" i="6"/>
  <c r="D257" i="6" a="1"/>
  <c r="D257" i="6"/>
  <c r="D258" i="6" a="1"/>
  <c r="D258" i="6"/>
  <c r="D259" i="6" a="1"/>
  <c r="D259" i="6"/>
  <c r="D260" i="6" a="1"/>
  <c r="D260" i="6"/>
  <c r="D261" i="6" a="1"/>
  <c r="D261" i="6"/>
  <c r="D262" i="6" a="1"/>
  <c r="D262" i="6"/>
  <c r="D263" i="6" a="1"/>
  <c r="D263" i="6"/>
  <c r="D264" i="6" a="1"/>
  <c r="D264" i="6"/>
  <c r="D265" i="6" a="1"/>
  <c r="D265" i="6"/>
  <c r="D266" i="6" a="1"/>
  <c r="D266" i="6"/>
  <c r="D267" i="6" a="1"/>
  <c r="D267" i="6"/>
  <c r="D268" i="6" a="1"/>
  <c r="D268" i="6"/>
  <c r="D269" i="6" a="1"/>
  <c r="D269" i="6"/>
  <c r="D270" i="6" a="1"/>
  <c r="D270" i="6"/>
  <c r="D271" i="6" a="1"/>
  <c r="D271" i="6"/>
  <c r="D272" i="6" a="1"/>
  <c r="D272" i="6"/>
  <c r="R272" i="6"/>
  <c r="R271" i="6"/>
  <c r="R270" i="6"/>
  <c r="R269" i="6"/>
  <c r="R268" i="6"/>
  <c r="R267" i="6"/>
  <c r="R266" i="6"/>
  <c r="R265" i="6"/>
  <c r="R264" i="6"/>
  <c r="R263" i="6"/>
  <c r="R262" i="6"/>
  <c r="R261" i="6"/>
  <c r="R260" i="6"/>
  <c r="R259" i="6"/>
  <c r="R258" i="6"/>
  <c r="R257" i="6"/>
  <c r="R256" i="6"/>
  <c r="R255" i="6"/>
  <c r="R254" i="6"/>
  <c r="R253" i="6"/>
  <c r="R252" i="6"/>
  <c r="R251" i="6"/>
  <c r="R250" i="6"/>
  <c r="R249" i="6"/>
  <c r="R248" i="6"/>
  <c r="R247" i="6"/>
  <c r="R246" i="6"/>
  <c r="R245" i="6"/>
  <c r="R244" i="6"/>
  <c r="R243" i="6"/>
  <c r="R242" i="6"/>
  <c r="R241" i="6"/>
  <c r="R240" i="6"/>
  <c r="R239" i="6"/>
  <c r="R238" i="6"/>
  <c r="R237" i="6"/>
  <c r="R236" i="6"/>
  <c r="R235" i="6"/>
  <c r="R234" i="6"/>
  <c r="R233" i="6"/>
  <c r="R232" i="6"/>
  <c r="R231" i="6"/>
  <c r="R230" i="6"/>
  <c r="R229" i="6"/>
  <c r="R228" i="6"/>
  <c r="R227" i="6"/>
  <c r="R226" i="6"/>
  <c r="R225" i="6"/>
  <c r="R224" i="6"/>
  <c r="R223" i="6"/>
  <c r="R222" i="6"/>
  <c r="R221" i="6"/>
  <c r="R220" i="6"/>
  <c r="R219" i="6"/>
  <c r="R218" i="6"/>
  <c r="R217" i="6"/>
  <c r="R216" i="6"/>
  <c r="R215" i="6"/>
  <c r="R214" i="6"/>
  <c r="R213" i="6"/>
  <c r="R212" i="6"/>
  <c r="R211" i="6"/>
  <c r="R210" i="6"/>
  <c r="R209" i="6"/>
  <c r="R208" i="6"/>
  <c r="R207" i="6"/>
  <c r="R206" i="6"/>
  <c r="R205" i="6"/>
  <c r="R204" i="6"/>
  <c r="R203" i="6"/>
  <c r="R202" i="6"/>
  <c r="R201" i="6"/>
  <c r="R200" i="6"/>
  <c r="R199" i="6"/>
  <c r="R198" i="6"/>
  <c r="R197" i="6"/>
  <c r="R196" i="6"/>
  <c r="R195" i="6"/>
  <c r="R194" i="6"/>
  <c r="R193" i="6"/>
  <c r="R192" i="6"/>
  <c r="R191" i="6"/>
  <c r="R190" i="6"/>
  <c r="R189" i="6"/>
  <c r="R188" i="6"/>
  <c r="R187" i="6"/>
  <c r="R186" i="6"/>
  <c r="R185" i="6"/>
  <c r="R184" i="6"/>
  <c r="R183" i="6"/>
  <c r="R182" i="6"/>
  <c r="R181" i="6"/>
  <c r="R180" i="6"/>
  <c r="R179" i="6"/>
  <c r="R178" i="6"/>
  <c r="R177" i="6"/>
  <c r="R176" i="6"/>
  <c r="R175" i="6"/>
  <c r="R174" i="6"/>
  <c r="R173" i="6"/>
  <c r="R172" i="6"/>
  <c r="R171" i="6"/>
  <c r="R170" i="6"/>
  <c r="R169" i="6"/>
  <c r="R168" i="6"/>
  <c r="R167" i="6"/>
  <c r="R166" i="6"/>
  <c r="R165" i="6"/>
  <c r="R164" i="6"/>
  <c r="R163" i="6"/>
  <c r="R162" i="6"/>
  <c r="R161" i="6"/>
  <c r="R160" i="6"/>
  <c r="R159" i="6"/>
  <c r="R158" i="6"/>
  <c r="R157" i="6"/>
  <c r="R156" i="6"/>
  <c r="R155" i="6"/>
  <c r="R154" i="6"/>
  <c r="R153" i="6"/>
  <c r="R152" i="6"/>
  <c r="R151" i="6"/>
  <c r="R150" i="6"/>
  <c r="R149" i="6"/>
  <c r="R148" i="6"/>
  <c r="R147" i="6"/>
  <c r="R146" i="6"/>
  <c r="R145" i="6"/>
  <c r="R144" i="6"/>
  <c r="R143" i="6"/>
  <c r="R142" i="6"/>
  <c r="R141" i="6"/>
  <c r="R140" i="6"/>
  <c r="R139" i="6"/>
  <c r="R138" i="6"/>
  <c r="R137" i="6"/>
  <c r="R136" i="6"/>
  <c r="R135" i="6"/>
  <c r="R134" i="6"/>
  <c r="R133" i="6"/>
  <c r="R132" i="6"/>
  <c r="R131" i="6"/>
  <c r="R130" i="6"/>
  <c r="R129" i="6"/>
  <c r="R128" i="6"/>
  <c r="R127" i="6"/>
  <c r="R126" i="6"/>
  <c r="R125" i="6"/>
  <c r="R124" i="6"/>
  <c r="R123" i="6"/>
  <c r="R122" i="6"/>
  <c r="R121" i="6"/>
  <c r="R120" i="6"/>
  <c r="R119" i="6"/>
  <c r="R118" i="6"/>
  <c r="R117" i="6"/>
  <c r="R116" i="6"/>
  <c r="R115" i="6"/>
  <c r="R114" i="6"/>
  <c r="R113" i="6"/>
  <c r="R112" i="6"/>
  <c r="R111" i="6"/>
  <c r="R110" i="6"/>
  <c r="R109" i="6"/>
  <c r="R108" i="6"/>
  <c r="R107" i="6"/>
  <c r="R106" i="6"/>
  <c r="R105" i="6"/>
  <c r="R104" i="6"/>
  <c r="R103" i="6"/>
  <c r="R102" i="6"/>
  <c r="R101" i="6"/>
  <c r="R100" i="6"/>
  <c r="R99" i="6"/>
  <c r="R98" i="6"/>
  <c r="R97" i="6"/>
  <c r="R96" i="6"/>
  <c r="R95" i="6"/>
  <c r="R94" i="6"/>
  <c r="R93" i="6"/>
  <c r="R92" i="6"/>
  <c r="R91" i="6"/>
  <c r="R90" i="6"/>
  <c r="R89" i="6"/>
  <c r="R88" i="6"/>
  <c r="R87" i="6"/>
  <c r="R86" i="6"/>
  <c r="R85" i="6"/>
  <c r="R84" i="6"/>
  <c r="R83" i="6"/>
  <c r="R82" i="6"/>
  <c r="R81" i="6"/>
  <c r="R80" i="6"/>
  <c r="R79" i="6"/>
  <c r="R78" i="6"/>
  <c r="R77" i="6"/>
  <c r="R76" i="6"/>
  <c r="R75" i="6"/>
  <c r="R74" i="6"/>
  <c r="R73" i="6"/>
  <c r="R72" i="6"/>
  <c r="R71" i="6"/>
  <c r="R70" i="6"/>
  <c r="R69" i="6"/>
  <c r="R68" i="6"/>
  <c r="R67" i="6"/>
  <c r="R66" i="6"/>
  <c r="R65" i="6"/>
  <c r="R64" i="6"/>
  <c r="R63" i="6"/>
  <c r="R62" i="6"/>
  <c r="R61" i="6"/>
  <c r="R60" i="6"/>
  <c r="R59" i="6"/>
  <c r="R58" i="6"/>
  <c r="R57" i="6"/>
  <c r="R56" i="6"/>
  <c r="R55" i="6"/>
  <c r="R54" i="6"/>
  <c r="R53" i="6"/>
  <c r="R52" i="6"/>
  <c r="R51" i="6"/>
  <c r="R50" i="6"/>
  <c r="R49" i="6"/>
  <c r="R48" i="6"/>
  <c r="R47" i="6"/>
  <c r="R46" i="6"/>
  <c r="R45" i="6"/>
  <c r="R44" i="6"/>
  <c r="R43" i="6"/>
  <c r="R42" i="6"/>
  <c r="R41" i="6"/>
  <c r="R40" i="6"/>
  <c r="R39" i="6"/>
  <c r="R38" i="6"/>
  <c r="R37" i="6"/>
  <c r="R36" i="6"/>
  <c r="R35" i="6"/>
  <c r="R34" i="6"/>
  <c r="R33" i="6"/>
  <c r="R32" i="6"/>
  <c r="R31" i="6"/>
  <c r="R30" i="6"/>
  <c r="R29" i="6"/>
  <c r="R28" i="6"/>
  <c r="R27" i="6"/>
  <c r="R26" i="6"/>
  <c r="R25" i="6"/>
  <c r="R24" i="6"/>
  <c r="R23" i="6"/>
  <c r="R22" i="6"/>
  <c r="R21" i="6"/>
  <c r="R20" i="6"/>
  <c r="R19" i="6"/>
  <c r="R18" i="6"/>
  <c r="R17" i="6"/>
  <c r="R16" i="6"/>
  <c r="R15" i="6"/>
  <c r="R14" i="6"/>
  <c r="R13" i="6"/>
  <c r="R12" i="6"/>
  <c r="R11" i="6"/>
  <c r="R10" i="6"/>
  <c r="R9" i="6"/>
  <c r="R8" i="6"/>
  <c r="R7" i="6"/>
  <c r="R6" i="6"/>
  <c r="S272" i="6"/>
  <c r="S271" i="6"/>
  <c r="S270" i="6"/>
  <c r="S269" i="6"/>
  <c r="S268" i="6"/>
  <c r="S267" i="6"/>
  <c r="S266" i="6"/>
  <c r="S265" i="6"/>
  <c r="S264" i="6"/>
  <c r="S263" i="6"/>
  <c r="S262" i="6"/>
  <c r="S261" i="6"/>
  <c r="S260" i="6"/>
  <c r="S259" i="6"/>
  <c r="S258" i="6"/>
  <c r="S257" i="6"/>
  <c r="S256" i="6"/>
  <c r="S255" i="6"/>
  <c r="S254" i="6"/>
  <c r="S253" i="6"/>
  <c r="S252" i="6"/>
  <c r="S251" i="6"/>
  <c r="S250" i="6"/>
  <c r="S249" i="6"/>
  <c r="S248" i="6"/>
  <c r="S247" i="6"/>
  <c r="S246" i="6"/>
  <c r="S245" i="6"/>
  <c r="S244" i="6"/>
  <c r="S243" i="6"/>
  <c r="S242" i="6"/>
  <c r="S241" i="6"/>
  <c r="S240" i="6"/>
  <c r="S239" i="6"/>
  <c r="S238" i="6"/>
  <c r="S237" i="6"/>
  <c r="S236" i="6"/>
  <c r="S235" i="6"/>
  <c r="S234" i="6"/>
  <c r="S233" i="6"/>
  <c r="S232" i="6"/>
  <c r="S231" i="6"/>
  <c r="S230" i="6"/>
  <c r="S229" i="6"/>
  <c r="S228" i="6"/>
  <c r="S227" i="6"/>
  <c r="S226" i="6"/>
  <c r="S225" i="6"/>
  <c r="S224" i="6"/>
  <c r="S223" i="6"/>
  <c r="S222" i="6"/>
  <c r="S221" i="6"/>
  <c r="S220" i="6"/>
  <c r="S219" i="6"/>
  <c r="S218" i="6"/>
  <c r="S217" i="6"/>
  <c r="S216" i="6"/>
  <c r="S215" i="6"/>
  <c r="S214" i="6"/>
  <c r="S213" i="6"/>
  <c r="S212" i="6"/>
  <c r="S211" i="6"/>
  <c r="S210" i="6"/>
  <c r="S209" i="6"/>
  <c r="S208" i="6"/>
  <c r="S207" i="6"/>
  <c r="S206" i="6"/>
  <c r="S205" i="6"/>
  <c r="S204" i="6"/>
  <c r="S203" i="6"/>
  <c r="S202" i="6"/>
  <c r="S201" i="6"/>
  <c r="S200" i="6"/>
  <c r="S199" i="6"/>
  <c r="S198" i="6"/>
  <c r="S197" i="6"/>
  <c r="S196" i="6"/>
  <c r="S195" i="6"/>
  <c r="S194" i="6"/>
  <c r="S193" i="6"/>
  <c r="S192" i="6"/>
  <c r="S191" i="6"/>
  <c r="S190" i="6"/>
  <c r="S189" i="6"/>
  <c r="S188" i="6"/>
  <c r="S187" i="6"/>
  <c r="S186" i="6"/>
  <c r="S185" i="6"/>
  <c r="S184" i="6"/>
  <c r="S183" i="6"/>
  <c r="S182" i="6"/>
  <c r="S181" i="6"/>
  <c r="S180" i="6"/>
  <c r="S179" i="6"/>
  <c r="S178" i="6"/>
  <c r="S177" i="6"/>
  <c r="S176" i="6"/>
  <c r="S175" i="6"/>
  <c r="S174" i="6"/>
  <c r="S173" i="6"/>
  <c r="S172" i="6"/>
  <c r="S171" i="6"/>
  <c r="S170" i="6"/>
  <c r="S169" i="6"/>
  <c r="S168" i="6"/>
  <c r="S167" i="6"/>
  <c r="S166" i="6"/>
  <c r="S165" i="6"/>
  <c r="S164" i="6"/>
  <c r="S163" i="6"/>
  <c r="S162" i="6"/>
  <c r="S161" i="6"/>
  <c r="S160" i="6"/>
  <c r="S159" i="6"/>
  <c r="S158" i="6"/>
  <c r="S157" i="6"/>
  <c r="S156" i="6"/>
  <c r="S155" i="6"/>
  <c r="S154" i="6"/>
  <c r="S153" i="6"/>
  <c r="S152" i="6"/>
  <c r="S151" i="6"/>
  <c r="S150" i="6"/>
  <c r="S149" i="6"/>
  <c r="S148" i="6"/>
  <c r="S147" i="6"/>
  <c r="S146" i="6"/>
  <c r="S145" i="6"/>
  <c r="S144" i="6"/>
  <c r="S143" i="6"/>
  <c r="S142" i="6"/>
  <c r="S141" i="6"/>
  <c r="S140" i="6"/>
  <c r="S139" i="6"/>
  <c r="S138" i="6"/>
  <c r="S137" i="6"/>
  <c r="S136" i="6"/>
  <c r="S135" i="6"/>
  <c r="S134" i="6"/>
  <c r="S133" i="6"/>
  <c r="S132" i="6"/>
  <c r="S131" i="6"/>
  <c r="S130" i="6"/>
  <c r="S129" i="6"/>
  <c r="S128" i="6"/>
  <c r="S127" i="6"/>
  <c r="S126" i="6"/>
  <c r="S125" i="6"/>
  <c r="S124" i="6"/>
  <c r="S123" i="6"/>
  <c r="S122" i="6"/>
  <c r="S121" i="6"/>
  <c r="S120" i="6"/>
  <c r="S119" i="6"/>
  <c r="S118" i="6"/>
  <c r="S117" i="6"/>
  <c r="S116" i="6"/>
  <c r="S115" i="6"/>
  <c r="S114" i="6"/>
  <c r="S113" i="6"/>
  <c r="S112" i="6"/>
  <c r="S111" i="6"/>
  <c r="S110" i="6"/>
  <c r="S109" i="6"/>
  <c r="S108" i="6"/>
  <c r="S107" i="6"/>
  <c r="S106" i="6"/>
  <c r="S105" i="6"/>
  <c r="S104" i="6"/>
  <c r="S103" i="6"/>
  <c r="S102" i="6"/>
  <c r="S101" i="6"/>
  <c r="S100" i="6"/>
  <c r="S99" i="6"/>
  <c r="S98" i="6"/>
  <c r="S97" i="6"/>
  <c r="S96" i="6"/>
  <c r="S95" i="6"/>
  <c r="S94" i="6"/>
  <c r="S93" i="6"/>
  <c r="S92" i="6"/>
  <c r="S91" i="6"/>
  <c r="S90" i="6"/>
  <c r="S89" i="6"/>
  <c r="S88" i="6"/>
  <c r="S87" i="6"/>
  <c r="S86" i="6"/>
  <c r="S85" i="6"/>
  <c r="S84" i="6"/>
  <c r="S83" i="6"/>
  <c r="S82" i="6"/>
  <c r="S81" i="6"/>
  <c r="S80" i="6"/>
  <c r="S79" i="6"/>
  <c r="S78" i="6"/>
  <c r="S77" i="6"/>
  <c r="S76" i="6"/>
  <c r="S75" i="6"/>
  <c r="S74" i="6"/>
  <c r="S73" i="6"/>
  <c r="S72" i="6"/>
  <c r="S71" i="6"/>
  <c r="S70" i="6"/>
  <c r="S69" i="6"/>
  <c r="S68" i="6"/>
  <c r="S67" i="6"/>
  <c r="S66" i="6"/>
  <c r="S65" i="6"/>
  <c r="S64" i="6"/>
  <c r="S63" i="6"/>
  <c r="S62" i="6"/>
  <c r="S61" i="6"/>
  <c r="S60" i="6"/>
  <c r="S59" i="6"/>
  <c r="S58" i="6"/>
  <c r="S57" i="6"/>
  <c r="S56" i="6"/>
  <c r="S55" i="6"/>
  <c r="S54" i="6"/>
  <c r="S53" i="6"/>
  <c r="S52" i="6"/>
  <c r="S51" i="6"/>
  <c r="S50" i="6"/>
  <c r="S49" i="6"/>
  <c r="S48" i="6"/>
  <c r="S47" i="6"/>
  <c r="S46" i="6"/>
  <c r="S45" i="6"/>
  <c r="S44" i="6"/>
  <c r="S43" i="6"/>
  <c r="S42" i="6"/>
  <c r="S41" i="6"/>
  <c r="S40" i="6"/>
  <c r="S39" i="6"/>
  <c r="S38" i="6"/>
  <c r="S37" i="6"/>
  <c r="S36" i="6"/>
  <c r="S35" i="6"/>
  <c r="S34" i="6"/>
  <c r="S33" i="6"/>
  <c r="S32" i="6"/>
  <c r="S31" i="6"/>
  <c r="S30" i="6"/>
  <c r="S29" i="6"/>
  <c r="S28" i="6"/>
  <c r="S27" i="6"/>
  <c r="S26" i="6"/>
  <c r="S25" i="6"/>
  <c r="S24" i="6"/>
  <c r="S23" i="6"/>
  <c r="S22" i="6"/>
  <c r="S21" i="6"/>
  <c r="S20" i="6"/>
  <c r="S19" i="6"/>
  <c r="S18" i="6"/>
  <c r="S17" i="6"/>
  <c r="S16" i="6"/>
  <c r="S15" i="6"/>
  <c r="S14" i="6"/>
  <c r="S13" i="6"/>
  <c r="S12" i="6"/>
  <c r="S11" i="6"/>
  <c r="S10" i="6"/>
  <c r="S9" i="6"/>
  <c r="S8" i="6"/>
  <c r="S7" i="6"/>
  <c r="S6" i="6"/>
  <c r="F272" i="6" a="1"/>
  <c r="F272" i="6"/>
  <c r="F271" i="6" a="1"/>
  <c r="F271" i="6"/>
  <c r="F270" i="6" a="1"/>
  <c r="F270" i="6"/>
  <c r="F269" i="6" a="1"/>
  <c r="F269" i="6"/>
  <c r="F268" i="6" a="1"/>
  <c r="F268" i="6"/>
  <c r="F267" i="6" a="1"/>
  <c r="F267" i="6"/>
  <c r="F266" i="6" a="1"/>
  <c r="F266" i="6"/>
  <c r="F265" i="6" a="1"/>
  <c r="F265" i="6"/>
  <c r="F264" i="6" a="1"/>
  <c r="F264" i="6"/>
  <c r="F263" i="6" a="1"/>
  <c r="F263" i="6"/>
  <c r="F262" i="6" a="1"/>
  <c r="F262" i="6"/>
  <c r="F261" i="6" a="1"/>
  <c r="F261" i="6"/>
  <c r="F260" i="6" a="1"/>
  <c r="F260" i="6"/>
  <c r="F259" i="6" a="1"/>
  <c r="F259" i="6"/>
  <c r="F258" i="6" a="1"/>
  <c r="F258" i="6"/>
  <c r="F257" i="6" a="1"/>
  <c r="F257" i="6"/>
  <c r="F256" i="6" a="1"/>
  <c r="F256" i="6"/>
  <c r="F255" i="6" a="1"/>
  <c r="F255" i="6"/>
  <c r="F254" i="6" a="1"/>
  <c r="F254" i="6"/>
  <c r="F253" i="6" a="1"/>
  <c r="F253" i="6"/>
  <c r="F252" i="6" a="1"/>
  <c r="F252" i="6"/>
  <c r="F251" i="6" a="1"/>
  <c r="F251" i="6"/>
  <c r="F250" i="6" a="1"/>
  <c r="F250" i="6"/>
  <c r="F249" i="6" a="1"/>
  <c r="F249" i="6"/>
  <c r="F248" i="6" a="1"/>
  <c r="F248" i="6"/>
  <c r="F247" i="6" a="1"/>
  <c r="F247" i="6"/>
  <c r="F246" i="6" a="1"/>
  <c r="F246" i="6"/>
  <c r="F245" i="6" a="1"/>
  <c r="F245" i="6"/>
  <c r="F244" i="6" a="1"/>
  <c r="F244" i="6"/>
  <c r="F243" i="6" a="1"/>
  <c r="F243" i="6"/>
  <c r="F242" i="6" a="1"/>
  <c r="F242" i="6"/>
  <c r="F241" i="6" a="1"/>
  <c r="F241" i="6"/>
  <c r="F240" i="6" a="1"/>
  <c r="F240" i="6"/>
  <c r="F239" i="6" a="1"/>
  <c r="F239" i="6"/>
  <c r="F238" i="6" a="1"/>
  <c r="F238" i="6"/>
  <c r="F237" i="6" a="1"/>
  <c r="F237" i="6"/>
  <c r="F236" i="6" a="1"/>
  <c r="F236" i="6"/>
  <c r="F235" i="6" a="1"/>
  <c r="F235" i="6"/>
  <c r="F234" i="6" a="1"/>
  <c r="F234" i="6"/>
  <c r="F233" i="6" a="1"/>
  <c r="F233" i="6"/>
  <c r="F232" i="6" a="1"/>
  <c r="F232" i="6"/>
  <c r="F231" i="6" a="1"/>
  <c r="F231" i="6"/>
  <c r="F230" i="6" a="1"/>
  <c r="F230" i="6"/>
  <c r="F229" i="6" a="1"/>
  <c r="F229" i="6"/>
  <c r="F228" i="6" a="1"/>
  <c r="F228" i="6"/>
  <c r="F227" i="6" a="1"/>
  <c r="F227" i="6"/>
  <c r="F226" i="6" a="1"/>
  <c r="F226" i="6"/>
  <c r="F225" i="6" a="1"/>
  <c r="F225" i="6"/>
  <c r="F224" i="6" a="1"/>
  <c r="F224" i="6"/>
  <c r="F223" i="6" a="1"/>
  <c r="F223" i="6"/>
  <c r="F222" i="6" a="1"/>
  <c r="F222" i="6"/>
  <c r="F221" i="6" a="1"/>
  <c r="F221" i="6"/>
  <c r="F220" i="6" a="1"/>
  <c r="F220" i="6"/>
  <c r="F219" i="6" a="1"/>
  <c r="F219" i="6"/>
  <c r="F218" i="6" a="1"/>
  <c r="F218" i="6"/>
  <c r="F217" i="6" a="1"/>
  <c r="F217" i="6"/>
  <c r="F216" i="6" a="1"/>
  <c r="F216" i="6"/>
  <c r="F215" i="6" a="1"/>
  <c r="F215" i="6"/>
  <c r="F214" i="6" a="1"/>
  <c r="F214" i="6"/>
  <c r="F213" i="6" a="1"/>
  <c r="F213" i="6"/>
  <c r="F212" i="6" a="1"/>
  <c r="F212" i="6"/>
  <c r="F211" i="6" a="1"/>
  <c r="F211" i="6"/>
  <c r="F210" i="6" a="1"/>
  <c r="F210" i="6"/>
  <c r="F209" i="6" a="1"/>
  <c r="F209" i="6"/>
  <c r="F208" i="6" a="1"/>
  <c r="F208" i="6"/>
  <c r="F207" i="6" a="1"/>
  <c r="F207" i="6"/>
  <c r="F206" i="6" a="1"/>
  <c r="F206" i="6"/>
  <c r="F205" i="6" a="1"/>
  <c r="F205" i="6"/>
  <c r="F204" i="6" a="1"/>
  <c r="F204" i="6"/>
  <c r="F203" i="6" a="1"/>
  <c r="F203" i="6"/>
  <c r="F202" i="6" a="1"/>
  <c r="F202" i="6"/>
  <c r="F201" i="6" a="1"/>
  <c r="F201" i="6"/>
  <c r="F200" i="6" a="1"/>
  <c r="F200" i="6"/>
  <c r="F199" i="6" a="1"/>
  <c r="F199" i="6"/>
  <c r="F198" i="6" a="1"/>
  <c r="F198" i="6"/>
  <c r="F197" i="6" a="1"/>
  <c r="F197" i="6"/>
  <c r="F196" i="6" a="1"/>
  <c r="F196" i="6"/>
  <c r="F195" i="6" a="1"/>
  <c r="F195" i="6"/>
  <c r="F194" i="6" a="1"/>
  <c r="F194" i="6"/>
  <c r="F193" i="6" a="1"/>
  <c r="F193" i="6"/>
  <c r="F192" i="6" a="1"/>
  <c r="F192" i="6"/>
  <c r="F191" i="6" a="1"/>
  <c r="F191" i="6"/>
  <c r="F190" i="6" a="1"/>
  <c r="F190" i="6"/>
  <c r="F189" i="6" a="1"/>
  <c r="F189" i="6"/>
  <c r="F188" i="6" a="1"/>
  <c r="F188" i="6"/>
  <c r="F187" i="6" a="1"/>
  <c r="F187" i="6"/>
  <c r="F186" i="6" a="1"/>
  <c r="F186" i="6"/>
  <c r="F185" i="6" a="1"/>
  <c r="F185" i="6"/>
  <c r="F184" i="6" a="1"/>
  <c r="F184" i="6"/>
  <c r="F183" i="6" a="1"/>
  <c r="F183" i="6"/>
  <c r="F182" i="6" a="1"/>
  <c r="F182" i="6"/>
  <c r="F181" i="6" a="1"/>
  <c r="F181" i="6"/>
  <c r="F180" i="6" a="1"/>
  <c r="F180" i="6"/>
  <c r="F179" i="6" a="1"/>
  <c r="F179" i="6"/>
  <c r="F178" i="6" a="1"/>
  <c r="F178" i="6"/>
  <c r="F177" i="6" a="1"/>
  <c r="F177" i="6"/>
  <c r="F176" i="6" a="1"/>
  <c r="F176" i="6"/>
  <c r="F175" i="6" a="1"/>
  <c r="F175" i="6"/>
  <c r="F174" i="6" a="1"/>
  <c r="F174" i="6"/>
  <c r="F173" i="6" a="1"/>
  <c r="F173" i="6"/>
  <c r="F172" i="6" a="1"/>
  <c r="F172" i="6"/>
  <c r="F171" i="6" a="1"/>
  <c r="F171" i="6"/>
  <c r="F170" i="6" a="1"/>
  <c r="F170" i="6"/>
  <c r="F169" i="6" a="1"/>
  <c r="F169" i="6"/>
  <c r="F168" i="6" a="1"/>
  <c r="F168" i="6"/>
  <c r="F167" i="6" a="1"/>
  <c r="F167" i="6"/>
  <c r="F166" i="6" a="1"/>
  <c r="F166" i="6"/>
  <c r="F165" i="6" a="1"/>
  <c r="F165" i="6"/>
  <c r="F164" i="6" a="1"/>
  <c r="F164" i="6"/>
  <c r="F163" i="6" a="1"/>
  <c r="F163" i="6"/>
  <c r="F162" i="6" a="1"/>
  <c r="F162" i="6"/>
  <c r="F161" i="6" a="1"/>
  <c r="F161" i="6"/>
  <c r="F160" i="6" a="1"/>
  <c r="F160" i="6"/>
  <c r="F159" i="6" a="1"/>
  <c r="F159" i="6"/>
  <c r="F158" i="6" a="1"/>
  <c r="F158" i="6"/>
  <c r="F157" i="6" a="1"/>
  <c r="F157" i="6"/>
  <c r="F156" i="6" a="1"/>
  <c r="F156" i="6"/>
  <c r="F155" i="6" a="1"/>
  <c r="F155" i="6"/>
  <c r="F154" i="6" a="1"/>
  <c r="F154" i="6"/>
  <c r="F153" i="6" a="1"/>
  <c r="F153" i="6"/>
  <c r="F152" i="6" a="1"/>
  <c r="F152" i="6"/>
  <c r="F151" i="6" a="1"/>
  <c r="F151" i="6"/>
  <c r="F150" i="6" a="1"/>
  <c r="F150" i="6"/>
  <c r="F149" i="6" a="1"/>
  <c r="F149" i="6"/>
  <c r="F148" i="6" a="1"/>
  <c r="F148" i="6"/>
  <c r="F147" i="6" a="1"/>
  <c r="F147" i="6"/>
  <c r="F146" i="6" a="1"/>
  <c r="F146" i="6"/>
  <c r="F145" i="6" a="1"/>
  <c r="F145" i="6"/>
  <c r="F144" i="6" a="1"/>
  <c r="F144" i="6"/>
  <c r="F143" i="6" a="1"/>
  <c r="F143" i="6"/>
  <c r="F142" i="6" a="1"/>
  <c r="F142" i="6"/>
  <c r="F141" i="6" a="1"/>
  <c r="F141" i="6"/>
  <c r="F140" i="6" a="1"/>
  <c r="F140" i="6"/>
  <c r="F139" i="6" a="1"/>
  <c r="F139" i="6"/>
  <c r="F138" i="6" a="1"/>
  <c r="F138" i="6"/>
  <c r="F137" i="6" a="1"/>
  <c r="F137" i="6"/>
  <c r="F136" i="6" a="1"/>
  <c r="F136" i="6"/>
  <c r="F135" i="6" a="1"/>
  <c r="F135" i="6"/>
  <c r="F134" i="6" a="1"/>
  <c r="F134" i="6"/>
  <c r="F133" i="6" a="1"/>
  <c r="F133" i="6"/>
  <c r="F132" i="6" a="1"/>
  <c r="F132" i="6"/>
  <c r="F131" i="6" a="1"/>
  <c r="F131" i="6"/>
  <c r="F130" i="6" a="1"/>
  <c r="F130" i="6"/>
  <c r="F129" i="6" a="1"/>
  <c r="F129" i="6"/>
  <c r="F128" i="6" a="1"/>
  <c r="F128" i="6"/>
  <c r="F127" i="6" a="1"/>
  <c r="F127" i="6"/>
  <c r="F126" i="6" a="1"/>
  <c r="F126" i="6"/>
  <c r="F125" i="6" a="1"/>
  <c r="F125" i="6"/>
  <c r="F124" i="6" a="1"/>
  <c r="F124" i="6"/>
  <c r="F123" i="6" a="1"/>
  <c r="F123" i="6"/>
  <c r="F122" i="6" a="1"/>
  <c r="F122" i="6"/>
  <c r="F121" i="6" a="1"/>
  <c r="F121" i="6"/>
  <c r="F120" i="6" a="1"/>
  <c r="F120" i="6"/>
  <c r="F119" i="6" a="1"/>
  <c r="F119" i="6"/>
  <c r="F118" i="6" a="1"/>
  <c r="F118" i="6"/>
  <c r="F117" i="6" a="1"/>
  <c r="F117" i="6"/>
  <c r="F116" i="6" a="1"/>
  <c r="F116" i="6"/>
  <c r="F115" i="6" a="1"/>
  <c r="F115" i="6"/>
  <c r="F114" i="6" a="1"/>
  <c r="F114" i="6"/>
  <c r="F113" i="6" a="1"/>
  <c r="F113" i="6"/>
  <c r="F112" i="6" a="1"/>
  <c r="F112" i="6"/>
  <c r="F111" i="6" a="1"/>
  <c r="F111" i="6"/>
  <c r="F110" i="6" a="1"/>
  <c r="F110" i="6"/>
  <c r="F109" i="6" a="1"/>
  <c r="F109" i="6"/>
  <c r="F108" i="6" a="1"/>
  <c r="F108" i="6"/>
  <c r="F107" i="6" a="1"/>
  <c r="F107" i="6"/>
  <c r="F106" i="6" a="1"/>
  <c r="F106" i="6"/>
  <c r="F105" i="6" a="1"/>
  <c r="F105" i="6"/>
  <c r="F104" i="6" a="1"/>
  <c r="F104" i="6"/>
  <c r="F103" i="6" a="1"/>
  <c r="F103" i="6"/>
  <c r="F102" i="6" a="1"/>
  <c r="F102" i="6"/>
  <c r="F101" i="6" a="1"/>
  <c r="F101" i="6"/>
  <c r="F100" i="6" a="1"/>
  <c r="F100" i="6"/>
  <c r="F99" i="6" a="1"/>
  <c r="F99" i="6"/>
  <c r="F98" i="6" a="1"/>
  <c r="F98" i="6"/>
  <c r="F97" i="6" a="1"/>
  <c r="F97" i="6"/>
  <c r="F96" i="6" a="1"/>
  <c r="F96" i="6"/>
  <c r="F95" i="6" a="1"/>
  <c r="F95" i="6"/>
  <c r="F94" i="6" a="1"/>
  <c r="F94" i="6"/>
  <c r="F93" i="6" a="1"/>
  <c r="F93" i="6"/>
  <c r="F92" i="6" a="1"/>
  <c r="F92" i="6"/>
  <c r="F91" i="6" a="1"/>
  <c r="F91" i="6"/>
  <c r="F90" i="6" a="1"/>
  <c r="F90" i="6"/>
  <c r="F89" i="6" a="1"/>
  <c r="F89" i="6"/>
  <c r="F88" i="6" a="1"/>
  <c r="F88" i="6"/>
  <c r="F87" i="6" a="1"/>
  <c r="F87" i="6"/>
  <c r="F86" i="6" a="1"/>
  <c r="F86" i="6"/>
  <c r="F85" i="6" a="1"/>
  <c r="F85" i="6"/>
  <c r="F84" i="6" a="1"/>
  <c r="F84" i="6"/>
  <c r="F83" i="6" a="1"/>
  <c r="F83" i="6"/>
  <c r="F82" i="6" a="1"/>
  <c r="F82" i="6"/>
  <c r="F81" i="6" a="1"/>
  <c r="F81" i="6"/>
  <c r="F80" i="6" a="1"/>
  <c r="F80" i="6"/>
  <c r="F79" i="6" a="1"/>
  <c r="F79" i="6"/>
  <c r="F78" i="6" a="1"/>
  <c r="F78" i="6"/>
  <c r="F77" i="6" a="1"/>
  <c r="F77" i="6"/>
  <c r="F76" i="6" a="1"/>
  <c r="F76" i="6"/>
  <c r="F75" i="6" a="1"/>
  <c r="F75" i="6"/>
  <c r="F74" i="6" a="1"/>
  <c r="F74" i="6"/>
  <c r="F73" i="6" a="1"/>
  <c r="F73" i="6"/>
  <c r="F72" i="6" a="1"/>
  <c r="F72" i="6"/>
  <c r="F71" i="6" a="1"/>
  <c r="F71" i="6"/>
  <c r="F70" i="6" a="1"/>
  <c r="F70" i="6"/>
  <c r="F69" i="6" a="1"/>
  <c r="F69" i="6"/>
  <c r="F68" i="6" a="1"/>
  <c r="F68" i="6"/>
  <c r="F67" i="6" a="1"/>
  <c r="F67" i="6"/>
  <c r="F66" i="6" a="1"/>
  <c r="F66" i="6"/>
  <c r="F65" i="6" a="1"/>
  <c r="F65" i="6"/>
  <c r="F64" i="6" a="1"/>
  <c r="F64" i="6"/>
  <c r="F63" i="6" a="1"/>
  <c r="F63" i="6"/>
  <c r="F62" i="6" a="1"/>
  <c r="F62" i="6"/>
  <c r="F61" i="6" a="1"/>
  <c r="F61" i="6"/>
  <c r="F60" i="6" a="1"/>
  <c r="F60" i="6"/>
  <c r="F59" i="6" a="1"/>
  <c r="F59" i="6"/>
  <c r="F58" i="6" a="1"/>
  <c r="F58" i="6"/>
  <c r="F57" i="6" a="1"/>
  <c r="F57" i="6"/>
  <c r="F56" i="6" a="1"/>
  <c r="F56" i="6"/>
  <c r="F55" i="6" a="1"/>
  <c r="F55" i="6"/>
  <c r="F54" i="6" a="1"/>
  <c r="F54" i="6"/>
  <c r="F53" i="6" a="1"/>
  <c r="F53" i="6"/>
  <c r="F52" i="6" a="1"/>
  <c r="F52" i="6"/>
  <c r="F51" i="6" a="1"/>
  <c r="F51" i="6"/>
  <c r="F50" i="6" a="1"/>
  <c r="F50" i="6"/>
  <c r="F49" i="6" a="1"/>
  <c r="F49" i="6"/>
  <c r="F48" i="6" a="1"/>
  <c r="F48" i="6"/>
  <c r="F47" i="6" a="1"/>
  <c r="F47" i="6"/>
  <c r="F46" i="6" a="1"/>
  <c r="F46" i="6"/>
  <c r="F45" i="6" a="1"/>
  <c r="F45" i="6"/>
  <c r="F44" i="6" a="1"/>
  <c r="F44" i="6"/>
  <c r="F43" i="6" a="1"/>
  <c r="F43" i="6"/>
  <c r="F42" i="6" a="1"/>
  <c r="F42" i="6"/>
  <c r="F41" i="6" a="1"/>
  <c r="F41" i="6"/>
  <c r="F40" i="6" a="1"/>
  <c r="F40" i="6"/>
  <c r="F39" i="6" a="1"/>
  <c r="F39" i="6"/>
  <c r="F38" i="6" a="1"/>
  <c r="F38" i="6"/>
  <c r="F37" i="6" a="1"/>
  <c r="F37" i="6"/>
  <c r="F36" i="6" a="1"/>
  <c r="F36" i="6"/>
  <c r="F35" i="6" a="1"/>
  <c r="F35" i="6"/>
  <c r="F34" i="6" a="1"/>
  <c r="F34" i="6"/>
  <c r="F33" i="6" a="1"/>
  <c r="F33" i="6"/>
  <c r="F32" i="6" a="1"/>
  <c r="F32" i="6"/>
  <c r="F31" i="6" a="1"/>
  <c r="F31" i="6"/>
  <c r="F30" i="6" a="1"/>
  <c r="F30" i="6"/>
  <c r="F29" i="6" a="1"/>
  <c r="F29" i="6"/>
  <c r="F28" i="6" a="1"/>
  <c r="F28" i="6"/>
  <c r="F27" i="6" a="1"/>
  <c r="F27" i="6"/>
  <c r="F26" i="6" a="1"/>
  <c r="F26" i="6"/>
  <c r="F25" i="6" a="1"/>
  <c r="F25" i="6"/>
  <c r="F24" i="6" a="1"/>
  <c r="F24" i="6"/>
  <c r="F23" i="6" a="1"/>
  <c r="F23" i="6"/>
  <c r="F22" i="6" a="1"/>
  <c r="F22" i="6"/>
  <c r="F21" i="6" a="1"/>
  <c r="F21" i="6"/>
  <c r="F20" i="6" a="1"/>
  <c r="F20" i="6"/>
  <c r="F19" i="6" a="1"/>
  <c r="F19" i="6"/>
  <c r="F18" i="6" a="1"/>
  <c r="F18" i="6"/>
  <c r="F17" i="6" a="1"/>
  <c r="F17" i="6"/>
  <c r="F16" i="6" a="1"/>
  <c r="F16" i="6"/>
  <c r="F15" i="6" a="1"/>
  <c r="F15" i="6"/>
  <c r="C4" i="5"/>
  <c r="E4" i="5" a="1"/>
  <c r="E4" i="5"/>
  <c r="F4" i="5" a="1"/>
  <c r="F4" i="5"/>
  <c r="G4" i="5"/>
  <c r="C5" i="5"/>
  <c r="E5" i="5" a="1"/>
  <c r="E5" i="5"/>
  <c r="F5" i="5" a="1"/>
  <c r="F5" i="5"/>
  <c r="G5" i="5"/>
  <c r="C6" i="5"/>
  <c r="E6" i="5" a="1"/>
  <c r="E6" i="5"/>
  <c r="F6" i="5" a="1"/>
  <c r="F6" i="5"/>
  <c r="G6" i="5"/>
  <c r="C7" i="5"/>
  <c r="E7" i="5" a="1"/>
  <c r="E7" i="5"/>
  <c r="F7" i="5" a="1"/>
  <c r="F7" i="5"/>
  <c r="G7" i="5"/>
  <c r="C8" i="5"/>
  <c r="E8" i="5" a="1"/>
  <c r="E8" i="5"/>
  <c r="F8" i="5" a="1"/>
  <c r="F8" i="5"/>
  <c r="G8" i="5"/>
  <c r="C9" i="5"/>
  <c r="E9" i="5" a="1"/>
  <c r="E9" i="5"/>
  <c r="F9" i="5" a="1"/>
  <c r="F9" i="5"/>
  <c r="G9" i="5"/>
  <c r="C10" i="5"/>
  <c r="E10" i="5" a="1"/>
  <c r="E10" i="5"/>
  <c r="F10" i="5" a="1"/>
  <c r="F10" i="5"/>
  <c r="G10" i="5"/>
  <c r="C11" i="5"/>
  <c r="E11" i="5" a="1"/>
  <c r="E11" i="5"/>
  <c r="F11" i="5" a="1"/>
  <c r="F11" i="5"/>
  <c r="G11" i="5"/>
  <c r="C12" i="5"/>
  <c r="E12" i="5" a="1"/>
  <c r="E12" i="5"/>
  <c r="F12" i="5" a="1"/>
  <c r="F12" i="5"/>
  <c r="G12" i="5"/>
  <c r="C13" i="5"/>
  <c r="E13" i="5" a="1"/>
  <c r="E13" i="5"/>
  <c r="F13" i="5" a="1"/>
  <c r="F13" i="5"/>
  <c r="G13" i="5"/>
  <c r="C14" i="5"/>
  <c r="E14" i="5" a="1"/>
  <c r="E14" i="5"/>
  <c r="F14" i="5" a="1"/>
  <c r="F14" i="5"/>
  <c r="G14" i="5"/>
  <c r="C15" i="5"/>
  <c r="E15" i="5" a="1"/>
  <c r="E15" i="5"/>
  <c r="F15" i="5" a="1"/>
  <c r="F15" i="5"/>
  <c r="G15" i="5"/>
  <c r="C16" i="5"/>
  <c r="E16" i="5" a="1"/>
  <c r="E16" i="5"/>
  <c r="F16" i="5" a="1"/>
  <c r="F16" i="5"/>
  <c r="G16" i="5"/>
  <c r="C17" i="5"/>
  <c r="E17" i="5" a="1"/>
  <c r="E17" i="5"/>
  <c r="F17" i="5" a="1"/>
  <c r="F17" i="5"/>
  <c r="G17" i="5"/>
  <c r="C18" i="5"/>
  <c r="G18" i="5"/>
  <c r="C19" i="5"/>
  <c r="G19" i="5"/>
  <c r="C20" i="5"/>
  <c r="G20" i="5"/>
  <c r="C21" i="5"/>
  <c r="G21" i="5"/>
  <c r="C22" i="5"/>
  <c r="G22" i="5"/>
  <c r="C23" i="5"/>
  <c r="G23" i="5"/>
  <c r="C24" i="5"/>
  <c r="G24" i="5"/>
  <c r="C25" i="5"/>
  <c r="G25" i="5"/>
  <c r="C26" i="5"/>
  <c r="G26" i="5"/>
  <c r="C27" i="5"/>
  <c r="G27" i="5"/>
  <c r="C28" i="5"/>
  <c r="G28" i="5"/>
  <c r="C29" i="5"/>
  <c r="G29" i="5"/>
  <c r="C30" i="5"/>
  <c r="G30" i="5"/>
  <c r="C31" i="5"/>
  <c r="G31" i="5"/>
  <c r="C32" i="5"/>
  <c r="G32" i="5"/>
  <c r="C33" i="5"/>
  <c r="G33" i="5"/>
  <c r="C34" i="5"/>
  <c r="G34" i="5"/>
  <c r="C35" i="5"/>
  <c r="G35" i="5"/>
  <c r="C36" i="5"/>
  <c r="G36" i="5"/>
  <c r="C37" i="5"/>
  <c r="G37" i="5"/>
  <c r="C38" i="5"/>
  <c r="G38" i="5"/>
  <c r="C39" i="5"/>
  <c r="G39" i="5"/>
  <c r="C40" i="5"/>
  <c r="G40" i="5"/>
  <c r="C41" i="5"/>
  <c r="G41" i="5"/>
  <c r="C42" i="5"/>
  <c r="G42" i="5"/>
  <c r="C43" i="5"/>
  <c r="G43" i="5"/>
  <c r="C44" i="5"/>
  <c r="G44" i="5"/>
  <c r="C45" i="5"/>
  <c r="G45" i="5"/>
  <c r="C46" i="5"/>
  <c r="G46" i="5"/>
  <c r="C47" i="5"/>
  <c r="G47" i="5"/>
  <c r="C48" i="5"/>
  <c r="G48" i="5"/>
  <c r="C49" i="5"/>
  <c r="G49" i="5"/>
  <c r="C50" i="5"/>
  <c r="G50" i="5"/>
  <c r="C51" i="5"/>
  <c r="G51" i="5"/>
  <c r="C52" i="5"/>
  <c r="G52" i="5"/>
  <c r="C53" i="5"/>
  <c r="G53" i="5"/>
  <c r="C54" i="5"/>
  <c r="G54" i="5"/>
  <c r="C55" i="5"/>
  <c r="G55" i="5"/>
  <c r="C56" i="5"/>
  <c r="G56" i="5"/>
  <c r="C57" i="5"/>
  <c r="G57" i="5"/>
  <c r="C58" i="5"/>
  <c r="G58" i="5"/>
  <c r="C59" i="5"/>
  <c r="G59" i="5"/>
  <c r="C60" i="5"/>
  <c r="G60" i="5"/>
  <c r="C61" i="5"/>
  <c r="G61" i="5"/>
  <c r="C62" i="5"/>
  <c r="G62" i="5"/>
  <c r="C63" i="5"/>
  <c r="G63" i="5"/>
  <c r="C64" i="5"/>
  <c r="G64" i="5"/>
  <c r="C65" i="5"/>
  <c r="G65" i="5"/>
  <c r="C66" i="5"/>
  <c r="G66" i="5"/>
  <c r="C67" i="5"/>
  <c r="G67" i="5"/>
  <c r="C68" i="5"/>
  <c r="G68" i="5"/>
  <c r="C69" i="5"/>
  <c r="G69" i="5"/>
  <c r="C70" i="5"/>
  <c r="G70" i="5"/>
  <c r="C71" i="5"/>
  <c r="G71" i="5"/>
  <c r="C72" i="5"/>
  <c r="G72" i="5"/>
  <c r="C73" i="5"/>
  <c r="G73" i="5"/>
  <c r="C74" i="5"/>
  <c r="G74" i="5"/>
  <c r="C75" i="5"/>
  <c r="G75" i="5"/>
  <c r="C76" i="5"/>
  <c r="G76" i="5"/>
  <c r="C77" i="5"/>
  <c r="G77" i="5"/>
  <c r="C78" i="5"/>
  <c r="G78" i="5"/>
  <c r="C79" i="5"/>
  <c r="G79" i="5"/>
  <c r="C80" i="5"/>
  <c r="G80" i="5"/>
  <c r="C81" i="5"/>
  <c r="G81" i="5"/>
  <c r="C82" i="5"/>
  <c r="G82" i="5"/>
  <c r="C83" i="5"/>
  <c r="G83" i="5"/>
  <c r="C84" i="5"/>
  <c r="G84" i="5"/>
  <c r="C85" i="5"/>
  <c r="G85" i="5"/>
  <c r="C86" i="5"/>
  <c r="G86" i="5"/>
  <c r="C87" i="5"/>
  <c r="G87" i="5"/>
  <c r="C88" i="5"/>
  <c r="G88" i="5"/>
  <c r="C89" i="5"/>
  <c r="G89" i="5"/>
  <c r="C90" i="5"/>
  <c r="G90" i="5"/>
  <c r="C91" i="5"/>
  <c r="G91" i="5"/>
  <c r="C92" i="5"/>
  <c r="G92" i="5"/>
  <c r="C93" i="5"/>
  <c r="G93" i="5"/>
  <c r="C94" i="5"/>
  <c r="G94" i="5"/>
  <c r="C95" i="5"/>
  <c r="G95" i="5"/>
  <c r="C96" i="5"/>
  <c r="G96" i="5"/>
  <c r="C97" i="5"/>
  <c r="G97" i="5"/>
  <c r="C98" i="5"/>
  <c r="G98" i="5"/>
  <c r="C99" i="5"/>
  <c r="G99" i="5"/>
  <c r="C100" i="5"/>
  <c r="G100" i="5"/>
  <c r="C101" i="5"/>
  <c r="G101" i="5"/>
  <c r="C102" i="5"/>
  <c r="G102" i="5"/>
  <c r="C103" i="5"/>
  <c r="G103" i="5"/>
  <c r="C104" i="5"/>
  <c r="G104" i="5"/>
  <c r="C105" i="5"/>
  <c r="G105" i="5"/>
  <c r="C106" i="5"/>
  <c r="G106" i="5"/>
  <c r="C107" i="5"/>
  <c r="G107" i="5"/>
  <c r="C108" i="5"/>
  <c r="G108" i="5"/>
  <c r="C109" i="5"/>
  <c r="G109" i="5"/>
  <c r="C110" i="5"/>
  <c r="G110" i="5"/>
  <c r="C111" i="5"/>
  <c r="G111" i="5"/>
  <c r="C112" i="5"/>
  <c r="G112" i="5"/>
  <c r="C113" i="5"/>
  <c r="G113" i="5"/>
  <c r="C114" i="5"/>
  <c r="G114" i="5"/>
  <c r="C115" i="5"/>
  <c r="G115" i="5"/>
  <c r="C116" i="5"/>
  <c r="G116" i="5"/>
  <c r="C117" i="5"/>
  <c r="G117" i="5"/>
  <c r="C118" i="5"/>
  <c r="G118" i="5"/>
  <c r="C119" i="5"/>
  <c r="G119" i="5"/>
  <c r="C120" i="5"/>
  <c r="G120" i="5"/>
  <c r="C121" i="5"/>
  <c r="G121" i="5"/>
  <c r="C122" i="5"/>
  <c r="G122" i="5"/>
  <c r="C123" i="5"/>
  <c r="G123" i="5"/>
  <c r="C124" i="5"/>
  <c r="G124" i="5"/>
  <c r="C125" i="5"/>
  <c r="G125" i="5"/>
  <c r="C126" i="5"/>
  <c r="G126" i="5"/>
  <c r="C127" i="5"/>
  <c r="G127" i="5"/>
  <c r="C128" i="5"/>
  <c r="G128" i="5"/>
  <c r="C129" i="5"/>
  <c r="G129" i="5"/>
  <c r="C130" i="5"/>
  <c r="G130" i="5"/>
  <c r="C131" i="5"/>
  <c r="G131" i="5"/>
  <c r="C132" i="5"/>
  <c r="G132" i="5"/>
  <c r="C133" i="5"/>
  <c r="G133" i="5"/>
  <c r="C134" i="5"/>
  <c r="G134" i="5"/>
  <c r="C135" i="5"/>
  <c r="G135" i="5"/>
  <c r="C136" i="5"/>
  <c r="G136" i="5"/>
  <c r="C137" i="5"/>
  <c r="G137" i="5"/>
  <c r="C138" i="5"/>
  <c r="G138" i="5"/>
  <c r="C139" i="5"/>
  <c r="G139" i="5"/>
  <c r="C140" i="5"/>
  <c r="G140" i="5"/>
  <c r="C141" i="5"/>
  <c r="G141" i="5"/>
  <c r="C142" i="5"/>
  <c r="G142" i="5"/>
  <c r="C143" i="5"/>
  <c r="G143" i="5"/>
  <c r="C144" i="5"/>
  <c r="G144" i="5"/>
  <c r="C145" i="5"/>
  <c r="G145" i="5"/>
  <c r="C146" i="5"/>
  <c r="G146" i="5"/>
  <c r="C147" i="5"/>
  <c r="G147" i="5"/>
  <c r="C148" i="5"/>
  <c r="G148" i="5"/>
  <c r="C149" i="5"/>
  <c r="G149" i="5"/>
  <c r="C150" i="5"/>
  <c r="G150" i="5"/>
  <c r="C151" i="5"/>
  <c r="G151" i="5"/>
  <c r="C152" i="5"/>
  <c r="G152" i="5"/>
  <c r="C153" i="5"/>
  <c r="G153" i="5"/>
  <c r="C154" i="5"/>
  <c r="G154" i="5"/>
  <c r="C155" i="5"/>
  <c r="G155" i="5"/>
  <c r="C156" i="5"/>
  <c r="G156" i="5"/>
  <c r="C157" i="5"/>
  <c r="G157" i="5"/>
  <c r="C158" i="5"/>
  <c r="G158" i="5"/>
  <c r="C159" i="5"/>
  <c r="G159" i="5"/>
  <c r="C160" i="5"/>
  <c r="G160" i="5"/>
  <c r="C161" i="5"/>
  <c r="G161" i="5"/>
  <c r="C162" i="5"/>
  <c r="G162" i="5"/>
  <c r="C163" i="5"/>
  <c r="G163" i="5"/>
  <c r="C164" i="5"/>
  <c r="G164" i="5"/>
  <c r="C165" i="5"/>
  <c r="G165" i="5"/>
  <c r="C166" i="5"/>
  <c r="G166" i="5"/>
  <c r="C167" i="5"/>
  <c r="G167" i="5"/>
  <c r="C168" i="5"/>
  <c r="G168" i="5"/>
  <c r="C169" i="5"/>
  <c r="G169" i="5"/>
  <c r="C170" i="5"/>
  <c r="G170" i="5"/>
  <c r="C171" i="5"/>
  <c r="G171" i="5"/>
  <c r="C172" i="5"/>
  <c r="G172" i="5"/>
  <c r="C173" i="5"/>
  <c r="G173" i="5"/>
  <c r="C174" i="5"/>
  <c r="G174" i="5"/>
  <c r="C175" i="5"/>
  <c r="G175" i="5"/>
  <c r="C176" i="5"/>
  <c r="G176" i="5"/>
  <c r="C177" i="5"/>
  <c r="G177" i="5"/>
  <c r="C178" i="5"/>
  <c r="G178" i="5"/>
  <c r="C179" i="5"/>
  <c r="G179" i="5"/>
  <c r="C180" i="5"/>
  <c r="G180" i="5"/>
  <c r="C181" i="5"/>
  <c r="G181" i="5"/>
  <c r="C182" i="5"/>
  <c r="G182" i="5"/>
  <c r="C183" i="5"/>
  <c r="G183" i="5"/>
  <c r="C184" i="5"/>
  <c r="G184" i="5"/>
  <c r="C185" i="5"/>
  <c r="G185" i="5"/>
  <c r="C186" i="5"/>
  <c r="G186" i="5"/>
  <c r="C187" i="5"/>
  <c r="G187" i="5"/>
  <c r="C188" i="5"/>
  <c r="G188" i="5"/>
  <c r="C189" i="5"/>
  <c r="G189" i="5"/>
  <c r="C190" i="5"/>
  <c r="G190" i="5"/>
  <c r="C191" i="5"/>
  <c r="G191" i="5"/>
  <c r="C192" i="5"/>
  <c r="G192" i="5"/>
  <c r="C193" i="5"/>
  <c r="G193" i="5"/>
  <c r="C194" i="5"/>
  <c r="G194" i="5"/>
  <c r="C195" i="5"/>
  <c r="G195" i="5"/>
  <c r="C196" i="5"/>
  <c r="G196" i="5"/>
  <c r="C197" i="5"/>
  <c r="G197" i="5"/>
  <c r="C198" i="5"/>
  <c r="G198" i="5"/>
  <c r="C199" i="5"/>
  <c r="G199" i="5"/>
  <c r="C200" i="5"/>
  <c r="G200" i="5"/>
  <c r="C201" i="5"/>
  <c r="G201" i="5"/>
  <c r="C202" i="5"/>
  <c r="G202" i="5"/>
  <c r="C203" i="5"/>
  <c r="G203" i="5"/>
  <c r="C204" i="5"/>
  <c r="G204" i="5"/>
  <c r="C205" i="5"/>
  <c r="G205" i="5"/>
  <c r="C206" i="5"/>
  <c r="G206" i="5"/>
  <c r="C207" i="5"/>
  <c r="G207" i="5"/>
  <c r="C208" i="5"/>
  <c r="G208" i="5"/>
  <c r="C209" i="5"/>
  <c r="G209" i="5"/>
  <c r="C210" i="5"/>
  <c r="G210" i="5"/>
  <c r="C211" i="5"/>
  <c r="G211" i="5"/>
  <c r="C212" i="5"/>
  <c r="G212" i="5"/>
  <c r="C213" i="5"/>
  <c r="G213" i="5"/>
  <c r="C214" i="5"/>
  <c r="G214" i="5"/>
  <c r="C215" i="5"/>
  <c r="G215" i="5"/>
  <c r="C216" i="5"/>
  <c r="G216" i="5"/>
  <c r="C217" i="5"/>
  <c r="G217" i="5"/>
  <c r="C218" i="5"/>
  <c r="G218" i="5"/>
  <c r="C219" i="5"/>
  <c r="G219" i="5"/>
  <c r="C220" i="5"/>
  <c r="G220" i="5"/>
  <c r="C221" i="5"/>
  <c r="G221" i="5"/>
  <c r="C222" i="5"/>
  <c r="G222" i="5"/>
  <c r="C223" i="5"/>
  <c r="G223" i="5"/>
  <c r="C224" i="5"/>
  <c r="G224" i="5"/>
  <c r="C225" i="5"/>
  <c r="G225" i="5"/>
  <c r="C226" i="5"/>
  <c r="G226" i="5"/>
  <c r="C227" i="5"/>
  <c r="G227" i="5"/>
  <c r="L4" i="5"/>
  <c r="K4" i="5"/>
  <c r="H4" i="5" a="1"/>
  <c r="H4" i="5"/>
  <c r="I4" i="5"/>
  <c r="D4" i="5" a="1"/>
  <c r="D4" i="5"/>
  <c r="E18" i="5" a="1"/>
  <c r="E18" i="5"/>
  <c r="F18" i="5" a="1"/>
  <c r="F18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L124" i="5"/>
  <c r="L125" i="5"/>
  <c r="L126" i="5"/>
  <c r="L127" i="5"/>
  <c r="L128" i="5"/>
  <c r="L129" i="5"/>
  <c r="L130" i="5"/>
  <c r="L131" i="5"/>
  <c r="L132" i="5"/>
  <c r="L133" i="5"/>
  <c r="L134" i="5"/>
  <c r="L135" i="5"/>
  <c r="L136" i="5"/>
  <c r="L137" i="5"/>
  <c r="L138" i="5"/>
  <c r="L139" i="5"/>
  <c r="L140" i="5"/>
  <c r="L141" i="5"/>
  <c r="L142" i="5"/>
  <c r="L143" i="5"/>
  <c r="L144" i="5"/>
  <c r="L145" i="5"/>
  <c r="L146" i="5"/>
  <c r="L147" i="5"/>
  <c r="L148" i="5"/>
  <c r="L149" i="5"/>
  <c r="L150" i="5"/>
  <c r="L151" i="5"/>
  <c r="L152" i="5"/>
  <c r="L153" i="5"/>
  <c r="L154" i="5"/>
  <c r="L155" i="5"/>
  <c r="L156" i="5"/>
  <c r="L157" i="5"/>
  <c r="L158" i="5"/>
  <c r="L159" i="5"/>
  <c r="L160" i="5"/>
  <c r="L161" i="5"/>
  <c r="L162" i="5"/>
  <c r="L163" i="5"/>
  <c r="L164" i="5"/>
  <c r="L165" i="5"/>
  <c r="L166" i="5"/>
  <c r="L167" i="5"/>
  <c r="L168" i="5"/>
  <c r="L169" i="5"/>
  <c r="L170" i="5"/>
  <c r="L171" i="5"/>
  <c r="L172" i="5"/>
  <c r="L173" i="5"/>
  <c r="L174" i="5"/>
  <c r="L175" i="5"/>
  <c r="L176" i="5"/>
  <c r="L177" i="5"/>
  <c r="L178" i="5"/>
  <c r="L179" i="5"/>
  <c r="L180" i="5"/>
  <c r="L181" i="5"/>
  <c r="L182" i="5"/>
  <c r="L183" i="5"/>
  <c r="L184" i="5"/>
  <c r="L185" i="5"/>
  <c r="L186" i="5"/>
  <c r="L187" i="5"/>
  <c r="L188" i="5"/>
  <c r="L189" i="5"/>
  <c r="L190" i="5"/>
  <c r="L191" i="5"/>
  <c r="L192" i="5"/>
  <c r="L193" i="5"/>
  <c r="L194" i="5"/>
  <c r="L195" i="5"/>
  <c r="L196" i="5"/>
  <c r="L197" i="5"/>
  <c r="L198" i="5"/>
  <c r="L199" i="5"/>
  <c r="L200" i="5"/>
  <c r="L201" i="5"/>
  <c r="L202" i="5"/>
  <c r="L203" i="5"/>
  <c r="L204" i="5"/>
  <c r="L205" i="5"/>
  <c r="L206" i="5"/>
  <c r="L207" i="5"/>
  <c r="L208" i="5"/>
  <c r="L209" i="5"/>
  <c r="L210" i="5"/>
  <c r="L211" i="5"/>
  <c r="L212" i="5"/>
  <c r="L213" i="5"/>
  <c r="L214" i="5"/>
  <c r="L215" i="5"/>
  <c r="L216" i="5"/>
  <c r="L217" i="5"/>
  <c r="L218" i="5"/>
  <c r="L219" i="5"/>
  <c r="L220" i="5"/>
  <c r="L221" i="5"/>
  <c r="L222" i="5"/>
  <c r="L223" i="5"/>
  <c r="L224" i="5"/>
  <c r="L225" i="5"/>
  <c r="L226" i="5"/>
  <c r="L227" i="5"/>
  <c r="M4" i="5"/>
  <c r="N4" i="5"/>
  <c r="M5" i="5"/>
  <c r="N5" i="5"/>
  <c r="M6" i="5"/>
  <c r="N6" i="5"/>
  <c r="M7" i="5"/>
  <c r="N7" i="5"/>
  <c r="N8" i="5"/>
  <c r="B9" i="3"/>
  <c r="F9" i="3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5" i="5"/>
  <c r="N96" i="5"/>
  <c r="N97" i="5"/>
  <c r="N98" i="5"/>
  <c r="N99" i="5"/>
  <c r="N100" i="5"/>
  <c r="N101" i="5"/>
  <c r="N102" i="5"/>
  <c r="N103" i="5"/>
  <c r="N104" i="5"/>
  <c r="N105" i="5"/>
  <c r="N106" i="5"/>
  <c r="N107" i="5"/>
  <c r="N108" i="5"/>
  <c r="N109" i="5"/>
  <c r="N110" i="5"/>
  <c r="N111" i="5"/>
  <c r="N112" i="5"/>
  <c r="N113" i="5"/>
  <c r="N114" i="5"/>
  <c r="N115" i="5"/>
  <c r="N116" i="5"/>
  <c r="N117" i="5"/>
  <c r="N118" i="5"/>
  <c r="N119" i="5"/>
  <c r="N120" i="5"/>
  <c r="N121" i="5"/>
  <c r="N122" i="5"/>
  <c r="N123" i="5"/>
  <c r="N124" i="5"/>
  <c r="N125" i="5"/>
  <c r="N126" i="5"/>
  <c r="N127" i="5"/>
  <c r="N128" i="5"/>
  <c r="N129" i="5"/>
  <c r="N130" i="5"/>
  <c r="N131" i="5"/>
  <c r="N132" i="5"/>
  <c r="N133" i="5"/>
  <c r="N134" i="5"/>
  <c r="N135" i="5"/>
  <c r="N136" i="5"/>
  <c r="N137" i="5"/>
  <c r="N138" i="5"/>
  <c r="N139" i="5"/>
  <c r="N140" i="5"/>
  <c r="N141" i="5"/>
  <c r="N142" i="5"/>
  <c r="N143" i="5"/>
  <c r="N144" i="5"/>
  <c r="N145" i="5"/>
  <c r="N146" i="5"/>
  <c r="N147" i="5"/>
  <c r="N148" i="5"/>
  <c r="N149" i="5"/>
  <c r="N150" i="5"/>
  <c r="N151" i="5"/>
  <c r="N152" i="5"/>
  <c r="N153" i="5"/>
  <c r="N154" i="5"/>
  <c r="N155" i="5"/>
  <c r="N156" i="5"/>
  <c r="N157" i="5"/>
  <c r="N158" i="5"/>
  <c r="N159" i="5"/>
  <c r="N160" i="5"/>
  <c r="N161" i="5"/>
  <c r="N162" i="5"/>
  <c r="N163" i="5"/>
  <c r="N164" i="5"/>
  <c r="N165" i="5"/>
  <c r="N166" i="5"/>
  <c r="N167" i="5"/>
  <c r="N168" i="5"/>
  <c r="N169" i="5"/>
  <c r="N170" i="5"/>
  <c r="N171" i="5"/>
  <c r="N172" i="5"/>
  <c r="N173" i="5"/>
  <c r="N174" i="5"/>
  <c r="N175" i="5"/>
  <c r="N176" i="5"/>
  <c r="N177" i="5"/>
  <c r="N178" i="5"/>
  <c r="N179" i="5"/>
  <c r="N180" i="5"/>
  <c r="N181" i="5"/>
  <c r="N182" i="5"/>
  <c r="N183" i="5"/>
  <c r="N184" i="5"/>
  <c r="N185" i="5"/>
  <c r="N186" i="5"/>
  <c r="N187" i="5"/>
  <c r="N188" i="5"/>
  <c r="N189" i="5"/>
  <c r="N190" i="5"/>
  <c r="N191" i="5"/>
  <c r="N192" i="5"/>
  <c r="N193" i="5"/>
  <c r="N194" i="5"/>
  <c r="N195" i="5"/>
  <c r="N196" i="5"/>
  <c r="N197" i="5"/>
  <c r="N198" i="5"/>
  <c r="N199" i="5"/>
  <c r="N200" i="5"/>
  <c r="N201" i="5"/>
  <c r="N202" i="5"/>
  <c r="N203" i="5"/>
  <c r="N204" i="5"/>
  <c r="N205" i="5"/>
  <c r="N206" i="5"/>
  <c r="N207" i="5"/>
  <c r="N208" i="5"/>
  <c r="N209" i="5"/>
  <c r="N210" i="5"/>
  <c r="N211" i="5"/>
  <c r="N212" i="5"/>
  <c r="N213" i="5"/>
  <c r="N214" i="5"/>
  <c r="N215" i="5"/>
  <c r="N216" i="5"/>
  <c r="N217" i="5"/>
  <c r="N218" i="5"/>
  <c r="N219" i="5"/>
  <c r="N220" i="5"/>
  <c r="N221" i="5"/>
  <c r="N222" i="5"/>
  <c r="N223" i="5"/>
  <c r="N224" i="5"/>
  <c r="N225" i="5"/>
  <c r="N226" i="5"/>
  <c r="N227" i="5"/>
  <c r="B10" i="3"/>
  <c r="F10" i="3"/>
  <c r="B11" i="3"/>
  <c r="F11" i="3"/>
  <c r="B12" i="3"/>
  <c r="F12" i="3"/>
  <c r="B13" i="3"/>
  <c r="F13" i="3"/>
  <c r="B14" i="3"/>
  <c r="F14" i="3"/>
  <c r="B15" i="3"/>
  <c r="F15" i="3"/>
  <c r="B16" i="3"/>
  <c r="F16" i="3"/>
  <c r="B17" i="3"/>
  <c r="F17" i="3"/>
  <c r="B18" i="3"/>
  <c r="F18" i="3"/>
  <c r="B19" i="3"/>
  <c r="F19" i="3"/>
  <c r="B20" i="3"/>
  <c r="F20" i="3"/>
  <c r="B21" i="3"/>
  <c r="F21" i="3"/>
  <c r="B22" i="3"/>
  <c r="F22" i="3"/>
  <c r="B23" i="3"/>
  <c r="F23" i="3"/>
  <c r="B24" i="3"/>
  <c r="F24" i="3"/>
  <c r="B25" i="3"/>
  <c r="F25" i="3"/>
  <c r="B26" i="3"/>
  <c r="F26" i="3"/>
  <c r="B27" i="3"/>
  <c r="F27" i="3"/>
  <c r="B28" i="3"/>
  <c r="F28" i="3"/>
  <c r="B29" i="3"/>
  <c r="F29" i="3"/>
  <c r="B30" i="3"/>
  <c r="F30" i="3"/>
  <c r="B31" i="3"/>
  <c r="F31" i="3"/>
  <c r="B32" i="3"/>
  <c r="F32" i="3"/>
  <c r="B33" i="3"/>
  <c r="F33" i="3"/>
  <c r="B34" i="3"/>
  <c r="F34" i="3"/>
  <c r="B35" i="3"/>
  <c r="F35" i="3"/>
  <c r="B36" i="3"/>
  <c r="F36" i="3"/>
  <c r="B37" i="3"/>
  <c r="F37" i="3"/>
  <c r="B38" i="3"/>
  <c r="F38" i="3"/>
  <c r="B39" i="3"/>
  <c r="F39" i="3"/>
  <c r="B40" i="3"/>
  <c r="F40" i="3"/>
  <c r="B41" i="3"/>
  <c r="F41" i="3"/>
  <c r="B42" i="3"/>
  <c r="F42" i="3"/>
  <c r="B43" i="3"/>
  <c r="F43" i="3"/>
  <c r="B44" i="3"/>
  <c r="F44" i="3"/>
  <c r="B45" i="3"/>
  <c r="F45" i="3"/>
  <c r="B46" i="3"/>
  <c r="F46" i="3"/>
  <c r="B47" i="3"/>
  <c r="F47" i="3"/>
  <c r="B48" i="3"/>
  <c r="F48" i="3"/>
  <c r="B49" i="3"/>
  <c r="F49" i="3"/>
  <c r="B50" i="3"/>
  <c r="F50" i="3"/>
  <c r="B51" i="3"/>
  <c r="F51" i="3"/>
  <c r="B52" i="3"/>
  <c r="F52" i="3"/>
  <c r="B53" i="3"/>
  <c r="F53" i="3"/>
  <c r="B54" i="3"/>
  <c r="F54" i="3"/>
  <c r="B55" i="3"/>
  <c r="F55" i="3"/>
  <c r="B56" i="3"/>
  <c r="F56" i="3"/>
  <c r="B57" i="3"/>
  <c r="F57" i="3"/>
  <c r="B58" i="3"/>
  <c r="F58" i="3"/>
  <c r="B59" i="3"/>
  <c r="F59" i="3"/>
  <c r="B60" i="3"/>
  <c r="F60" i="3"/>
  <c r="B61" i="3"/>
  <c r="F61" i="3"/>
  <c r="B62" i="3"/>
  <c r="F62" i="3"/>
  <c r="B63" i="3"/>
  <c r="F63" i="3"/>
  <c r="B64" i="3"/>
  <c r="F64" i="3"/>
  <c r="B65" i="3"/>
  <c r="F65" i="3"/>
  <c r="B66" i="3"/>
  <c r="F66" i="3"/>
  <c r="B67" i="3"/>
  <c r="F67" i="3"/>
  <c r="B68" i="3"/>
  <c r="F68" i="3"/>
  <c r="B69" i="3"/>
  <c r="F69" i="3"/>
  <c r="B70" i="3"/>
  <c r="F70" i="3"/>
  <c r="B71" i="3"/>
  <c r="F71" i="3"/>
  <c r="B72" i="3"/>
  <c r="F72" i="3"/>
  <c r="B73" i="3"/>
  <c r="F73" i="3"/>
  <c r="B74" i="3"/>
  <c r="F74" i="3"/>
  <c r="B75" i="3"/>
  <c r="F75" i="3"/>
  <c r="B76" i="3"/>
  <c r="F76" i="3"/>
  <c r="B77" i="3"/>
  <c r="F77" i="3"/>
  <c r="B78" i="3"/>
  <c r="F78" i="3"/>
  <c r="B79" i="3"/>
  <c r="F79" i="3"/>
  <c r="B80" i="3"/>
  <c r="F80" i="3"/>
  <c r="B81" i="3"/>
  <c r="F81" i="3"/>
  <c r="B82" i="3"/>
  <c r="F82" i="3"/>
  <c r="B83" i="3"/>
  <c r="F83" i="3"/>
  <c r="B84" i="3"/>
  <c r="F84" i="3"/>
  <c r="B85" i="3"/>
  <c r="F85" i="3"/>
  <c r="B86" i="3"/>
  <c r="F86" i="3"/>
  <c r="B87" i="3"/>
  <c r="F87" i="3"/>
  <c r="B88" i="3"/>
  <c r="F88" i="3"/>
  <c r="B89" i="3"/>
  <c r="F89" i="3"/>
  <c r="B90" i="3"/>
  <c r="F90" i="3"/>
  <c r="B91" i="3"/>
  <c r="F91" i="3"/>
  <c r="B92" i="3"/>
  <c r="F92" i="3"/>
  <c r="B93" i="3"/>
  <c r="F93" i="3"/>
  <c r="B94" i="3"/>
  <c r="F94" i="3"/>
  <c r="B95" i="3"/>
  <c r="F95" i="3"/>
  <c r="B96" i="3"/>
  <c r="F96" i="3"/>
  <c r="B97" i="3"/>
  <c r="F97" i="3"/>
  <c r="B98" i="3"/>
  <c r="F98" i="3"/>
  <c r="B99" i="3"/>
  <c r="F99" i="3"/>
  <c r="B100" i="3"/>
  <c r="F100" i="3"/>
  <c r="B101" i="3"/>
  <c r="F101" i="3"/>
  <c r="B102" i="3"/>
  <c r="F102" i="3"/>
  <c r="B103" i="3"/>
  <c r="F103" i="3"/>
  <c r="B104" i="3"/>
  <c r="F104" i="3"/>
  <c r="B105" i="3"/>
  <c r="F105" i="3"/>
  <c r="B106" i="3"/>
  <c r="F106" i="3"/>
  <c r="B107" i="3"/>
  <c r="F107" i="3"/>
  <c r="B108" i="3"/>
  <c r="F108" i="3"/>
  <c r="B109" i="3"/>
  <c r="F109" i="3"/>
  <c r="B110" i="3"/>
  <c r="F110" i="3"/>
  <c r="B111" i="3"/>
  <c r="F111" i="3"/>
  <c r="B112" i="3"/>
  <c r="F112" i="3"/>
  <c r="B113" i="3"/>
  <c r="F113" i="3"/>
  <c r="B114" i="3"/>
  <c r="F114" i="3"/>
  <c r="B115" i="3"/>
  <c r="F115" i="3"/>
  <c r="B116" i="3"/>
  <c r="F116" i="3"/>
  <c r="B117" i="3"/>
  <c r="F117" i="3"/>
  <c r="B118" i="3"/>
  <c r="F118" i="3"/>
  <c r="B119" i="3"/>
  <c r="F119" i="3"/>
  <c r="B120" i="3"/>
  <c r="F120" i="3"/>
  <c r="B121" i="3"/>
  <c r="F121" i="3"/>
  <c r="B122" i="3"/>
  <c r="F122" i="3"/>
  <c r="B123" i="3"/>
  <c r="F123" i="3"/>
  <c r="B124" i="3"/>
  <c r="F124" i="3"/>
  <c r="B125" i="3"/>
  <c r="F125" i="3"/>
  <c r="B126" i="3"/>
  <c r="F126" i="3"/>
  <c r="B127" i="3"/>
  <c r="F127" i="3"/>
  <c r="B128" i="3"/>
  <c r="F128" i="3"/>
  <c r="B129" i="3"/>
  <c r="F129" i="3"/>
  <c r="B130" i="3"/>
  <c r="F130" i="3"/>
  <c r="B131" i="3"/>
  <c r="F131" i="3"/>
  <c r="B132" i="3"/>
  <c r="F132" i="3"/>
  <c r="B133" i="3"/>
  <c r="F133" i="3"/>
  <c r="B134" i="3"/>
  <c r="F134" i="3"/>
  <c r="B135" i="3"/>
  <c r="F135" i="3"/>
  <c r="B136" i="3"/>
  <c r="F136" i="3"/>
  <c r="B137" i="3"/>
  <c r="F137" i="3"/>
  <c r="B138" i="3"/>
  <c r="F138" i="3"/>
  <c r="B139" i="3"/>
  <c r="F139" i="3"/>
  <c r="B140" i="3"/>
  <c r="F140" i="3"/>
  <c r="B141" i="3"/>
  <c r="F141" i="3"/>
  <c r="B142" i="3"/>
  <c r="F142" i="3"/>
  <c r="B143" i="3"/>
  <c r="F143" i="3"/>
  <c r="B144" i="3"/>
  <c r="F144" i="3"/>
  <c r="B145" i="3"/>
  <c r="F145" i="3"/>
  <c r="B146" i="3"/>
  <c r="F146" i="3"/>
  <c r="B147" i="3"/>
  <c r="F147" i="3"/>
  <c r="B148" i="3"/>
  <c r="F148" i="3"/>
  <c r="B149" i="3"/>
  <c r="F149" i="3"/>
  <c r="B150" i="3"/>
  <c r="F150" i="3"/>
  <c r="B151" i="3"/>
  <c r="F151" i="3"/>
  <c r="B152" i="3"/>
  <c r="F152" i="3"/>
  <c r="B153" i="3"/>
  <c r="F153" i="3"/>
  <c r="B154" i="3"/>
  <c r="F154" i="3"/>
  <c r="B155" i="3"/>
  <c r="F155" i="3"/>
  <c r="B156" i="3"/>
  <c r="F156" i="3"/>
  <c r="B157" i="3"/>
  <c r="F157" i="3"/>
  <c r="B158" i="3"/>
  <c r="F158" i="3"/>
  <c r="B159" i="3"/>
  <c r="F159" i="3"/>
  <c r="B160" i="3"/>
  <c r="F160" i="3"/>
  <c r="B161" i="3"/>
  <c r="F161" i="3"/>
  <c r="B162" i="3"/>
  <c r="F162" i="3"/>
  <c r="B163" i="3"/>
  <c r="F163" i="3"/>
  <c r="B164" i="3"/>
  <c r="F164" i="3"/>
  <c r="B165" i="3"/>
  <c r="F165" i="3"/>
  <c r="B166" i="3"/>
  <c r="F166" i="3"/>
  <c r="B167" i="3"/>
  <c r="F167" i="3"/>
  <c r="B168" i="3"/>
  <c r="F168" i="3"/>
  <c r="B169" i="3"/>
  <c r="F169" i="3"/>
  <c r="B170" i="3"/>
  <c r="F170" i="3"/>
  <c r="B171" i="3"/>
  <c r="F171" i="3"/>
  <c r="B172" i="3"/>
  <c r="F172" i="3"/>
  <c r="B173" i="3"/>
  <c r="F173" i="3"/>
  <c r="B174" i="3"/>
  <c r="F174" i="3"/>
  <c r="B175" i="3"/>
  <c r="F175" i="3"/>
  <c r="B176" i="3"/>
  <c r="F176" i="3"/>
  <c r="B177" i="3"/>
  <c r="F177" i="3"/>
  <c r="B178" i="3"/>
  <c r="F178" i="3"/>
  <c r="B179" i="3"/>
  <c r="F179" i="3"/>
  <c r="B180" i="3"/>
  <c r="F180" i="3"/>
  <c r="B181" i="3"/>
  <c r="F181" i="3"/>
  <c r="B182" i="3"/>
  <c r="F182" i="3"/>
  <c r="B183" i="3"/>
  <c r="F183" i="3"/>
  <c r="B184" i="3"/>
  <c r="F184" i="3"/>
  <c r="B185" i="3"/>
  <c r="F185" i="3"/>
  <c r="B186" i="3"/>
  <c r="F186" i="3"/>
  <c r="B187" i="3"/>
  <c r="F187" i="3"/>
  <c r="B188" i="3"/>
  <c r="F188" i="3"/>
  <c r="B189" i="3"/>
  <c r="F189" i="3"/>
  <c r="B190" i="3"/>
  <c r="F190" i="3"/>
  <c r="B191" i="3"/>
  <c r="F191" i="3"/>
  <c r="B192" i="3"/>
  <c r="F192" i="3"/>
  <c r="B193" i="3"/>
  <c r="F193" i="3"/>
  <c r="B194" i="3"/>
  <c r="F194" i="3"/>
  <c r="B195" i="3"/>
  <c r="F195" i="3"/>
  <c r="B196" i="3"/>
  <c r="F196" i="3"/>
  <c r="B197" i="3"/>
  <c r="F197" i="3"/>
  <c r="B198" i="3"/>
  <c r="F198" i="3"/>
  <c r="B199" i="3"/>
  <c r="F199" i="3"/>
  <c r="B200" i="3"/>
  <c r="F200" i="3"/>
  <c r="B201" i="3"/>
  <c r="F201" i="3"/>
  <c r="B202" i="3"/>
  <c r="F202" i="3"/>
  <c r="B203" i="3"/>
  <c r="F203" i="3"/>
  <c r="B204" i="3"/>
  <c r="F204" i="3"/>
  <c r="B205" i="3"/>
  <c r="F205" i="3"/>
  <c r="B206" i="3"/>
  <c r="F206" i="3"/>
  <c r="B207" i="3"/>
  <c r="F207" i="3"/>
  <c r="B208" i="3"/>
  <c r="F208" i="3"/>
  <c r="B209" i="3"/>
  <c r="F209" i="3"/>
  <c r="B210" i="3"/>
  <c r="F210" i="3"/>
  <c r="B211" i="3"/>
  <c r="F211" i="3"/>
  <c r="I10" i="3"/>
  <c r="O6" i="2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E19" i="5" a="1"/>
  <c r="E19" i="5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I9" i="3"/>
  <c r="I11" i="3"/>
  <c r="O8" i="2"/>
  <c r="P8" i="2"/>
  <c r="P7" i="2"/>
  <c r="Q7" i="2"/>
  <c r="O7" i="2"/>
  <c r="S6" i="2"/>
  <c r="D3" i="8"/>
  <c r="F19" i="5" a="1"/>
  <c r="F19" i="5"/>
  <c r="E20" i="5" a="1"/>
  <c r="E20" i="5"/>
  <c r="F20" i="5" a="1"/>
  <c r="F20" i="5"/>
  <c r="E21" i="5" a="1"/>
  <c r="E21" i="5"/>
  <c r="F21" i="5" a="1"/>
  <c r="F21" i="5"/>
  <c r="M8" i="5"/>
  <c r="M10" i="5"/>
  <c r="E22" i="5" a="1"/>
  <c r="E22" i="5"/>
  <c r="Q4" i="5"/>
  <c r="R4" i="5"/>
  <c r="Q5" i="5"/>
  <c r="R5" i="5"/>
  <c r="Q6" i="5"/>
  <c r="R6" i="5"/>
  <c r="Q7" i="5"/>
  <c r="R7" i="5"/>
  <c r="Q8" i="5"/>
  <c r="R8" i="5"/>
  <c r="Q9" i="5"/>
  <c r="R9" i="5"/>
  <c r="Q10" i="5"/>
  <c r="R10" i="5"/>
  <c r="Q11" i="5"/>
  <c r="R11" i="5"/>
  <c r="Q12" i="5"/>
  <c r="R12" i="5"/>
  <c r="Q13" i="5"/>
  <c r="R13" i="5"/>
  <c r="Q14" i="5"/>
  <c r="R14" i="5"/>
  <c r="Q15" i="5"/>
  <c r="R15" i="5"/>
  <c r="Q16" i="5"/>
  <c r="R16" i="5"/>
  <c r="Q17" i="5"/>
  <c r="R17" i="5"/>
  <c r="Q18" i="5"/>
  <c r="R18" i="5"/>
  <c r="Q19" i="5"/>
  <c r="R19" i="5"/>
  <c r="Q20" i="5"/>
  <c r="R20" i="5"/>
  <c r="Q21" i="5"/>
  <c r="R21" i="5"/>
  <c r="Q22" i="5"/>
  <c r="R22" i="5"/>
  <c r="Q23" i="5"/>
  <c r="R23" i="5"/>
  <c r="Q24" i="5"/>
  <c r="R24" i="5"/>
  <c r="Q25" i="5"/>
  <c r="R25" i="5"/>
  <c r="Q26" i="5"/>
  <c r="R26" i="5"/>
  <c r="Q27" i="5"/>
  <c r="R27" i="5"/>
  <c r="Q28" i="5"/>
  <c r="R28" i="5"/>
  <c r="Q29" i="5"/>
  <c r="R29" i="5"/>
  <c r="Q30" i="5"/>
  <c r="R30" i="5"/>
  <c r="Q31" i="5"/>
  <c r="R31" i="5"/>
  <c r="Q32" i="5"/>
  <c r="R32" i="5"/>
  <c r="Q33" i="5"/>
  <c r="R33" i="5"/>
  <c r="Q34" i="5"/>
  <c r="R34" i="5"/>
  <c r="Q35" i="5"/>
  <c r="R35" i="5"/>
  <c r="Q36" i="5"/>
  <c r="R36" i="5"/>
  <c r="Q37" i="5"/>
  <c r="R37" i="5"/>
  <c r="Q38" i="5"/>
  <c r="R38" i="5"/>
  <c r="Q39" i="5"/>
  <c r="R39" i="5"/>
  <c r="Q40" i="5"/>
  <c r="R40" i="5"/>
  <c r="Q41" i="5"/>
  <c r="R41" i="5"/>
  <c r="Q42" i="5"/>
  <c r="R42" i="5"/>
  <c r="Q43" i="5"/>
  <c r="R43" i="5"/>
  <c r="Q44" i="5"/>
  <c r="R44" i="5"/>
  <c r="Q45" i="5"/>
  <c r="R45" i="5"/>
  <c r="Q46" i="5"/>
  <c r="R46" i="5"/>
  <c r="Q47" i="5"/>
  <c r="R47" i="5"/>
  <c r="Q48" i="5"/>
  <c r="R48" i="5"/>
  <c r="Q49" i="5"/>
  <c r="R49" i="5"/>
  <c r="Q50" i="5"/>
  <c r="R50" i="5"/>
  <c r="Q51" i="5"/>
  <c r="R51" i="5"/>
  <c r="Q52" i="5"/>
  <c r="R52" i="5"/>
  <c r="Q53" i="5"/>
  <c r="R53" i="5"/>
  <c r="Q54" i="5"/>
  <c r="R54" i="5"/>
  <c r="Q55" i="5"/>
  <c r="R55" i="5"/>
  <c r="Q56" i="5"/>
  <c r="R56" i="5"/>
  <c r="Q57" i="5"/>
  <c r="R57" i="5"/>
  <c r="Q58" i="5"/>
  <c r="R58" i="5"/>
  <c r="Q59" i="5"/>
  <c r="R59" i="5"/>
  <c r="Q60" i="5"/>
  <c r="R60" i="5"/>
  <c r="Q61" i="5"/>
  <c r="R61" i="5"/>
  <c r="Q62" i="5"/>
  <c r="R62" i="5"/>
  <c r="Q63" i="5"/>
  <c r="R63" i="5"/>
  <c r="Q64" i="5"/>
  <c r="R64" i="5"/>
  <c r="Q65" i="5"/>
  <c r="R65" i="5"/>
  <c r="Q66" i="5"/>
  <c r="R66" i="5"/>
  <c r="Q67" i="5"/>
  <c r="R67" i="5"/>
  <c r="Q68" i="5"/>
  <c r="R68" i="5"/>
  <c r="Q69" i="5"/>
  <c r="R69" i="5"/>
  <c r="Q70" i="5"/>
  <c r="R70" i="5"/>
  <c r="Q71" i="5"/>
  <c r="R71" i="5"/>
  <c r="Q72" i="5"/>
  <c r="R72" i="5"/>
  <c r="Q73" i="5"/>
  <c r="R73" i="5"/>
  <c r="Q74" i="5"/>
  <c r="R74" i="5"/>
  <c r="Q75" i="5"/>
  <c r="R75" i="5"/>
  <c r="Q76" i="5"/>
  <c r="R76" i="5"/>
  <c r="Q77" i="5"/>
  <c r="R77" i="5"/>
  <c r="Q78" i="5"/>
  <c r="R78" i="5"/>
  <c r="Q79" i="5"/>
  <c r="R79" i="5"/>
  <c r="Q80" i="5"/>
  <c r="R80" i="5"/>
  <c r="Q81" i="5"/>
  <c r="R81" i="5"/>
  <c r="Q82" i="5"/>
  <c r="R82" i="5"/>
  <c r="Q83" i="5"/>
  <c r="R83" i="5"/>
  <c r="Q84" i="5"/>
  <c r="R84" i="5"/>
  <c r="Q85" i="5"/>
  <c r="R85" i="5"/>
  <c r="Q86" i="5"/>
  <c r="R86" i="5"/>
  <c r="Q87" i="5"/>
  <c r="R87" i="5"/>
  <c r="Q88" i="5"/>
  <c r="R88" i="5"/>
  <c r="Q89" i="5"/>
  <c r="R89" i="5"/>
  <c r="H5" i="5" a="1"/>
  <c r="H5" i="5"/>
  <c r="H6" i="5" a="1"/>
  <c r="H6" i="5"/>
  <c r="H7" i="5" a="1"/>
  <c r="H7" i="5"/>
  <c r="I6" i="5"/>
  <c r="I7" i="5"/>
  <c r="P5" i="2"/>
  <c r="Q5" i="2"/>
  <c r="O5" i="2"/>
  <c r="S9" i="2"/>
  <c r="S12" i="2"/>
  <c r="H20" i="5" a="1"/>
  <c r="H20" i="5"/>
  <c r="H21" i="5" a="1"/>
  <c r="H21" i="5"/>
  <c r="D21" i="5" a="1"/>
  <c r="D21" i="5"/>
  <c r="D20" i="5" a="1"/>
  <c r="D20" i="5"/>
  <c r="I21" i="5"/>
  <c r="I20" i="5"/>
  <c r="K21" i="5"/>
  <c r="K20" i="5"/>
  <c r="K19" i="5"/>
  <c r="K18" i="5"/>
  <c r="K17" i="5"/>
  <c r="K16" i="5"/>
  <c r="K15" i="5"/>
  <c r="K14" i="5"/>
  <c r="K13" i="5"/>
  <c r="K12" i="5"/>
  <c r="H22" i="5" a="1"/>
  <c r="H22" i="5"/>
  <c r="H23" i="5" a="1"/>
  <c r="H23" i="5"/>
  <c r="H24" i="5" a="1"/>
  <c r="H24" i="5"/>
  <c r="H25" i="5" a="1"/>
  <c r="H25" i="5"/>
  <c r="H26" i="5" a="1"/>
  <c r="H26" i="5"/>
  <c r="H27" i="5" a="1"/>
  <c r="H27" i="5"/>
  <c r="H28" i="5" a="1"/>
  <c r="H28" i="5"/>
  <c r="H29" i="5" a="1"/>
  <c r="H29" i="5"/>
  <c r="H30" i="5" a="1"/>
  <c r="H30" i="5"/>
  <c r="H31" i="5" a="1"/>
  <c r="H31" i="5"/>
  <c r="H32" i="5" a="1"/>
  <c r="H32" i="5"/>
  <c r="H33" i="5" a="1"/>
  <c r="H33" i="5"/>
  <c r="H34" i="5" a="1"/>
  <c r="H34" i="5"/>
  <c r="H35" i="5" a="1"/>
  <c r="H35" i="5"/>
  <c r="H36" i="5" a="1"/>
  <c r="H36" i="5"/>
  <c r="H37" i="5" a="1"/>
  <c r="H37" i="5"/>
  <c r="H38" i="5" a="1"/>
  <c r="H38" i="5"/>
  <c r="H39" i="5" a="1"/>
  <c r="H39" i="5"/>
  <c r="H40" i="5" a="1"/>
  <c r="H40" i="5"/>
  <c r="H41" i="5" a="1"/>
  <c r="H41" i="5"/>
  <c r="H42" i="5" a="1"/>
  <c r="H42" i="5"/>
  <c r="H43" i="5" a="1"/>
  <c r="H43" i="5"/>
  <c r="H44" i="5" a="1"/>
  <c r="H44" i="5"/>
  <c r="H45" i="5" a="1"/>
  <c r="H45" i="5"/>
  <c r="H46" i="5" a="1"/>
  <c r="H46" i="5"/>
  <c r="H47" i="5" a="1"/>
  <c r="H47" i="5"/>
  <c r="H48" i="5" a="1"/>
  <c r="H48" i="5"/>
  <c r="H49" i="5" a="1"/>
  <c r="H49" i="5"/>
  <c r="H50" i="5" a="1"/>
  <c r="H50" i="5"/>
  <c r="H51" i="5" a="1"/>
  <c r="H51" i="5"/>
  <c r="H52" i="5" a="1"/>
  <c r="H52" i="5"/>
  <c r="H53" i="5" a="1"/>
  <c r="H53" i="5"/>
  <c r="H54" i="5" a="1"/>
  <c r="H54" i="5"/>
  <c r="H55" i="5" a="1"/>
  <c r="H55" i="5"/>
  <c r="H56" i="5" a="1"/>
  <c r="H56" i="5"/>
  <c r="H57" i="5" a="1"/>
  <c r="H57" i="5"/>
  <c r="H58" i="5" a="1"/>
  <c r="H58" i="5"/>
  <c r="H59" i="5" a="1"/>
  <c r="H59" i="5"/>
  <c r="H60" i="5" a="1"/>
  <c r="H60" i="5"/>
  <c r="H61" i="5" a="1"/>
  <c r="H61" i="5"/>
  <c r="H62" i="5" a="1"/>
  <c r="H62" i="5"/>
  <c r="H63" i="5" a="1"/>
  <c r="H63" i="5"/>
  <c r="H64" i="5" a="1"/>
  <c r="H64" i="5"/>
  <c r="H65" i="5" a="1"/>
  <c r="H65" i="5"/>
  <c r="H66" i="5" a="1"/>
  <c r="H66" i="5"/>
  <c r="H67" i="5" a="1"/>
  <c r="H67" i="5"/>
  <c r="H68" i="5" a="1"/>
  <c r="H68" i="5"/>
  <c r="H69" i="5" a="1"/>
  <c r="H69" i="5"/>
  <c r="H70" i="5" a="1"/>
  <c r="H70" i="5"/>
  <c r="H71" i="5" a="1"/>
  <c r="H71" i="5"/>
  <c r="H72" i="5" a="1"/>
  <c r="H72" i="5"/>
  <c r="H73" i="5" a="1"/>
  <c r="H73" i="5"/>
  <c r="H74" i="5" a="1"/>
  <c r="H74" i="5"/>
  <c r="H75" i="5" a="1"/>
  <c r="H75" i="5"/>
  <c r="H76" i="5" a="1"/>
  <c r="H76" i="5"/>
  <c r="H77" i="5" a="1"/>
  <c r="H77" i="5"/>
  <c r="H78" i="5" a="1"/>
  <c r="H78" i="5"/>
  <c r="H79" i="5" a="1"/>
  <c r="H79" i="5"/>
  <c r="H80" i="5" a="1"/>
  <c r="H80" i="5"/>
  <c r="H81" i="5" a="1"/>
  <c r="H81" i="5"/>
  <c r="H82" i="5" a="1"/>
  <c r="H82" i="5"/>
  <c r="H83" i="5" a="1"/>
  <c r="H83" i="5"/>
  <c r="H84" i="5" a="1"/>
  <c r="H84" i="5"/>
  <c r="H85" i="5" a="1"/>
  <c r="H85" i="5"/>
  <c r="H86" i="5" a="1"/>
  <c r="H86" i="5"/>
  <c r="H87" i="5" a="1"/>
  <c r="H87" i="5"/>
  <c r="H88" i="5" a="1"/>
  <c r="H88" i="5"/>
  <c r="H89" i="5" a="1"/>
  <c r="H89" i="5"/>
  <c r="H90" i="5" a="1"/>
  <c r="H90" i="5"/>
  <c r="H91" i="5" a="1"/>
  <c r="H91" i="5"/>
  <c r="H92" i="5" a="1"/>
  <c r="H92" i="5"/>
  <c r="H93" i="5" a="1"/>
  <c r="H93" i="5"/>
  <c r="H94" i="5" a="1"/>
  <c r="H94" i="5"/>
  <c r="H95" i="5" a="1"/>
  <c r="H95" i="5"/>
  <c r="H96" i="5" a="1"/>
  <c r="H96" i="5"/>
  <c r="H97" i="5" a="1"/>
  <c r="H97" i="5"/>
  <c r="H98" i="5" a="1"/>
  <c r="H98" i="5"/>
  <c r="H99" i="5" a="1"/>
  <c r="H99" i="5"/>
  <c r="H100" i="5" a="1"/>
  <c r="H100" i="5"/>
  <c r="H101" i="5" a="1"/>
  <c r="H101" i="5"/>
  <c r="H102" i="5" a="1"/>
  <c r="H102" i="5"/>
  <c r="H103" i="5" a="1"/>
  <c r="H103" i="5"/>
  <c r="H104" i="5" a="1"/>
  <c r="H104" i="5"/>
  <c r="H105" i="5" a="1"/>
  <c r="H105" i="5"/>
  <c r="H106" i="5" a="1"/>
  <c r="H106" i="5"/>
  <c r="H107" i="5" a="1"/>
  <c r="H107" i="5"/>
  <c r="H108" i="5" a="1"/>
  <c r="H108" i="5"/>
  <c r="H109" i="5" a="1"/>
  <c r="H109" i="5"/>
  <c r="H110" i="5" a="1"/>
  <c r="H110" i="5"/>
  <c r="H111" i="5" a="1"/>
  <c r="H111" i="5"/>
  <c r="H112" i="5" a="1"/>
  <c r="H112" i="5"/>
  <c r="H113" i="5" a="1"/>
  <c r="H113" i="5"/>
  <c r="H114" i="5" a="1"/>
  <c r="H114" i="5"/>
  <c r="H115" i="5" a="1"/>
  <c r="H115" i="5"/>
  <c r="H116" i="5" a="1"/>
  <c r="H116" i="5"/>
  <c r="H117" i="5" a="1"/>
  <c r="H117" i="5"/>
  <c r="H118" i="5" a="1"/>
  <c r="H118" i="5"/>
  <c r="H119" i="5" a="1"/>
  <c r="H119" i="5"/>
  <c r="H120" i="5" a="1"/>
  <c r="H120" i="5"/>
  <c r="H121" i="5" a="1"/>
  <c r="H121" i="5"/>
  <c r="H122" i="5" a="1"/>
  <c r="H122" i="5"/>
  <c r="H123" i="5" a="1"/>
  <c r="H123" i="5"/>
  <c r="H124" i="5" a="1"/>
  <c r="H124" i="5"/>
  <c r="H125" i="5" a="1"/>
  <c r="H125" i="5"/>
  <c r="H126" i="5" a="1"/>
  <c r="H126" i="5"/>
  <c r="H127" i="5" a="1"/>
  <c r="H127" i="5"/>
  <c r="H128" i="5" a="1"/>
  <c r="H128" i="5"/>
  <c r="H129" i="5" a="1"/>
  <c r="H129" i="5"/>
  <c r="H130" i="5" a="1"/>
  <c r="H130" i="5"/>
  <c r="H131" i="5" a="1"/>
  <c r="H131" i="5"/>
  <c r="H132" i="5" a="1"/>
  <c r="H132" i="5"/>
  <c r="H133" i="5" a="1"/>
  <c r="H133" i="5"/>
  <c r="H134" i="5" a="1"/>
  <c r="H134" i="5"/>
  <c r="H135" i="5" a="1"/>
  <c r="H135" i="5"/>
  <c r="H136" i="5" a="1"/>
  <c r="H136" i="5"/>
  <c r="H137" i="5" a="1"/>
  <c r="H137" i="5"/>
  <c r="H138" i="5" a="1"/>
  <c r="H138" i="5"/>
  <c r="H139" i="5" a="1"/>
  <c r="H139" i="5"/>
  <c r="H140" i="5" a="1"/>
  <c r="H140" i="5"/>
  <c r="H141" i="5" a="1"/>
  <c r="H141" i="5"/>
  <c r="H142" i="5" a="1"/>
  <c r="H142" i="5"/>
  <c r="H143" i="5" a="1"/>
  <c r="H143" i="5"/>
  <c r="H144" i="5" a="1"/>
  <c r="H144" i="5"/>
  <c r="H145" i="5" a="1"/>
  <c r="H145" i="5"/>
  <c r="H146" i="5" a="1"/>
  <c r="H146" i="5"/>
  <c r="H147" i="5" a="1"/>
  <c r="H147" i="5"/>
  <c r="H148" i="5" a="1"/>
  <c r="H148" i="5"/>
  <c r="H149" i="5" a="1"/>
  <c r="H149" i="5"/>
  <c r="H150" i="5" a="1"/>
  <c r="H150" i="5"/>
  <c r="H151" i="5" a="1"/>
  <c r="H151" i="5"/>
  <c r="H152" i="5" a="1"/>
  <c r="H152" i="5"/>
  <c r="H153" i="5" a="1"/>
  <c r="H153" i="5"/>
  <c r="H154" i="5" a="1"/>
  <c r="H154" i="5"/>
  <c r="H155" i="5" a="1"/>
  <c r="H155" i="5"/>
  <c r="H156" i="5" a="1"/>
  <c r="H156" i="5"/>
  <c r="H157" i="5" a="1"/>
  <c r="H157" i="5"/>
  <c r="H158" i="5" a="1"/>
  <c r="H158" i="5"/>
  <c r="H159" i="5" a="1"/>
  <c r="H159" i="5"/>
  <c r="H160" i="5" a="1"/>
  <c r="H160" i="5"/>
  <c r="H161" i="5" a="1"/>
  <c r="H161" i="5"/>
  <c r="H162" i="5" a="1"/>
  <c r="H162" i="5"/>
  <c r="H163" i="5" a="1"/>
  <c r="H163" i="5"/>
  <c r="H164" i="5" a="1"/>
  <c r="H164" i="5"/>
  <c r="H165" i="5" a="1"/>
  <c r="H165" i="5"/>
  <c r="H166" i="5" a="1"/>
  <c r="H166" i="5"/>
  <c r="H167" i="5" a="1"/>
  <c r="H167" i="5"/>
  <c r="H168" i="5" a="1"/>
  <c r="H168" i="5"/>
  <c r="H169" i="5" a="1"/>
  <c r="H169" i="5"/>
  <c r="H170" i="5" a="1"/>
  <c r="H170" i="5"/>
  <c r="H171" i="5" a="1"/>
  <c r="H171" i="5"/>
  <c r="H172" i="5" a="1"/>
  <c r="H172" i="5"/>
  <c r="H173" i="5" a="1"/>
  <c r="H173" i="5"/>
  <c r="H174" i="5" a="1"/>
  <c r="H174" i="5"/>
  <c r="H175" i="5" a="1"/>
  <c r="H175" i="5"/>
  <c r="H176" i="5" a="1"/>
  <c r="H176" i="5"/>
  <c r="H177" i="5" a="1"/>
  <c r="H177" i="5"/>
  <c r="H178" i="5" a="1"/>
  <c r="H178" i="5"/>
  <c r="H179" i="5" a="1"/>
  <c r="H179" i="5"/>
  <c r="H180" i="5" a="1"/>
  <c r="H180" i="5"/>
  <c r="H181" i="5" a="1"/>
  <c r="H181" i="5"/>
  <c r="H182" i="5" a="1"/>
  <c r="H182" i="5"/>
  <c r="H183" i="5" a="1"/>
  <c r="H183" i="5"/>
  <c r="H184" i="5" a="1"/>
  <c r="H184" i="5"/>
  <c r="H185" i="5" a="1"/>
  <c r="H185" i="5"/>
  <c r="H186" i="5" a="1"/>
  <c r="H186" i="5"/>
  <c r="H187" i="5" a="1"/>
  <c r="H187" i="5"/>
  <c r="H188" i="5" a="1"/>
  <c r="H188" i="5"/>
  <c r="H189" i="5" a="1"/>
  <c r="H189" i="5"/>
  <c r="H190" i="5" a="1"/>
  <c r="H190" i="5"/>
  <c r="H191" i="5" a="1"/>
  <c r="H191" i="5"/>
  <c r="H192" i="5" a="1"/>
  <c r="H192" i="5"/>
  <c r="H193" i="5" a="1"/>
  <c r="H193" i="5"/>
  <c r="H194" i="5" a="1"/>
  <c r="H194" i="5"/>
  <c r="H195" i="5" a="1"/>
  <c r="H195" i="5"/>
  <c r="H196" i="5" a="1"/>
  <c r="H196" i="5"/>
  <c r="H197" i="5" a="1"/>
  <c r="H197" i="5"/>
  <c r="H198" i="5" a="1"/>
  <c r="H198" i="5"/>
  <c r="H199" i="5" a="1"/>
  <c r="H199" i="5"/>
  <c r="H200" i="5" a="1"/>
  <c r="H200" i="5"/>
  <c r="H201" i="5" a="1"/>
  <c r="H201" i="5"/>
  <c r="H202" i="5" a="1"/>
  <c r="H202" i="5"/>
  <c r="H203" i="5" a="1"/>
  <c r="H203" i="5"/>
  <c r="H204" i="5" a="1"/>
  <c r="H204" i="5"/>
  <c r="H205" i="5" a="1"/>
  <c r="H205" i="5"/>
  <c r="H206" i="5" a="1"/>
  <c r="H206" i="5"/>
  <c r="H207" i="5" a="1"/>
  <c r="H207" i="5"/>
  <c r="H208" i="5" a="1"/>
  <c r="H208" i="5"/>
  <c r="H209" i="5" a="1"/>
  <c r="H209" i="5"/>
  <c r="H210" i="5" a="1"/>
  <c r="H210" i="5"/>
  <c r="H211" i="5" a="1"/>
  <c r="H211" i="5"/>
  <c r="H212" i="5" a="1"/>
  <c r="H212" i="5"/>
  <c r="H213" i="5" a="1"/>
  <c r="H213" i="5"/>
  <c r="H214" i="5" a="1"/>
  <c r="H214" i="5"/>
  <c r="H215" i="5" a="1"/>
  <c r="H215" i="5"/>
  <c r="H216" i="5" a="1"/>
  <c r="H216" i="5"/>
  <c r="H217" i="5" a="1"/>
  <c r="H217" i="5"/>
  <c r="H218" i="5" a="1"/>
  <c r="H218" i="5"/>
  <c r="H219" i="5" a="1"/>
  <c r="H219" i="5"/>
  <c r="H220" i="5" a="1"/>
  <c r="H220" i="5"/>
  <c r="H221" i="5" a="1"/>
  <c r="H221" i="5"/>
  <c r="H222" i="5" a="1"/>
  <c r="H222" i="5"/>
  <c r="H223" i="5" a="1"/>
  <c r="H223" i="5"/>
  <c r="H224" i="5" a="1"/>
  <c r="H224" i="5"/>
  <c r="H225" i="5" a="1"/>
  <c r="H225" i="5"/>
  <c r="H226" i="5" a="1"/>
  <c r="H226" i="5"/>
  <c r="H227" i="5" a="1"/>
  <c r="H227" i="5"/>
  <c r="F22" i="5" a="1"/>
  <c r="F22" i="5"/>
  <c r="F23" i="5" a="1"/>
  <c r="F23" i="5"/>
  <c r="F24" i="5" a="1"/>
  <c r="F24" i="5"/>
  <c r="F25" i="5" a="1"/>
  <c r="F25" i="5"/>
  <c r="F26" i="5" a="1"/>
  <c r="F26" i="5"/>
  <c r="F27" i="5" a="1"/>
  <c r="F27" i="5"/>
  <c r="F28" i="5" a="1"/>
  <c r="F28" i="5"/>
  <c r="F29" i="5" a="1"/>
  <c r="F29" i="5"/>
  <c r="F30" i="5" a="1"/>
  <c r="F30" i="5"/>
  <c r="F31" i="5" a="1"/>
  <c r="F31" i="5"/>
  <c r="F32" i="5" a="1"/>
  <c r="F32" i="5"/>
  <c r="F33" i="5" a="1"/>
  <c r="F33" i="5"/>
  <c r="F34" i="5" a="1"/>
  <c r="F34" i="5"/>
  <c r="F35" i="5" a="1"/>
  <c r="F35" i="5"/>
  <c r="F36" i="5" a="1"/>
  <c r="F36" i="5"/>
  <c r="F37" i="5" a="1"/>
  <c r="F37" i="5"/>
  <c r="F38" i="5" a="1"/>
  <c r="F38" i="5"/>
  <c r="F39" i="5" a="1"/>
  <c r="F39" i="5"/>
  <c r="F40" i="5" a="1"/>
  <c r="F40" i="5"/>
  <c r="F41" i="5" a="1"/>
  <c r="F41" i="5"/>
  <c r="F42" i="5" a="1"/>
  <c r="F42" i="5"/>
  <c r="F43" i="5" a="1"/>
  <c r="F43" i="5"/>
  <c r="F44" i="5" a="1"/>
  <c r="F44" i="5"/>
  <c r="F45" i="5" a="1"/>
  <c r="F45" i="5"/>
  <c r="F46" i="5" a="1"/>
  <c r="F46" i="5"/>
  <c r="F47" i="5" a="1"/>
  <c r="F47" i="5"/>
  <c r="F48" i="5" a="1"/>
  <c r="F48" i="5"/>
  <c r="F49" i="5" a="1"/>
  <c r="F49" i="5"/>
  <c r="F50" i="5" a="1"/>
  <c r="F50" i="5"/>
  <c r="F51" i="5" a="1"/>
  <c r="F51" i="5"/>
  <c r="F52" i="5" a="1"/>
  <c r="F52" i="5"/>
  <c r="F53" i="5" a="1"/>
  <c r="F53" i="5"/>
  <c r="F54" i="5" a="1"/>
  <c r="F54" i="5"/>
  <c r="F55" i="5" a="1"/>
  <c r="F55" i="5"/>
  <c r="F56" i="5" a="1"/>
  <c r="F56" i="5"/>
  <c r="F57" i="5" a="1"/>
  <c r="F57" i="5"/>
  <c r="F58" i="5" a="1"/>
  <c r="F58" i="5"/>
  <c r="F59" i="5" a="1"/>
  <c r="F59" i="5"/>
  <c r="F60" i="5" a="1"/>
  <c r="F60" i="5"/>
  <c r="F61" i="5" a="1"/>
  <c r="F61" i="5"/>
  <c r="F62" i="5" a="1"/>
  <c r="F62" i="5"/>
  <c r="F63" i="5" a="1"/>
  <c r="F63" i="5"/>
  <c r="F64" i="5" a="1"/>
  <c r="F64" i="5"/>
  <c r="F65" i="5" a="1"/>
  <c r="F65" i="5"/>
  <c r="F66" i="5" a="1"/>
  <c r="F66" i="5"/>
  <c r="F67" i="5" a="1"/>
  <c r="F67" i="5"/>
  <c r="F68" i="5" a="1"/>
  <c r="F68" i="5"/>
  <c r="F69" i="5" a="1"/>
  <c r="F69" i="5"/>
  <c r="F70" i="5" a="1"/>
  <c r="F70" i="5"/>
  <c r="F71" i="5" a="1"/>
  <c r="F71" i="5"/>
  <c r="F72" i="5" a="1"/>
  <c r="F72" i="5"/>
  <c r="F73" i="5" a="1"/>
  <c r="F73" i="5"/>
  <c r="F74" i="5" a="1"/>
  <c r="F74" i="5"/>
  <c r="F75" i="5" a="1"/>
  <c r="F75" i="5"/>
  <c r="F76" i="5" a="1"/>
  <c r="F76" i="5"/>
  <c r="F77" i="5" a="1"/>
  <c r="F77" i="5"/>
  <c r="F78" i="5" a="1"/>
  <c r="F78" i="5"/>
  <c r="F79" i="5" a="1"/>
  <c r="F79" i="5"/>
  <c r="F80" i="5" a="1"/>
  <c r="F80" i="5"/>
  <c r="F81" i="5" a="1"/>
  <c r="F81" i="5"/>
  <c r="F82" i="5" a="1"/>
  <c r="F82" i="5"/>
  <c r="F83" i="5" a="1"/>
  <c r="F83" i="5"/>
  <c r="F84" i="5" a="1"/>
  <c r="F84" i="5"/>
  <c r="F85" i="5" a="1"/>
  <c r="F85" i="5"/>
  <c r="F86" i="5" a="1"/>
  <c r="F86" i="5"/>
  <c r="F87" i="5" a="1"/>
  <c r="F87" i="5"/>
  <c r="F88" i="5" a="1"/>
  <c r="F88" i="5"/>
  <c r="F89" i="5" a="1"/>
  <c r="F89" i="5"/>
  <c r="F90" i="5" a="1"/>
  <c r="F90" i="5"/>
  <c r="F91" i="5" a="1"/>
  <c r="F91" i="5"/>
  <c r="F92" i="5" a="1"/>
  <c r="F92" i="5"/>
  <c r="F93" i="5" a="1"/>
  <c r="F93" i="5"/>
  <c r="F94" i="5" a="1"/>
  <c r="F94" i="5"/>
  <c r="F95" i="5" a="1"/>
  <c r="F95" i="5"/>
  <c r="F96" i="5" a="1"/>
  <c r="F96" i="5"/>
  <c r="F97" i="5" a="1"/>
  <c r="F97" i="5"/>
  <c r="F98" i="5" a="1"/>
  <c r="F98" i="5"/>
  <c r="F99" i="5" a="1"/>
  <c r="F99" i="5"/>
  <c r="F100" i="5" a="1"/>
  <c r="F100" i="5"/>
  <c r="F101" i="5" a="1"/>
  <c r="F101" i="5"/>
  <c r="F102" i="5" a="1"/>
  <c r="F102" i="5"/>
  <c r="F103" i="5" a="1"/>
  <c r="F103" i="5"/>
  <c r="F104" i="5" a="1"/>
  <c r="F104" i="5"/>
  <c r="F105" i="5" a="1"/>
  <c r="F105" i="5"/>
  <c r="F106" i="5" a="1"/>
  <c r="F106" i="5"/>
  <c r="F107" i="5" a="1"/>
  <c r="F107" i="5"/>
  <c r="F108" i="5" a="1"/>
  <c r="F108" i="5"/>
  <c r="F109" i="5" a="1"/>
  <c r="F109" i="5"/>
  <c r="F110" i="5" a="1"/>
  <c r="F110" i="5"/>
  <c r="F111" i="5" a="1"/>
  <c r="F111" i="5"/>
  <c r="F112" i="5" a="1"/>
  <c r="F112" i="5"/>
  <c r="F113" i="5" a="1"/>
  <c r="F113" i="5"/>
  <c r="F114" i="5" a="1"/>
  <c r="F114" i="5"/>
  <c r="F115" i="5" a="1"/>
  <c r="F115" i="5"/>
  <c r="F116" i="5" a="1"/>
  <c r="F116" i="5"/>
  <c r="F117" i="5" a="1"/>
  <c r="F117" i="5"/>
  <c r="F118" i="5" a="1"/>
  <c r="F118" i="5"/>
  <c r="F119" i="5" a="1"/>
  <c r="F119" i="5"/>
  <c r="F120" i="5" a="1"/>
  <c r="F120" i="5"/>
  <c r="F121" i="5" a="1"/>
  <c r="F121" i="5"/>
  <c r="F122" i="5" a="1"/>
  <c r="F122" i="5"/>
  <c r="F123" i="5" a="1"/>
  <c r="F123" i="5"/>
  <c r="F124" i="5" a="1"/>
  <c r="F124" i="5"/>
  <c r="F125" i="5" a="1"/>
  <c r="F125" i="5"/>
  <c r="F126" i="5" a="1"/>
  <c r="F126" i="5"/>
  <c r="F127" i="5" a="1"/>
  <c r="F127" i="5"/>
  <c r="F128" i="5" a="1"/>
  <c r="F128" i="5"/>
  <c r="F129" i="5" a="1"/>
  <c r="F129" i="5"/>
  <c r="F130" i="5" a="1"/>
  <c r="F130" i="5"/>
  <c r="F131" i="5" a="1"/>
  <c r="F131" i="5"/>
  <c r="F132" i="5" a="1"/>
  <c r="F132" i="5"/>
  <c r="F133" i="5" a="1"/>
  <c r="F133" i="5"/>
  <c r="F134" i="5" a="1"/>
  <c r="F134" i="5"/>
  <c r="F135" i="5" a="1"/>
  <c r="F135" i="5"/>
  <c r="F136" i="5" a="1"/>
  <c r="F136" i="5"/>
  <c r="F137" i="5" a="1"/>
  <c r="F137" i="5"/>
  <c r="F138" i="5" a="1"/>
  <c r="F138" i="5"/>
  <c r="F139" i="5" a="1"/>
  <c r="F139" i="5"/>
  <c r="F140" i="5" a="1"/>
  <c r="F140" i="5"/>
  <c r="F141" i="5" a="1"/>
  <c r="F141" i="5"/>
  <c r="F142" i="5" a="1"/>
  <c r="F142" i="5"/>
  <c r="F143" i="5" a="1"/>
  <c r="F143" i="5"/>
  <c r="F144" i="5" a="1"/>
  <c r="F144" i="5"/>
  <c r="F145" i="5" a="1"/>
  <c r="F145" i="5"/>
  <c r="F146" i="5" a="1"/>
  <c r="F146" i="5"/>
  <c r="F147" i="5" a="1"/>
  <c r="F147" i="5"/>
  <c r="F148" i="5" a="1"/>
  <c r="F148" i="5"/>
  <c r="F149" i="5" a="1"/>
  <c r="F149" i="5"/>
  <c r="F150" i="5" a="1"/>
  <c r="F150" i="5"/>
  <c r="F151" i="5" a="1"/>
  <c r="F151" i="5"/>
  <c r="F152" i="5" a="1"/>
  <c r="F152" i="5"/>
  <c r="F153" i="5" a="1"/>
  <c r="F153" i="5"/>
  <c r="F154" i="5" a="1"/>
  <c r="F154" i="5"/>
  <c r="F155" i="5" a="1"/>
  <c r="F155" i="5"/>
  <c r="F156" i="5" a="1"/>
  <c r="F156" i="5"/>
  <c r="F157" i="5" a="1"/>
  <c r="F157" i="5"/>
  <c r="F158" i="5" a="1"/>
  <c r="F158" i="5"/>
  <c r="F159" i="5" a="1"/>
  <c r="F159" i="5"/>
  <c r="F160" i="5" a="1"/>
  <c r="F160" i="5"/>
  <c r="F161" i="5" a="1"/>
  <c r="F161" i="5"/>
  <c r="F162" i="5" a="1"/>
  <c r="F162" i="5"/>
  <c r="F163" i="5" a="1"/>
  <c r="F163" i="5"/>
  <c r="F164" i="5" a="1"/>
  <c r="F164" i="5"/>
  <c r="F165" i="5" a="1"/>
  <c r="F165" i="5"/>
  <c r="F166" i="5" a="1"/>
  <c r="F166" i="5"/>
  <c r="F167" i="5" a="1"/>
  <c r="F167" i="5"/>
  <c r="F168" i="5" a="1"/>
  <c r="F168" i="5"/>
  <c r="F169" i="5" a="1"/>
  <c r="F169" i="5"/>
  <c r="F170" i="5" a="1"/>
  <c r="F170" i="5"/>
  <c r="F171" i="5" a="1"/>
  <c r="F171" i="5"/>
  <c r="F172" i="5" a="1"/>
  <c r="F172" i="5"/>
  <c r="F173" i="5" a="1"/>
  <c r="F173" i="5"/>
  <c r="F174" i="5" a="1"/>
  <c r="F174" i="5"/>
  <c r="F175" i="5" a="1"/>
  <c r="F175" i="5"/>
  <c r="F176" i="5" a="1"/>
  <c r="F176" i="5"/>
  <c r="F177" i="5" a="1"/>
  <c r="F177" i="5"/>
  <c r="F178" i="5" a="1"/>
  <c r="F178" i="5"/>
  <c r="F179" i="5" a="1"/>
  <c r="F179" i="5"/>
  <c r="F180" i="5" a="1"/>
  <c r="F180" i="5"/>
  <c r="F181" i="5" a="1"/>
  <c r="F181" i="5"/>
  <c r="F182" i="5" a="1"/>
  <c r="F182" i="5"/>
  <c r="F183" i="5" a="1"/>
  <c r="F183" i="5"/>
  <c r="F184" i="5" a="1"/>
  <c r="F184" i="5"/>
  <c r="F185" i="5" a="1"/>
  <c r="F185" i="5"/>
  <c r="F186" i="5" a="1"/>
  <c r="F186" i="5"/>
  <c r="F187" i="5" a="1"/>
  <c r="F187" i="5"/>
  <c r="F188" i="5" a="1"/>
  <c r="F188" i="5"/>
  <c r="F189" i="5" a="1"/>
  <c r="F189" i="5"/>
  <c r="F190" i="5" a="1"/>
  <c r="F190" i="5"/>
  <c r="F191" i="5" a="1"/>
  <c r="F191" i="5"/>
  <c r="F192" i="5" a="1"/>
  <c r="F192" i="5"/>
  <c r="F193" i="5" a="1"/>
  <c r="F193" i="5"/>
  <c r="F194" i="5" a="1"/>
  <c r="F194" i="5"/>
  <c r="F195" i="5" a="1"/>
  <c r="F195" i="5"/>
  <c r="F196" i="5" a="1"/>
  <c r="F196" i="5"/>
  <c r="F197" i="5" a="1"/>
  <c r="F197" i="5"/>
  <c r="F198" i="5" a="1"/>
  <c r="F198" i="5"/>
  <c r="F199" i="5" a="1"/>
  <c r="F199" i="5"/>
  <c r="F200" i="5" a="1"/>
  <c r="F200" i="5"/>
  <c r="F201" i="5" a="1"/>
  <c r="F201" i="5"/>
  <c r="F202" i="5" a="1"/>
  <c r="F202" i="5"/>
  <c r="F203" i="5" a="1"/>
  <c r="F203" i="5"/>
  <c r="F204" i="5" a="1"/>
  <c r="F204" i="5"/>
  <c r="F205" i="5" a="1"/>
  <c r="F205" i="5"/>
  <c r="F206" i="5" a="1"/>
  <c r="F206" i="5"/>
  <c r="F207" i="5" a="1"/>
  <c r="F207" i="5"/>
  <c r="F208" i="5" a="1"/>
  <c r="F208" i="5"/>
  <c r="F209" i="5" a="1"/>
  <c r="F209" i="5"/>
  <c r="F210" i="5" a="1"/>
  <c r="F210" i="5"/>
  <c r="F211" i="5" a="1"/>
  <c r="F211" i="5"/>
  <c r="F212" i="5" a="1"/>
  <c r="F212" i="5"/>
  <c r="F213" i="5" a="1"/>
  <c r="F213" i="5"/>
  <c r="F214" i="5" a="1"/>
  <c r="F214" i="5"/>
  <c r="F215" i="5" a="1"/>
  <c r="F215" i="5"/>
  <c r="F216" i="5" a="1"/>
  <c r="F216" i="5"/>
  <c r="F217" i="5" a="1"/>
  <c r="F217" i="5"/>
  <c r="F218" i="5" a="1"/>
  <c r="F218" i="5"/>
  <c r="F219" i="5" a="1"/>
  <c r="F219" i="5"/>
  <c r="F220" i="5" a="1"/>
  <c r="F220" i="5"/>
  <c r="F221" i="5" a="1"/>
  <c r="F221" i="5"/>
  <c r="F222" i="5" a="1"/>
  <c r="F222" i="5"/>
  <c r="F223" i="5" a="1"/>
  <c r="F223" i="5"/>
  <c r="F224" i="5" a="1"/>
  <c r="F224" i="5"/>
  <c r="F225" i="5" a="1"/>
  <c r="F225" i="5"/>
  <c r="F226" i="5" a="1"/>
  <c r="F226" i="5"/>
  <c r="F227" i="5" a="1"/>
  <c r="F227" i="5"/>
  <c r="H8" i="5" a="1"/>
  <c r="H8" i="5"/>
  <c r="H14" i="5" a="1"/>
  <c r="H14" i="5"/>
  <c r="H15" i="5" a="1"/>
  <c r="H15" i="5"/>
  <c r="H9" i="5" a="1"/>
  <c r="H9" i="5"/>
  <c r="H10" i="5" a="1"/>
  <c r="H10" i="5"/>
  <c r="H12" i="5" a="1"/>
  <c r="H12" i="5"/>
  <c r="H17" i="5" a="1"/>
  <c r="H17" i="5"/>
  <c r="H11" i="5" a="1"/>
  <c r="H11" i="5"/>
  <c r="H13" i="5" a="1"/>
  <c r="H13" i="5"/>
  <c r="H16" i="5" a="1"/>
  <c r="H16" i="5"/>
  <c r="H18" i="5" a="1"/>
  <c r="H18" i="5"/>
  <c r="H19" i="5" a="1"/>
  <c r="H19" i="5"/>
  <c r="E23" i="5" a="1"/>
  <c r="E23" i="5"/>
  <c r="E24" i="5" a="1"/>
  <c r="E24" i="5"/>
  <c r="E25" i="5" a="1"/>
  <c r="E25" i="5"/>
  <c r="E26" i="5" a="1"/>
  <c r="E26" i="5"/>
  <c r="E27" i="5" a="1"/>
  <c r="E27" i="5"/>
  <c r="E28" i="5" a="1"/>
  <c r="E28" i="5"/>
  <c r="E29" i="5" a="1"/>
  <c r="E29" i="5"/>
  <c r="E30" i="5" a="1"/>
  <c r="E30" i="5"/>
  <c r="E31" i="5" a="1"/>
  <c r="E31" i="5"/>
  <c r="E32" i="5" a="1"/>
  <c r="E32" i="5"/>
  <c r="E33" i="5" a="1"/>
  <c r="E33" i="5"/>
  <c r="E34" i="5" a="1"/>
  <c r="E34" i="5"/>
  <c r="E35" i="5" a="1"/>
  <c r="E35" i="5"/>
  <c r="E36" i="5" a="1"/>
  <c r="E36" i="5"/>
  <c r="E37" i="5" a="1"/>
  <c r="E37" i="5"/>
  <c r="E38" i="5" a="1"/>
  <c r="E38" i="5"/>
  <c r="E39" i="5" a="1"/>
  <c r="E39" i="5"/>
  <c r="E40" i="5" a="1"/>
  <c r="E40" i="5"/>
  <c r="E41" i="5" a="1"/>
  <c r="E41" i="5"/>
  <c r="E42" i="5" a="1"/>
  <c r="E42" i="5"/>
  <c r="E43" i="5" a="1"/>
  <c r="E43" i="5"/>
  <c r="E44" i="5" a="1"/>
  <c r="E44" i="5"/>
  <c r="E45" i="5" a="1"/>
  <c r="E45" i="5"/>
  <c r="E46" i="5" a="1"/>
  <c r="E46" i="5"/>
  <c r="E47" i="5" a="1"/>
  <c r="E47" i="5"/>
  <c r="E48" i="5" a="1"/>
  <c r="E48" i="5"/>
  <c r="E49" i="5" a="1"/>
  <c r="E49" i="5"/>
  <c r="E50" i="5" a="1"/>
  <c r="E50" i="5"/>
  <c r="E51" i="5" a="1"/>
  <c r="E51" i="5"/>
  <c r="E52" i="5" a="1"/>
  <c r="E52" i="5"/>
  <c r="E53" i="5" a="1"/>
  <c r="E53" i="5"/>
  <c r="E54" i="5" a="1"/>
  <c r="E54" i="5"/>
  <c r="E55" i="5" a="1"/>
  <c r="E55" i="5"/>
  <c r="E56" i="5" a="1"/>
  <c r="E56" i="5"/>
  <c r="E57" i="5" a="1"/>
  <c r="E57" i="5"/>
  <c r="E58" i="5" a="1"/>
  <c r="E58" i="5"/>
  <c r="E59" i="5" a="1"/>
  <c r="E59" i="5"/>
  <c r="E60" i="5" a="1"/>
  <c r="E60" i="5"/>
  <c r="E61" i="5" a="1"/>
  <c r="E61" i="5"/>
  <c r="E62" i="5" a="1"/>
  <c r="E62" i="5"/>
  <c r="E63" i="5" a="1"/>
  <c r="E63" i="5"/>
  <c r="E64" i="5" a="1"/>
  <c r="E64" i="5"/>
  <c r="E65" i="5" a="1"/>
  <c r="E65" i="5"/>
  <c r="E66" i="5" a="1"/>
  <c r="E66" i="5"/>
  <c r="E67" i="5" a="1"/>
  <c r="E67" i="5"/>
  <c r="E68" i="5" a="1"/>
  <c r="E68" i="5"/>
  <c r="E69" i="5" a="1"/>
  <c r="E69" i="5"/>
  <c r="E70" i="5" a="1"/>
  <c r="E70" i="5"/>
  <c r="E71" i="5" a="1"/>
  <c r="E71" i="5"/>
  <c r="E72" i="5" a="1"/>
  <c r="E72" i="5"/>
  <c r="E73" i="5" a="1"/>
  <c r="E73" i="5"/>
  <c r="E74" i="5" a="1"/>
  <c r="E74" i="5"/>
  <c r="E75" i="5" a="1"/>
  <c r="E75" i="5"/>
  <c r="E76" i="5" a="1"/>
  <c r="E76" i="5"/>
  <c r="E77" i="5" a="1"/>
  <c r="E77" i="5"/>
  <c r="E78" i="5" a="1"/>
  <c r="E78" i="5"/>
  <c r="E79" i="5" a="1"/>
  <c r="E79" i="5"/>
  <c r="E80" i="5" a="1"/>
  <c r="E80" i="5"/>
  <c r="E81" i="5" a="1"/>
  <c r="E81" i="5"/>
  <c r="E82" i="5" a="1"/>
  <c r="E82" i="5"/>
  <c r="E83" i="5" a="1"/>
  <c r="E83" i="5"/>
  <c r="E84" i="5" a="1"/>
  <c r="E84" i="5"/>
  <c r="E85" i="5" a="1"/>
  <c r="E85" i="5"/>
  <c r="E86" i="5" a="1"/>
  <c r="E86" i="5"/>
  <c r="E87" i="5" a="1"/>
  <c r="E87" i="5"/>
  <c r="E88" i="5" a="1"/>
  <c r="E88" i="5"/>
  <c r="E89" i="5" a="1"/>
  <c r="E89" i="5"/>
  <c r="E90" i="5" a="1"/>
  <c r="E90" i="5"/>
  <c r="E91" i="5" a="1"/>
  <c r="E91" i="5"/>
  <c r="E92" i="5" a="1"/>
  <c r="E92" i="5"/>
  <c r="E93" i="5" a="1"/>
  <c r="E93" i="5"/>
  <c r="E94" i="5" a="1"/>
  <c r="E94" i="5"/>
  <c r="E95" i="5" a="1"/>
  <c r="E95" i="5"/>
  <c r="E96" i="5" a="1"/>
  <c r="E96" i="5"/>
  <c r="E97" i="5" a="1"/>
  <c r="E97" i="5"/>
  <c r="E98" i="5" a="1"/>
  <c r="E98" i="5"/>
  <c r="E99" i="5" a="1"/>
  <c r="E99" i="5"/>
  <c r="E100" i="5" a="1"/>
  <c r="E100" i="5"/>
  <c r="E101" i="5" a="1"/>
  <c r="E101" i="5"/>
  <c r="E102" i="5" a="1"/>
  <c r="E102" i="5"/>
  <c r="E103" i="5" a="1"/>
  <c r="E103" i="5"/>
  <c r="E104" i="5" a="1"/>
  <c r="E104" i="5"/>
  <c r="E105" i="5" a="1"/>
  <c r="E105" i="5"/>
  <c r="E106" i="5" a="1"/>
  <c r="E106" i="5"/>
  <c r="E107" i="5" a="1"/>
  <c r="E107" i="5"/>
  <c r="E108" i="5" a="1"/>
  <c r="E108" i="5"/>
  <c r="E109" i="5" a="1"/>
  <c r="E109" i="5"/>
  <c r="E110" i="5" a="1"/>
  <c r="E110" i="5"/>
  <c r="E111" i="5" a="1"/>
  <c r="E111" i="5"/>
  <c r="E112" i="5" a="1"/>
  <c r="E112" i="5"/>
  <c r="E113" i="5" a="1"/>
  <c r="E113" i="5"/>
  <c r="E114" i="5" a="1"/>
  <c r="E114" i="5"/>
  <c r="E115" i="5" a="1"/>
  <c r="E115" i="5"/>
  <c r="E116" i="5" a="1"/>
  <c r="E116" i="5"/>
  <c r="E117" i="5" a="1"/>
  <c r="E117" i="5"/>
  <c r="E118" i="5" a="1"/>
  <c r="E118" i="5"/>
  <c r="E119" i="5" a="1"/>
  <c r="E119" i="5"/>
  <c r="E120" i="5" a="1"/>
  <c r="E120" i="5"/>
  <c r="E121" i="5" a="1"/>
  <c r="E121" i="5"/>
  <c r="E122" i="5" a="1"/>
  <c r="E122" i="5"/>
  <c r="E123" i="5" a="1"/>
  <c r="E123" i="5"/>
  <c r="E124" i="5" a="1"/>
  <c r="E124" i="5"/>
  <c r="E125" i="5" a="1"/>
  <c r="E125" i="5"/>
  <c r="E126" i="5" a="1"/>
  <c r="E126" i="5"/>
  <c r="E127" i="5" a="1"/>
  <c r="E127" i="5"/>
  <c r="E128" i="5" a="1"/>
  <c r="E128" i="5"/>
  <c r="E129" i="5" a="1"/>
  <c r="E129" i="5"/>
  <c r="E130" i="5" a="1"/>
  <c r="E130" i="5"/>
  <c r="E131" i="5" a="1"/>
  <c r="E131" i="5"/>
  <c r="E132" i="5" a="1"/>
  <c r="E132" i="5"/>
  <c r="E133" i="5" a="1"/>
  <c r="E133" i="5"/>
  <c r="E134" i="5" a="1"/>
  <c r="E134" i="5"/>
  <c r="E135" i="5" a="1"/>
  <c r="E135" i="5"/>
  <c r="E136" i="5" a="1"/>
  <c r="E136" i="5"/>
  <c r="E137" i="5" a="1"/>
  <c r="E137" i="5"/>
  <c r="E138" i="5" a="1"/>
  <c r="E138" i="5"/>
  <c r="E139" i="5" a="1"/>
  <c r="E139" i="5"/>
  <c r="E140" i="5" a="1"/>
  <c r="E140" i="5"/>
  <c r="E141" i="5" a="1"/>
  <c r="E141" i="5"/>
  <c r="E142" i="5" a="1"/>
  <c r="E142" i="5"/>
  <c r="E143" i="5" a="1"/>
  <c r="E143" i="5"/>
  <c r="E144" i="5" a="1"/>
  <c r="E144" i="5"/>
  <c r="E145" i="5" a="1"/>
  <c r="E145" i="5"/>
  <c r="E146" i="5" a="1"/>
  <c r="E146" i="5"/>
  <c r="E147" i="5" a="1"/>
  <c r="E147" i="5"/>
  <c r="E148" i="5" a="1"/>
  <c r="E148" i="5"/>
  <c r="E149" i="5" a="1"/>
  <c r="E149" i="5"/>
  <c r="E150" i="5" a="1"/>
  <c r="E150" i="5"/>
  <c r="E151" i="5" a="1"/>
  <c r="E151" i="5"/>
  <c r="E152" i="5" a="1"/>
  <c r="E152" i="5"/>
  <c r="E153" i="5" a="1"/>
  <c r="E153" i="5"/>
  <c r="E154" i="5" a="1"/>
  <c r="E154" i="5"/>
  <c r="E155" i="5" a="1"/>
  <c r="E155" i="5"/>
  <c r="E156" i="5" a="1"/>
  <c r="E156" i="5"/>
  <c r="E157" i="5" a="1"/>
  <c r="E157" i="5"/>
  <c r="E158" i="5" a="1"/>
  <c r="E158" i="5"/>
  <c r="E159" i="5" a="1"/>
  <c r="E159" i="5"/>
  <c r="E160" i="5" a="1"/>
  <c r="E160" i="5"/>
  <c r="E161" i="5" a="1"/>
  <c r="E161" i="5"/>
  <c r="E162" i="5" a="1"/>
  <c r="E162" i="5"/>
  <c r="E163" i="5" a="1"/>
  <c r="E163" i="5"/>
  <c r="E164" i="5" a="1"/>
  <c r="E164" i="5"/>
  <c r="E165" i="5" a="1"/>
  <c r="E165" i="5"/>
  <c r="E166" i="5" a="1"/>
  <c r="E166" i="5"/>
  <c r="E167" i="5" a="1"/>
  <c r="E167" i="5"/>
  <c r="E168" i="5" a="1"/>
  <c r="E168" i="5"/>
  <c r="E169" i="5" a="1"/>
  <c r="E169" i="5"/>
  <c r="E170" i="5" a="1"/>
  <c r="E170" i="5"/>
  <c r="E171" i="5" a="1"/>
  <c r="E171" i="5"/>
  <c r="E172" i="5" a="1"/>
  <c r="E172" i="5"/>
  <c r="E173" i="5" a="1"/>
  <c r="E173" i="5"/>
  <c r="E174" i="5" a="1"/>
  <c r="E174" i="5"/>
  <c r="E175" i="5" a="1"/>
  <c r="E175" i="5"/>
  <c r="E176" i="5" a="1"/>
  <c r="E176" i="5"/>
  <c r="E177" i="5" a="1"/>
  <c r="E177" i="5"/>
  <c r="E178" i="5" a="1"/>
  <c r="E178" i="5"/>
  <c r="E179" i="5" a="1"/>
  <c r="E179" i="5"/>
  <c r="E180" i="5" a="1"/>
  <c r="E180" i="5"/>
  <c r="E181" i="5" a="1"/>
  <c r="E181" i="5"/>
  <c r="E182" i="5" a="1"/>
  <c r="E182" i="5"/>
  <c r="E183" i="5" a="1"/>
  <c r="E183" i="5"/>
  <c r="E184" i="5" a="1"/>
  <c r="E184" i="5"/>
  <c r="E185" i="5" a="1"/>
  <c r="E185" i="5"/>
  <c r="E186" i="5" a="1"/>
  <c r="E186" i="5"/>
  <c r="E187" i="5" a="1"/>
  <c r="E187" i="5"/>
  <c r="E188" i="5" a="1"/>
  <c r="E188" i="5"/>
  <c r="E189" i="5" a="1"/>
  <c r="E189" i="5"/>
  <c r="E190" i="5" a="1"/>
  <c r="E190" i="5"/>
  <c r="E191" i="5" a="1"/>
  <c r="E191" i="5"/>
  <c r="E192" i="5" a="1"/>
  <c r="E192" i="5"/>
  <c r="E193" i="5" a="1"/>
  <c r="E193" i="5"/>
  <c r="E194" i="5" a="1"/>
  <c r="E194" i="5"/>
  <c r="E195" i="5" a="1"/>
  <c r="E195" i="5"/>
  <c r="E196" i="5" a="1"/>
  <c r="E196" i="5"/>
  <c r="E197" i="5" a="1"/>
  <c r="E197" i="5"/>
  <c r="E198" i="5" a="1"/>
  <c r="E198" i="5"/>
  <c r="E199" i="5" a="1"/>
  <c r="E199" i="5"/>
  <c r="E200" i="5" a="1"/>
  <c r="E200" i="5"/>
  <c r="E201" i="5" a="1"/>
  <c r="E201" i="5"/>
  <c r="E202" i="5" a="1"/>
  <c r="E202" i="5"/>
  <c r="E203" i="5" a="1"/>
  <c r="E203" i="5"/>
  <c r="E204" i="5" a="1"/>
  <c r="E204" i="5"/>
  <c r="E205" i="5" a="1"/>
  <c r="E205" i="5"/>
  <c r="E206" i="5" a="1"/>
  <c r="E206" i="5"/>
  <c r="E207" i="5" a="1"/>
  <c r="E207" i="5"/>
  <c r="E208" i="5" a="1"/>
  <c r="E208" i="5"/>
  <c r="E209" i="5" a="1"/>
  <c r="E209" i="5"/>
  <c r="E210" i="5" a="1"/>
  <c r="E210" i="5"/>
  <c r="E211" i="5" a="1"/>
  <c r="E211" i="5"/>
  <c r="E212" i="5" a="1"/>
  <c r="E212" i="5"/>
  <c r="E213" i="5" a="1"/>
  <c r="E213" i="5"/>
  <c r="E214" i="5" a="1"/>
  <c r="E214" i="5"/>
  <c r="E215" i="5" a="1"/>
  <c r="E215" i="5"/>
  <c r="E216" i="5" a="1"/>
  <c r="E216" i="5"/>
  <c r="E217" i="5" a="1"/>
  <c r="E217" i="5"/>
  <c r="E218" i="5" a="1"/>
  <c r="E218" i="5"/>
  <c r="E219" i="5" a="1"/>
  <c r="E219" i="5"/>
  <c r="E220" i="5" a="1"/>
  <c r="E220" i="5"/>
  <c r="E221" i="5" a="1"/>
  <c r="E221" i="5"/>
  <c r="E222" i="5" a="1"/>
  <c r="E222" i="5"/>
  <c r="E223" i="5" a="1"/>
  <c r="E223" i="5"/>
  <c r="E224" i="5" a="1"/>
  <c r="E224" i="5"/>
  <c r="E225" i="5" a="1"/>
  <c r="E225" i="5"/>
  <c r="E226" i="5" a="1"/>
  <c r="E226" i="5"/>
  <c r="E227" i="5" a="1"/>
  <c r="E227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155" i="5"/>
  <c r="K156" i="5"/>
  <c r="K157" i="5"/>
  <c r="K158" i="5"/>
  <c r="K159" i="5"/>
  <c r="K160" i="5"/>
  <c r="K161" i="5"/>
  <c r="K162" i="5"/>
  <c r="K163" i="5"/>
  <c r="K164" i="5"/>
  <c r="K165" i="5"/>
  <c r="K166" i="5"/>
  <c r="K167" i="5"/>
  <c r="K168" i="5"/>
  <c r="K169" i="5"/>
  <c r="K170" i="5"/>
  <c r="K171" i="5"/>
  <c r="K172" i="5"/>
  <c r="K173" i="5"/>
  <c r="K174" i="5"/>
  <c r="K175" i="5"/>
  <c r="K176" i="5"/>
  <c r="K177" i="5"/>
  <c r="K178" i="5"/>
  <c r="K179" i="5"/>
  <c r="K180" i="5"/>
  <c r="K181" i="5"/>
  <c r="K182" i="5"/>
  <c r="K183" i="5"/>
  <c r="K184" i="5"/>
  <c r="K185" i="5"/>
  <c r="K186" i="5"/>
  <c r="K187" i="5"/>
  <c r="K188" i="5"/>
  <c r="K189" i="5"/>
  <c r="K190" i="5"/>
  <c r="K191" i="5"/>
  <c r="K192" i="5"/>
  <c r="K193" i="5"/>
  <c r="K194" i="5"/>
  <c r="K195" i="5"/>
  <c r="K196" i="5"/>
  <c r="K197" i="5"/>
  <c r="K198" i="5"/>
  <c r="K199" i="5"/>
  <c r="K200" i="5"/>
  <c r="K201" i="5"/>
  <c r="K202" i="5"/>
  <c r="K203" i="5"/>
  <c r="K204" i="5"/>
  <c r="K205" i="5"/>
  <c r="K206" i="5"/>
  <c r="K207" i="5"/>
  <c r="K208" i="5"/>
  <c r="K209" i="5"/>
  <c r="K210" i="5"/>
  <c r="K211" i="5"/>
  <c r="K212" i="5"/>
  <c r="K213" i="5"/>
  <c r="K214" i="5"/>
  <c r="K215" i="5"/>
  <c r="K216" i="5"/>
  <c r="K217" i="5"/>
  <c r="K218" i="5"/>
  <c r="K219" i="5"/>
  <c r="K220" i="5"/>
  <c r="K221" i="5"/>
  <c r="K222" i="5"/>
  <c r="K223" i="5"/>
  <c r="K224" i="5"/>
  <c r="K225" i="5"/>
  <c r="K226" i="5"/>
  <c r="K227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M9" i="5"/>
  <c r="M11" i="5"/>
  <c r="M12" i="5"/>
  <c r="M13" i="5"/>
  <c r="M14" i="5"/>
  <c r="M15" i="5"/>
  <c r="M17" i="5"/>
  <c r="M18" i="5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9" i="3"/>
  <c r="M20" i="5"/>
  <c r="M16" i="5"/>
  <c r="M19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130" i="5"/>
  <c r="M131" i="5"/>
  <c r="M132" i="5"/>
  <c r="M133" i="5"/>
  <c r="M134" i="5"/>
  <c r="M135" i="5"/>
  <c r="M136" i="5"/>
  <c r="M137" i="5"/>
  <c r="M138" i="5"/>
  <c r="M139" i="5"/>
  <c r="M140" i="5"/>
  <c r="M141" i="5"/>
  <c r="M142" i="5"/>
  <c r="M143" i="5"/>
  <c r="M144" i="5"/>
  <c r="M145" i="5"/>
  <c r="M146" i="5"/>
  <c r="M147" i="5"/>
  <c r="M148" i="5"/>
  <c r="M149" i="5"/>
  <c r="M150" i="5"/>
  <c r="M151" i="5"/>
  <c r="M152" i="5"/>
  <c r="M153" i="5"/>
  <c r="M154" i="5"/>
  <c r="M155" i="5"/>
  <c r="M156" i="5"/>
  <c r="M157" i="5"/>
  <c r="M158" i="5"/>
  <c r="M159" i="5"/>
  <c r="M160" i="5"/>
  <c r="M161" i="5"/>
  <c r="M162" i="5"/>
  <c r="M163" i="5"/>
  <c r="M164" i="5"/>
  <c r="M165" i="5"/>
  <c r="M166" i="5"/>
  <c r="M167" i="5"/>
  <c r="M168" i="5"/>
  <c r="M169" i="5"/>
  <c r="M170" i="5"/>
  <c r="M171" i="5"/>
  <c r="M172" i="5"/>
  <c r="M173" i="5"/>
  <c r="M174" i="5"/>
  <c r="M175" i="5"/>
  <c r="M176" i="5"/>
  <c r="M177" i="5"/>
  <c r="M178" i="5"/>
  <c r="M179" i="5"/>
  <c r="M180" i="5"/>
  <c r="M181" i="5"/>
  <c r="M182" i="5"/>
  <c r="M183" i="5"/>
  <c r="M184" i="5"/>
  <c r="M185" i="5"/>
  <c r="M186" i="5"/>
  <c r="M187" i="5"/>
  <c r="M188" i="5"/>
  <c r="M189" i="5"/>
  <c r="M190" i="5"/>
  <c r="M191" i="5"/>
  <c r="M192" i="5"/>
  <c r="M193" i="5"/>
  <c r="M194" i="5"/>
  <c r="M195" i="5"/>
  <c r="M196" i="5"/>
  <c r="M197" i="5"/>
  <c r="M198" i="5"/>
  <c r="M199" i="5"/>
  <c r="M200" i="5"/>
  <c r="M201" i="5"/>
  <c r="M202" i="5"/>
  <c r="M203" i="5"/>
  <c r="M204" i="5"/>
  <c r="M205" i="5"/>
  <c r="M206" i="5"/>
  <c r="M207" i="5"/>
  <c r="M208" i="5"/>
  <c r="M209" i="5"/>
  <c r="M210" i="5"/>
  <c r="M211" i="5"/>
  <c r="M212" i="5"/>
  <c r="M213" i="5"/>
  <c r="M214" i="5"/>
  <c r="M215" i="5"/>
  <c r="M216" i="5"/>
  <c r="M217" i="5"/>
  <c r="M218" i="5"/>
  <c r="M219" i="5"/>
  <c r="M220" i="5"/>
  <c r="M221" i="5"/>
  <c r="M222" i="5"/>
  <c r="M223" i="5"/>
  <c r="M224" i="5"/>
  <c r="M225" i="5"/>
  <c r="M226" i="5"/>
  <c r="M227" i="5"/>
  <c r="D22" i="5" a="1"/>
  <c r="D22" i="5"/>
  <c r="D23" i="5" a="1"/>
  <c r="D23" i="5"/>
  <c r="D24" i="5" a="1"/>
  <c r="D24" i="5"/>
  <c r="D25" i="5" a="1"/>
  <c r="D25" i="5"/>
  <c r="D26" i="5" a="1"/>
  <c r="D26" i="5"/>
  <c r="D27" i="5" a="1"/>
  <c r="D27" i="5"/>
  <c r="D28" i="5" a="1"/>
  <c r="D28" i="5"/>
  <c r="D29" i="5" a="1"/>
  <c r="D29" i="5"/>
  <c r="D30" i="5" a="1"/>
  <c r="D30" i="5"/>
  <c r="D31" i="5" a="1"/>
  <c r="D31" i="5"/>
  <c r="D32" i="5" a="1"/>
  <c r="D32" i="5"/>
  <c r="D33" i="5" a="1"/>
  <c r="D33" i="5"/>
  <c r="D34" i="5" a="1"/>
  <c r="D34" i="5"/>
  <c r="D35" i="5" a="1"/>
  <c r="D35" i="5"/>
  <c r="D36" i="5" a="1"/>
  <c r="D36" i="5"/>
  <c r="D37" i="5" a="1"/>
  <c r="D37" i="5"/>
  <c r="D38" i="5" a="1"/>
  <c r="D38" i="5"/>
  <c r="D39" i="5" a="1"/>
  <c r="D39" i="5"/>
  <c r="D40" i="5" a="1"/>
  <c r="D40" i="5"/>
  <c r="D41" i="5" a="1"/>
  <c r="D41" i="5"/>
  <c r="D42" i="5" a="1"/>
  <c r="D42" i="5"/>
  <c r="D43" i="5" a="1"/>
  <c r="D43" i="5"/>
  <c r="D44" i="5" a="1"/>
  <c r="D44" i="5"/>
  <c r="D45" i="5" a="1"/>
  <c r="D45" i="5"/>
  <c r="D46" i="5" a="1"/>
  <c r="D46" i="5"/>
  <c r="D47" i="5" a="1"/>
  <c r="D47" i="5"/>
  <c r="D48" i="5" a="1"/>
  <c r="D48" i="5"/>
  <c r="D49" i="5" a="1"/>
  <c r="D49" i="5"/>
  <c r="D50" i="5" a="1"/>
  <c r="D50" i="5"/>
  <c r="D51" i="5" a="1"/>
  <c r="D51" i="5"/>
  <c r="D52" i="5" a="1"/>
  <c r="D52" i="5"/>
  <c r="D53" i="5" a="1"/>
  <c r="D53" i="5"/>
  <c r="D54" i="5" a="1"/>
  <c r="D54" i="5"/>
  <c r="D55" i="5" a="1"/>
  <c r="D55" i="5"/>
  <c r="D56" i="5" a="1"/>
  <c r="D56" i="5"/>
  <c r="D57" i="5" a="1"/>
  <c r="D57" i="5"/>
  <c r="D58" i="5" a="1"/>
  <c r="D58" i="5"/>
  <c r="D59" i="5" a="1"/>
  <c r="D59" i="5"/>
  <c r="D60" i="5" a="1"/>
  <c r="D60" i="5"/>
  <c r="D61" i="5" a="1"/>
  <c r="D61" i="5"/>
  <c r="D62" i="5" a="1"/>
  <c r="D62" i="5"/>
  <c r="D63" i="5" a="1"/>
  <c r="D63" i="5"/>
  <c r="D64" i="5" a="1"/>
  <c r="D64" i="5"/>
  <c r="D65" i="5" a="1"/>
  <c r="D65" i="5"/>
  <c r="D66" i="5" a="1"/>
  <c r="D66" i="5"/>
  <c r="D67" i="5" a="1"/>
  <c r="D67" i="5"/>
  <c r="D68" i="5" a="1"/>
  <c r="D68" i="5"/>
  <c r="D69" i="5" a="1"/>
  <c r="D69" i="5"/>
  <c r="D70" i="5" a="1"/>
  <c r="D70" i="5"/>
  <c r="D71" i="5" a="1"/>
  <c r="D71" i="5"/>
  <c r="D72" i="5" a="1"/>
  <c r="D72" i="5"/>
  <c r="D73" i="5" a="1"/>
  <c r="D73" i="5"/>
  <c r="D74" i="5" a="1"/>
  <c r="D74" i="5"/>
  <c r="D75" i="5" a="1"/>
  <c r="D75" i="5"/>
  <c r="D76" i="5" a="1"/>
  <c r="D76" i="5"/>
  <c r="D77" i="5" a="1"/>
  <c r="D77" i="5"/>
  <c r="D78" i="5" a="1"/>
  <c r="D78" i="5"/>
  <c r="D79" i="5" a="1"/>
  <c r="D79" i="5"/>
  <c r="D80" i="5" a="1"/>
  <c r="D80" i="5"/>
  <c r="D81" i="5" a="1"/>
  <c r="D81" i="5"/>
  <c r="D82" i="5" a="1"/>
  <c r="D82" i="5"/>
  <c r="D83" i="5" a="1"/>
  <c r="D83" i="5"/>
  <c r="D84" i="5" a="1"/>
  <c r="D84" i="5"/>
  <c r="D85" i="5" a="1"/>
  <c r="D85" i="5"/>
  <c r="D86" i="5" a="1"/>
  <c r="D86" i="5"/>
  <c r="D87" i="5" a="1"/>
  <c r="D87" i="5"/>
  <c r="D88" i="5" a="1"/>
  <c r="D88" i="5"/>
  <c r="D89" i="5" a="1"/>
  <c r="D89" i="5"/>
  <c r="D90" i="5" a="1"/>
  <c r="D90" i="5"/>
  <c r="D91" i="5" a="1"/>
  <c r="D91" i="5"/>
  <c r="D92" i="5" a="1"/>
  <c r="D92" i="5"/>
  <c r="D93" i="5" a="1"/>
  <c r="D93" i="5"/>
  <c r="D94" i="5" a="1"/>
  <c r="D94" i="5"/>
  <c r="D95" i="5" a="1"/>
  <c r="D95" i="5"/>
  <c r="D96" i="5" a="1"/>
  <c r="D96" i="5"/>
  <c r="D97" i="5" a="1"/>
  <c r="D97" i="5"/>
  <c r="D98" i="5" a="1"/>
  <c r="D98" i="5"/>
  <c r="D99" i="5" a="1"/>
  <c r="D99" i="5"/>
  <c r="D100" i="5" a="1"/>
  <c r="D100" i="5"/>
  <c r="D101" i="5" a="1"/>
  <c r="D101" i="5"/>
  <c r="D102" i="5" a="1"/>
  <c r="D102" i="5"/>
  <c r="D103" i="5" a="1"/>
  <c r="D103" i="5"/>
  <c r="D104" i="5" a="1"/>
  <c r="D104" i="5"/>
  <c r="D105" i="5" a="1"/>
  <c r="D105" i="5"/>
  <c r="D106" i="5" a="1"/>
  <c r="D106" i="5"/>
  <c r="D107" i="5" a="1"/>
  <c r="D107" i="5"/>
  <c r="D108" i="5" a="1"/>
  <c r="D108" i="5"/>
  <c r="D109" i="5" a="1"/>
  <c r="D109" i="5"/>
  <c r="D110" i="5" a="1"/>
  <c r="D110" i="5"/>
  <c r="D111" i="5" a="1"/>
  <c r="D111" i="5"/>
  <c r="D112" i="5" a="1"/>
  <c r="D112" i="5"/>
  <c r="D113" i="5" a="1"/>
  <c r="D113" i="5"/>
  <c r="D114" i="5" a="1"/>
  <c r="D114" i="5"/>
  <c r="D115" i="5" a="1"/>
  <c r="D115" i="5"/>
  <c r="D116" i="5" a="1"/>
  <c r="D116" i="5"/>
  <c r="D117" i="5" a="1"/>
  <c r="D117" i="5"/>
  <c r="D118" i="5" a="1"/>
  <c r="D118" i="5"/>
  <c r="D119" i="5" a="1"/>
  <c r="D119" i="5"/>
  <c r="D120" i="5" a="1"/>
  <c r="D120" i="5"/>
  <c r="D121" i="5" a="1"/>
  <c r="D121" i="5"/>
  <c r="D122" i="5" a="1"/>
  <c r="D122" i="5"/>
  <c r="D123" i="5" a="1"/>
  <c r="D123" i="5"/>
  <c r="D124" i="5" a="1"/>
  <c r="D124" i="5"/>
  <c r="D125" i="5" a="1"/>
  <c r="D125" i="5"/>
  <c r="D126" i="5" a="1"/>
  <c r="D126" i="5"/>
  <c r="D127" i="5" a="1"/>
  <c r="D127" i="5"/>
  <c r="D128" i="5" a="1"/>
  <c r="D128" i="5"/>
  <c r="D129" i="5" a="1"/>
  <c r="D129" i="5"/>
  <c r="D130" i="5" a="1"/>
  <c r="D130" i="5"/>
  <c r="D131" i="5" a="1"/>
  <c r="D131" i="5"/>
  <c r="D132" i="5" a="1"/>
  <c r="D132" i="5"/>
  <c r="D133" i="5" a="1"/>
  <c r="D133" i="5"/>
  <c r="D134" i="5" a="1"/>
  <c r="D134" i="5"/>
  <c r="D135" i="5" a="1"/>
  <c r="D135" i="5"/>
  <c r="D136" i="5" a="1"/>
  <c r="D136" i="5"/>
  <c r="D137" i="5" a="1"/>
  <c r="D137" i="5"/>
  <c r="D138" i="5" a="1"/>
  <c r="D138" i="5"/>
  <c r="D139" i="5" a="1"/>
  <c r="D139" i="5"/>
  <c r="D140" i="5" a="1"/>
  <c r="D140" i="5"/>
  <c r="D141" i="5" a="1"/>
  <c r="D141" i="5"/>
  <c r="D142" i="5" a="1"/>
  <c r="D142" i="5"/>
  <c r="D143" i="5" a="1"/>
  <c r="D143" i="5"/>
  <c r="D144" i="5" a="1"/>
  <c r="D144" i="5"/>
  <c r="D145" i="5" a="1"/>
  <c r="D145" i="5"/>
  <c r="D146" i="5" a="1"/>
  <c r="D146" i="5"/>
  <c r="D147" i="5" a="1"/>
  <c r="D147" i="5"/>
  <c r="D148" i="5" a="1"/>
  <c r="D148" i="5"/>
  <c r="D149" i="5" a="1"/>
  <c r="D149" i="5"/>
  <c r="D150" i="5" a="1"/>
  <c r="D150" i="5"/>
  <c r="D151" i="5" a="1"/>
  <c r="D151" i="5"/>
  <c r="D152" i="5" a="1"/>
  <c r="D152" i="5"/>
  <c r="D153" i="5" a="1"/>
  <c r="D153" i="5"/>
  <c r="D154" i="5" a="1"/>
  <c r="D154" i="5"/>
  <c r="D155" i="5" a="1"/>
  <c r="D155" i="5"/>
  <c r="D156" i="5" a="1"/>
  <c r="D156" i="5"/>
  <c r="D157" i="5" a="1"/>
  <c r="D157" i="5"/>
  <c r="D158" i="5" a="1"/>
  <c r="D158" i="5"/>
  <c r="D159" i="5" a="1"/>
  <c r="D159" i="5"/>
  <c r="D160" i="5" a="1"/>
  <c r="D160" i="5"/>
  <c r="D161" i="5" a="1"/>
  <c r="D161" i="5"/>
  <c r="D162" i="5" a="1"/>
  <c r="D162" i="5"/>
  <c r="D163" i="5" a="1"/>
  <c r="D163" i="5"/>
  <c r="D164" i="5" a="1"/>
  <c r="D164" i="5"/>
  <c r="D165" i="5" a="1"/>
  <c r="D165" i="5"/>
  <c r="D166" i="5" a="1"/>
  <c r="D166" i="5"/>
  <c r="D167" i="5" a="1"/>
  <c r="D167" i="5"/>
  <c r="D168" i="5" a="1"/>
  <c r="D168" i="5"/>
  <c r="D169" i="5" a="1"/>
  <c r="D169" i="5"/>
  <c r="D170" i="5" a="1"/>
  <c r="D170" i="5"/>
  <c r="D171" i="5" a="1"/>
  <c r="D171" i="5"/>
  <c r="D172" i="5" a="1"/>
  <c r="D172" i="5"/>
  <c r="D173" i="5" a="1"/>
  <c r="D173" i="5"/>
  <c r="D174" i="5" a="1"/>
  <c r="D174" i="5"/>
  <c r="D175" i="5" a="1"/>
  <c r="D175" i="5"/>
  <c r="D176" i="5" a="1"/>
  <c r="D176" i="5"/>
  <c r="D177" i="5" a="1"/>
  <c r="D177" i="5"/>
  <c r="D178" i="5" a="1"/>
  <c r="D178" i="5"/>
  <c r="D179" i="5" a="1"/>
  <c r="D179" i="5"/>
  <c r="D180" i="5" a="1"/>
  <c r="D180" i="5"/>
  <c r="D181" i="5" a="1"/>
  <c r="D181" i="5"/>
  <c r="D182" i="5" a="1"/>
  <c r="D182" i="5"/>
  <c r="D183" i="5" a="1"/>
  <c r="D183" i="5"/>
  <c r="D184" i="5" a="1"/>
  <c r="D184" i="5"/>
  <c r="D185" i="5" a="1"/>
  <c r="D185" i="5"/>
  <c r="D186" i="5" a="1"/>
  <c r="D186" i="5"/>
  <c r="D187" i="5" a="1"/>
  <c r="D187" i="5"/>
  <c r="D188" i="5" a="1"/>
  <c r="D188" i="5"/>
  <c r="D189" i="5" a="1"/>
  <c r="D189" i="5"/>
  <c r="D190" i="5" a="1"/>
  <c r="D190" i="5"/>
  <c r="D191" i="5" a="1"/>
  <c r="D191" i="5"/>
  <c r="D192" i="5" a="1"/>
  <c r="D192" i="5"/>
  <c r="D193" i="5" a="1"/>
  <c r="D193" i="5"/>
  <c r="D194" i="5" a="1"/>
  <c r="D194" i="5"/>
  <c r="D195" i="5" a="1"/>
  <c r="D195" i="5"/>
  <c r="D196" i="5" a="1"/>
  <c r="D196" i="5"/>
  <c r="D197" i="5" a="1"/>
  <c r="D197" i="5"/>
  <c r="D198" i="5" a="1"/>
  <c r="D198" i="5"/>
  <c r="D199" i="5" a="1"/>
  <c r="D199" i="5"/>
  <c r="D200" i="5" a="1"/>
  <c r="D200" i="5"/>
  <c r="D201" i="5" a="1"/>
  <c r="D201" i="5"/>
  <c r="D202" i="5" a="1"/>
  <c r="D202" i="5"/>
  <c r="D203" i="5" a="1"/>
  <c r="D203" i="5"/>
  <c r="D204" i="5" a="1"/>
  <c r="D204" i="5"/>
  <c r="D205" i="5" a="1"/>
  <c r="D205" i="5"/>
  <c r="D206" i="5" a="1"/>
  <c r="D206" i="5"/>
  <c r="D207" i="5" a="1"/>
  <c r="D207" i="5"/>
  <c r="D208" i="5" a="1"/>
  <c r="D208" i="5"/>
  <c r="D209" i="5" a="1"/>
  <c r="D209" i="5"/>
  <c r="D210" i="5" a="1"/>
  <c r="D210" i="5"/>
  <c r="D211" i="5" a="1"/>
  <c r="D211" i="5"/>
  <c r="D212" i="5" a="1"/>
  <c r="D212" i="5"/>
  <c r="D213" i="5" a="1"/>
  <c r="D213" i="5"/>
  <c r="D214" i="5" a="1"/>
  <c r="D214" i="5"/>
  <c r="D215" i="5" a="1"/>
  <c r="D215" i="5"/>
  <c r="D216" i="5" a="1"/>
  <c r="D216" i="5"/>
  <c r="D217" i="5" a="1"/>
  <c r="D217" i="5"/>
  <c r="D218" i="5" a="1"/>
  <c r="D218" i="5"/>
  <c r="D219" i="5" a="1"/>
  <c r="D219" i="5"/>
  <c r="D220" i="5" a="1"/>
  <c r="D220" i="5"/>
  <c r="D221" i="5" a="1"/>
  <c r="D221" i="5"/>
  <c r="D222" i="5" a="1"/>
  <c r="D222" i="5"/>
  <c r="D223" i="5" a="1"/>
  <c r="D223" i="5"/>
  <c r="D224" i="5" a="1"/>
  <c r="D224" i="5"/>
  <c r="D225" i="5" a="1"/>
  <c r="D225" i="5"/>
  <c r="D226" i="5" a="1"/>
  <c r="D226" i="5"/>
  <c r="D227" i="5" a="1"/>
  <c r="D227" i="5"/>
  <c r="D6" i="5" a="1"/>
  <c r="D6" i="5"/>
  <c r="D5" i="5" a="1"/>
  <c r="D5" i="5"/>
  <c r="D11" i="5" a="1"/>
  <c r="D11" i="5"/>
  <c r="D16" i="5" a="1"/>
  <c r="D16" i="5"/>
  <c r="D9" i="5" a="1"/>
  <c r="D9" i="5"/>
  <c r="D10" i="5" a="1"/>
  <c r="D10" i="5"/>
  <c r="D7" i="5" a="1"/>
  <c r="D7" i="5"/>
  <c r="D8" i="5" a="1"/>
  <c r="D8" i="5"/>
  <c r="C15" i="3"/>
  <c r="D18" i="5" a="1"/>
  <c r="D18" i="5"/>
  <c r="D15" i="5" a="1"/>
  <c r="D15" i="5"/>
  <c r="C23" i="3"/>
  <c r="C22" i="3"/>
  <c r="D13" i="5" a="1"/>
  <c r="D13" i="5"/>
  <c r="C13" i="3"/>
  <c r="D14" i="5" a="1"/>
  <c r="D14" i="5"/>
  <c r="D17" i="5" a="1"/>
  <c r="D17" i="5"/>
  <c r="C14" i="3"/>
  <c r="D12" i="5" a="1"/>
  <c r="D12" i="5"/>
  <c r="C11" i="3"/>
  <c r="D19" i="5" a="1"/>
  <c r="D19" i="5"/>
  <c r="C19" i="3"/>
  <c r="C26" i="3"/>
  <c r="C10" i="3"/>
  <c r="C12" i="3"/>
  <c r="S11" i="2"/>
  <c r="C16" i="3"/>
  <c r="C17" i="3"/>
  <c r="C18" i="3"/>
  <c r="C20" i="3"/>
  <c r="C21" i="3"/>
  <c r="C24" i="3"/>
  <c r="C25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9" i="3"/>
  <c r="S10" i="2"/>
  <c r="T10" i="2"/>
  <c r="T11" i="2"/>
  <c r="I8" i="5"/>
  <c r="I14" i="5"/>
  <c r="I15" i="5"/>
  <c r="I9" i="5"/>
  <c r="I10" i="5"/>
  <c r="I12" i="5"/>
  <c r="I5" i="5"/>
  <c r="I17" i="5"/>
  <c r="I11" i="5"/>
  <c r="I13" i="5"/>
  <c r="I16" i="5"/>
  <c r="I18" i="5"/>
  <c r="I19" i="5"/>
  <c r="K11" i="5"/>
  <c r="K10" i="5"/>
  <c r="K9" i="5"/>
  <c r="K8" i="5"/>
  <c r="K7" i="5"/>
  <c r="K6" i="5"/>
  <c r="K5" i="5"/>
  <c r="F53" i="10" l="1"/>
  <c r="F30" i="10"/>
  <c r="F46" i="10"/>
  <c r="F37" i="10"/>
  <c r="F13" i="10"/>
  <c r="F61" i="10"/>
  <c r="F45" i="10"/>
  <c r="F29" i="10"/>
  <c r="F54" i="10"/>
  <c r="F38" i="10"/>
  <c r="F22" i="10"/>
  <c r="F21" i="10"/>
  <c r="F58" i="10"/>
  <c r="F50" i="10"/>
  <c r="F42" i="10"/>
  <c r="F34" i="10"/>
  <c r="F26" i="10"/>
  <c r="F18" i="10"/>
  <c r="F65" i="10"/>
  <c r="F57" i="10"/>
  <c r="F49" i="10"/>
  <c r="F41" i="10"/>
  <c r="F33" i="10"/>
  <c r="F25" i="10"/>
  <c r="F17" i="10"/>
  <c r="F14" i="10"/>
  <c r="D5" i="7"/>
  <c r="E5" i="7"/>
  <c r="C5" i="7"/>
  <c r="F64" i="10"/>
  <c r="F60" i="10"/>
  <c r="F56" i="10"/>
  <c r="F52" i="10"/>
  <c r="F48" i="10"/>
  <c r="F44" i="10"/>
  <c r="F40" i="10"/>
  <c r="F36" i="10"/>
  <c r="F32" i="10"/>
  <c r="F28" i="10"/>
  <c r="F24" i="10"/>
  <c r="F20" i="10"/>
  <c r="F16" i="10"/>
  <c r="F12" i="10"/>
  <c r="F63" i="10"/>
  <c r="F59" i="10"/>
  <c r="F55" i="10"/>
  <c r="F51" i="10"/>
  <c r="F47" i="10"/>
  <c r="F43" i="10"/>
  <c r="F39" i="10"/>
  <c r="F35" i="10"/>
  <c r="F31" i="10"/>
  <c r="F27" i="10"/>
  <c r="F23" i="10"/>
  <c r="F19" i="10"/>
  <c r="F15" i="10"/>
  <c r="F11" i="10"/>
  <c r="F5" i="7" l="1"/>
  <c r="E3" i="10" l="1"/>
  <c r="F4" i="10"/>
  <c r="G4" i="10" s="1"/>
  <c r="E4" i="10" s="1"/>
  <c r="E7" i="10" l="1"/>
</calcChain>
</file>

<file path=xl/sharedStrings.xml><?xml version="1.0" encoding="utf-8"?>
<sst xmlns="http://schemas.openxmlformats.org/spreadsheetml/2006/main" count="1558" uniqueCount="299">
  <si>
    <t>Category</t>
  </si>
  <si>
    <t>AUDITYEAR</t>
  </si>
  <si>
    <t>DBKEY</t>
  </si>
  <si>
    <t>Auditee Name</t>
  </si>
  <si>
    <t>CFDA</t>
  </si>
  <si>
    <t>FEDERALPROGRAMNAME</t>
  </si>
  <si>
    <t>AMOUNT</t>
  </si>
  <si>
    <t>PROGRAMTOTAL</t>
  </si>
  <si>
    <t>AllYear1</t>
  </si>
  <si>
    <t>ARGUS COMMUNITY, INC</t>
  </si>
  <si>
    <t>No</t>
  </si>
  <si>
    <t>SUPPORTIVE HOUSING PROGRAM</t>
  </si>
  <si>
    <t>N/A</t>
  </si>
  <si>
    <t>Yes</t>
  </si>
  <si>
    <t>BAILEY HOUSE, INC. &amp; BAILEY-HOLT HOUSE HDFC</t>
  </si>
  <si>
    <t>HOUSING OPPORTUNITIES FOR PERSONS WITH AIDS</t>
  </si>
  <si>
    <t>HIV EMERGENCY RELIEF PROJECT GRANTS</t>
  </si>
  <si>
    <t>BRONXDALE TENANTS LEAGUE DCC, INC.</t>
  </si>
  <si>
    <t>BROOKLYN KINDERGARTEN SOCIETY</t>
  </si>
  <si>
    <t>Head Start</t>
  </si>
  <si>
    <t>HEAD START</t>
  </si>
  <si>
    <t>CENTER FOR THE ELIMINATION OF VIOLENCE IN THE FAMILY, INC</t>
  </si>
  <si>
    <t>SOCIAL SERVICES BLOCK GRANT</t>
  </si>
  <si>
    <t>CHINESE-AMERICAN PLANNING COUNCIL</t>
  </si>
  <si>
    <t>CHILD AND ADULT CARE FOOD PROGRAM</t>
  </si>
  <si>
    <t>COMMUNITY DEVELOPMENT BLOCK GRANTS/ENTITLEMENT GRANTS</t>
  </si>
  <si>
    <t>WIOA Youth Activities</t>
  </si>
  <si>
    <t>WIA YOUTH ACTIVITIES</t>
  </si>
  <si>
    <t>NUTRITION SERVICES INCENTIVE PROGRAM</t>
  </si>
  <si>
    <t>MEDICARE ENROLLMENT ASSISTANCE PROGRAM</t>
  </si>
  <si>
    <t>TEMPORARY ASSISTANCE FOR NEEDY FAMILIES</t>
  </si>
  <si>
    <t>COMMUNITY SERVICES BLOCK GRANT</t>
  </si>
  <si>
    <t>CHILD CARE AND DEVELOPMENT BLOCK GRANT</t>
  </si>
  <si>
    <t>COMMUNITY-BASED CHILD ABUSE PREVENTION GRANTS</t>
  </si>
  <si>
    <t>MEDICAL ASSISTANCE PROGRAM</t>
  </si>
  <si>
    <t>HIV CARE FORMULA GRANTS</t>
  </si>
  <si>
    <t>MATERNAL AND CHILD HEALTH SERVICES BLOCK GRANT TO THE STATES</t>
  </si>
  <si>
    <t>COMMUNITY LIFE CENTER INC</t>
  </si>
  <si>
    <t>CYPRESS HILLS LOCAL DEVELOPMENT CORPORATION</t>
  </si>
  <si>
    <t>HOME INVESTMENT PARTNERSHIPS PROGRAM</t>
  </si>
  <si>
    <t>ADULT EDUCATION - BASIC GRANTS TO STATES</t>
  </si>
  <si>
    <t>TWENTY-FIRST CENTURY COMMUNITY LEARNING CENTERS</t>
  </si>
  <si>
    <t>DAY CARE COUNCIL OF NEW YORK, INC.</t>
  </si>
  <si>
    <t>EDWIN GOULD SERVICES FOR CHILDREN AND FAMILIES</t>
  </si>
  <si>
    <t>SCHOOL BREAKFAST PROGRAM</t>
  </si>
  <si>
    <t>NATIONAL SCHOOL LUNCH PROGRAM</t>
  </si>
  <si>
    <t>SPECIAL EDUCATION_GRANTS TO STATES</t>
  </si>
  <si>
    <t>SPECIAL EDUCATION_PRESCHOOL GRANTS</t>
  </si>
  <si>
    <t>HENRY STREET SETTLEMENT AND AFFILIATES</t>
  </si>
  <si>
    <t>SHELTER PLUS CARE</t>
  </si>
  <si>
    <t>SENIOR COMPANION PROGRAM</t>
  </si>
  <si>
    <t>SOCIAL INNOVATION FUND</t>
  </si>
  <si>
    <t>EMERGENCY FOOD AND SHELTER NATIONAL BOARD PROGRAM</t>
  </si>
  <si>
    <t>HIGHBRIDGE ADVISORY COUNCIL FAMILY SERVICES, INC</t>
  </si>
  <si>
    <t>HUDSON GUILD, INC</t>
  </si>
  <si>
    <t>JAMAICA SERVICE PROGRAM FOR OLDER ADULTS, INC</t>
  </si>
  <si>
    <t>CRIME VICTIM ASSISTANCE</t>
  </si>
  <si>
    <t>JEWISH CHILD CARE ASSOCIATION</t>
  </si>
  <si>
    <t>PHIPPS COMMUNITY DEVELOPMENT CORPORATION</t>
  </si>
  <si>
    <t>SCO FAMILY OF SERVICES</t>
  </si>
  <si>
    <t>HEALTHY START INITIATIVE</t>
  </si>
  <si>
    <t>BLOCK GRANTS FOR PREVENTION AND TREATMENT OF SUBSTANCE ABUSE</t>
  </si>
  <si>
    <t>SOUTHEAST BRONX NEIGHBORHOOD CENTERS, INC</t>
  </si>
  <si>
    <t>STANLEY M. ISAACS NEIGHBORHOOD CENTER, INC.</t>
  </si>
  <si>
    <t>SPECIAL PROGRAMS FOR THE AGING_TITLE III, PART C_NUTRITION SERVICES</t>
  </si>
  <si>
    <t>THE CHILDREN'S VILLAGE, INC. AND AFFILIATES</t>
  </si>
  <si>
    <t>BASIC CENTER GRANT</t>
  </si>
  <si>
    <t>UNACCOMPANIED ALIEN CHILDREN PROGRAM</t>
  </si>
  <si>
    <t>TREMONT MONTEREY DAY CARE CENTER INC.</t>
  </si>
  <si>
    <t>UNIVERSITY SETTLEMENT SOCIETY OF NEW YORK, INC</t>
  </si>
  <si>
    <t>AMERICORPS</t>
  </si>
  <si>
    <t>AllYear2</t>
  </si>
  <si>
    <t>EAST SIDE HOUSE, INC.</t>
  </si>
  <si>
    <t>TITLE I GRANTS TO LOCAL EDUCATIONAL AGENCIES</t>
  </si>
  <si>
    <t>EPISCOPAL SOCIAL SERVICES OF NEW YORK, INC.</t>
  </si>
  <si>
    <t>GODDARD RIVERSIDE COMMUNITY CENTER</t>
  </si>
  <si>
    <t>BLOCK GRANTS FOR COMMUNITY MENTAL HEALTH SERVICES</t>
  </si>
  <si>
    <t>GREENHOPE SERVICES FOR WOMEN, INC.</t>
  </si>
  <si>
    <t>HAMILTON-MADISON HOUSE, INC.</t>
  </si>
  <si>
    <t>HARLEM COMMUNITY AIDS CENTER AND AFFILIATES, INC</t>
  </si>
  <si>
    <t>HOUSING + SOLUTIONS, INC.</t>
  </si>
  <si>
    <t>LEAKE AND WATTS SERVICES, INC. AND AFFILIATE</t>
  </si>
  <si>
    <t>NATIONAL FEDERATION OF COMMUNITY DEVELOPMENT CREDIT UINIONS</t>
  </si>
  <si>
    <t>NORTHSIDE CENTER FOR CHILD DEVELOPMENT, INC.</t>
  </si>
  <si>
    <t>PRESBYTERIAN SENIOR SERVICES</t>
  </si>
  <si>
    <t>NATIONAL FAMILY CAREGIVER SUPPORT, TITLE III, PART E</t>
  </si>
  <si>
    <t>THE FAMILY CENTER, INC.</t>
  </si>
  <si>
    <t>WOMEN'S PRISON ASSOCIATION AND HOME</t>
  </si>
  <si>
    <t>AllYear3</t>
  </si>
  <si>
    <t>AIDS SERVICE CENTER OF LOWER MANHATTAN INC DBA AIDS SERVICE CENTER NYC</t>
  </si>
  <si>
    <t>SENIOR COMMUNITY SERVICE EMPLOYMENT PROGRAM</t>
  </si>
  <si>
    <t>IMMUNIZATION COOPERATIVE AGREEMENTS</t>
  </si>
  <si>
    <t>TEENAGE PREGNANCY PREVENTION PROGRAM</t>
  </si>
  <si>
    <t>ABBOTT HOUSE</t>
  </si>
  <si>
    <t>CLIFFORD GLOVER DAY CARE CENTER, INC.</t>
  </si>
  <si>
    <t>PROMOTION OF THE ARTS_GRANTS TO ORGANIZATIONS AND INDIVIDUALS</t>
  </si>
  <si>
    <t>CHILDREN'S HEALTH INSURANCE PROGRAM</t>
  </si>
  <si>
    <t>EMERGENCY SOLUTIONS GRANT PROGRAM</t>
  </si>
  <si>
    <t>CHILD SUPPORT ENFORCEMENT</t>
  </si>
  <si>
    <t>PARTNERSHIP WITH CHILDREN, INC</t>
  </si>
  <si>
    <t>EMERGENCY FOOD ASSISTANCE PROGRAM (FOOD COMMODITIES)</t>
  </si>
  <si>
    <t>CONSOLIDATED HEALTH CENTERS (COMMUNITY HEALTH CENTERS, MIGRANT HEALTH CENTERS, HEALTH CARE FOR THE HOMELESS, AND PUBLIC HOUSING PRIMARY CARE)</t>
  </si>
  <si>
    <t>AFFORDABLE CARE ACT (ACA) GRANTS FOR NEW AND EXPANDED SERVICES UNDER THE HEALTH CENTER PROGRAM</t>
  </si>
  <si>
    <t>THE CARTER BURDEN CENTER FOR THE AGING, INC.</t>
  </si>
  <si>
    <t>SPECIAL EDUCATION GRANTS TO STATES</t>
  </si>
  <si>
    <t>SPECIAL PROGRAMS FOR THE AGING_TITLE III, PART D_DISEASE PREVENTION AND HEALTH PROMOTION SERVICES</t>
  </si>
  <si>
    <t>SPECIAL PROGRAMS FOR THE AGING_TITLE III, PART B_GRANTS FOR SUPPORTIVE SERVICES AND SENIOR CENTERS</t>
  </si>
  <si>
    <t>COMMUNITY DEVELOPMENT FINANCIAL INSTITUTIONS PROGRAM</t>
  </si>
  <si>
    <t>FAMILY VIOLENCE PREVENTION AND SERVICES/DOMESTIC VIOLENCE SHELTER AN...</t>
  </si>
  <si>
    <t>TRIO_TALENT SEARCH</t>
  </si>
  <si>
    <t>SUBSTANCE ABUSE AND MENTAL HEALTH SERVICES_PROJECTS OF REGIONAL AND NATIONAL SIGNIFICANCE</t>
  </si>
  <si>
    <t>STATE ADMINISTRATIVE MATCHING GRANTS FOR THE SUPPLEMENTAL NUTRITION ASSISTANCE PROGRAM</t>
  </si>
  <si>
    <t>SECTION 4 CAPACITY BUILDING FOR COMMUNITY DEVELOPMENT AND AFFORDABLE HOUSING</t>
  </si>
  <si>
    <t>SPECIAL PROGRAMS FOR THE AGING_TITLE III, PART B_GRANTS FOR SUPPORTI...</t>
  </si>
  <si>
    <t>REHABILITATION SERVICES_VOCATIONAL REHABILITATION GRANTS TO STATES</t>
  </si>
  <si>
    <t>RENA DAY CARE CENTER</t>
  </si>
  <si>
    <t>HURRICANE SANDY COMMUNITY DEVELOPMENT BLOCK GRANT DISASTER RECOVERY GRANTS (CDBG-DR)</t>
  </si>
  <si>
    <t>AFRO-AMERICAN PARENTS EDUCATIONAL CENTER, INC</t>
  </si>
  <si>
    <t>SCHOOL IMPROVEMENT GRANTS</t>
  </si>
  <si>
    <t>SUPPORTED EMPLOYMENT SERVICES FOR INDIVIDUALS WITH THE MOST SIGNIFICANT DISABILITIES</t>
  </si>
  <si>
    <t>CONTINUUM OF CARE PROGRAM</t>
  </si>
  <si>
    <t>COORDINATED SERVICES AND ACCESS TO RESEARCH FOR WOMEN, INFANTS, CHILDREN, AND YOUTH</t>
  </si>
  <si>
    <t>RYAN WHITE HIV/AIDS DENTAL REIMBURSEMENT AND COMMUNITY BASED DENTAL PARTNERSHIP GRANTS</t>
  </si>
  <si>
    <t>HIV PREVENTION ACTIVITIES_NON-GOVERNMENTAL ORGANIZATION BASED</t>
  </si>
  <si>
    <t>COMMUNITY DEVELOPMENT BLOCK GRANTS/STATE'S PROGRAM AND NON-ENTITLEMENT GRANTS IN HAWAII</t>
  </si>
  <si>
    <t>PARTNERSHIPS TO IMPROVE COMMUNITY HEALTH</t>
  </si>
  <si>
    <t>STATE ADMINISTRATIVE MATCHING GRANTS FOR THE SUPPLEMENTAL NUTRITION ...</t>
  </si>
  <si>
    <t>WIOA YOUTH ACTIVITIES</t>
  </si>
  <si>
    <t>HURRICANE SANDY COMMUNITY DEVELOPMENT BLOCK GRANT DISASTER RECOVERY ...</t>
  </si>
  <si>
    <t>93.u01</t>
  </si>
  <si>
    <t>2018-327</t>
  </si>
  <si>
    <t>STATE ADM MATCHING GRANTS-NUTRITION ASST. PROGRAM</t>
  </si>
  <si>
    <t>SPECIAL PROGRAMS FOR THE AGING-TITLE III PART B</t>
  </si>
  <si>
    <t>SPECIAL PROGRAMS FOR THE AGING-TITLE III PART C</t>
  </si>
  <si>
    <t>AFFORDABLE CARE ACT</t>
  </si>
  <si>
    <t>AGING RESEARCH</t>
  </si>
  <si>
    <t>2018-401</t>
  </si>
  <si>
    <t>PROMOTION OF THE HUMANITIES_PUBLIC PROGRAMS</t>
  </si>
  <si>
    <t>FAMILY RESOURCE CENTER</t>
  </si>
  <si>
    <t>2018-408</t>
  </si>
  <si>
    <t>21ST CENTURY CURES ACT - BEAU BIDEN CANCER MOONSHOT</t>
  </si>
  <si>
    <t>AFFORDABLE CARE ACT MATERNAL, INFANT, AND EARLY CHILDHOOD HOME VISITING PROGRAM</t>
  </si>
  <si>
    <t>MATERNAL, INFANT AND EARLY CHILDHOOD HOME VISITING GRANT PROGRAM</t>
  </si>
  <si>
    <t>UNION SETTLEMENT ASSOCIATION, INC.</t>
  </si>
  <si>
    <t>2018-612</t>
  </si>
  <si>
    <t>MemerOrgsData_Side Calculations</t>
  </si>
  <si>
    <t>MemberOrgs_TopRow</t>
  </si>
  <si>
    <t>MemberOrgs_NumRow</t>
  </si>
  <si>
    <t>First?</t>
  </si>
  <si>
    <t>#Unique Records</t>
  </si>
  <si>
    <t>MemberOrgs</t>
  </si>
  <si>
    <t>Select FPWA Member Organization</t>
  </si>
  <si>
    <t>Selected Member Org</t>
  </si>
  <si>
    <t>Analyzed?</t>
  </si>
  <si>
    <t>FFIS Document</t>
  </si>
  <si>
    <t>beta.sam.gov name</t>
  </si>
  <si>
    <t>FY 2019</t>
  </si>
  <si>
    <t>Latest Senate</t>
  </si>
  <si>
    <t>6.11.19 Jim Martin Table</t>
  </si>
  <si>
    <t>Community Development Block Grants/State's program and Non-Entitlement Grants in Hawaii</t>
  </si>
  <si>
    <t>Home Investment Partnerships Program</t>
  </si>
  <si>
    <t>State Criminal Alien Assistance Program</t>
  </si>
  <si>
    <t>Twenty-First Century Community Learning Centers</t>
  </si>
  <si>
    <t>Supporting Effective Instruction State Grants (formerly Improving Teacher Quality State Grants)</t>
  </si>
  <si>
    <t>Low-Income Home Energy Assistance</t>
  </si>
  <si>
    <t>Community Services Block Grant</t>
  </si>
  <si>
    <t>Social Services Block Grant</t>
  </si>
  <si>
    <t>Emergency Food and Shelter National Board Program</t>
  </si>
  <si>
    <t>6.6.19 Appropriations Update</t>
  </si>
  <si>
    <t>Emergency Medical Services for Children</t>
  </si>
  <si>
    <t>Community Services Block Grant Discretionary Awards</t>
  </si>
  <si>
    <t>Senior Community Service Employment Program</t>
  </si>
  <si>
    <t/>
  </si>
  <si>
    <t>Adult Education - Basic Grants to States</t>
  </si>
  <si>
    <t>Homeland Security Grant Program</t>
  </si>
  <si>
    <t>Emergency Management Performance Grants</t>
  </si>
  <si>
    <t>National Family Caregiver Support, Title III, Part E</t>
  </si>
  <si>
    <t>Housing Opportunities for Persons with AIDS</t>
  </si>
  <si>
    <t>Temporary Assistance for Needy Families</t>
  </si>
  <si>
    <t>Edward Byrne Memorial Justice Assistance Grant Program</t>
  </si>
  <si>
    <t>Impact Aid</t>
  </si>
  <si>
    <t>Project Grants and Cooperative Agreements for Tuberculosis Control Programs</t>
  </si>
  <si>
    <t>Hospital Preparedness Program (HPP) and Public Health Emergency Preparedness (PHEP) Aligned Cooperative Agreements</t>
  </si>
  <si>
    <t>Maternal and Child Health Services Block Grant to the States</t>
  </si>
  <si>
    <t>Special Programs for the Aging, Title III, Part B, Grants for Supportive Services and Senior Centers</t>
  </si>
  <si>
    <t>Special Programs for the Aging, Title III, Part C, Nutrition Services</t>
  </si>
  <si>
    <t>Section 8 Housing Choice Vouchers</t>
  </si>
  <si>
    <t>Emergency Solutions Grant Program</t>
  </si>
  <si>
    <t>Child Support Enforcement</t>
  </si>
  <si>
    <t xml:space="preserve">Nutrition Services Incentive Program </t>
  </si>
  <si>
    <t>Violence Against Women Formula Grants</t>
  </si>
  <si>
    <t>WIOA Adult Program</t>
  </si>
  <si>
    <t>WIOA Dislocated Worker Formula Grants</t>
  </si>
  <si>
    <t>Special Education Grants to States</t>
  </si>
  <si>
    <t>Career and Technical Education -- Basic Grants to States</t>
  </si>
  <si>
    <t>English Language Acquisition State Grants</t>
  </si>
  <si>
    <t>Teacher and School Leader Incentive Grants (formerly the Teacher Incentive Fund)</t>
  </si>
  <si>
    <t>Health Center Program (Community Health Centers, Migrant Health Centers, Health Care for the Homeless, and Public Housing Primary Care)</t>
  </si>
  <si>
    <t>Child Care and Development Block Grant</t>
  </si>
  <si>
    <t>Block Grants for Community Mental Health Services</t>
  </si>
  <si>
    <t>Block Grants for Prevention and Treatment of Substance Abuse</t>
  </si>
  <si>
    <t>Special Programs for the Aging, Title III, Part D, Disease Prevention and Health Promotion Services</t>
  </si>
  <si>
    <t>Injury Prevention and Control Research and State and Community Based Programs</t>
  </si>
  <si>
    <t>Projects for Assistance in Transition from Homelessness (PATH)</t>
  </si>
  <si>
    <t>Community-Based Child Abuse Prevention Grants</t>
  </si>
  <si>
    <t xml:space="preserve">Family Violence Prevention and Services/Domestic Violence Shelter and Supportive Services </t>
  </si>
  <si>
    <t>Unaccompanied Alien Children Program</t>
  </si>
  <si>
    <t>HIV Emergency Relief Project Grants</t>
  </si>
  <si>
    <t>HIV Care Formula Grants</t>
  </si>
  <si>
    <t>Healthy Start Initiative</t>
  </si>
  <si>
    <t>Sexually Transmitted Diseases (STD) Prevention and Control Grants</t>
  </si>
  <si>
    <t>Child and Adult Care Food Program</t>
  </si>
  <si>
    <t>Lower Income Housing Assistance Program Section 8 Moderate Rehabilitation</t>
  </si>
  <si>
    <t>Highway Planning and Construction</t>
  </si>
  <si>
    <t>Medical Assistance Program</t>
  </si>
  <si>
    <t>Children's Health Insurance Program</t>
  </si>
  <si>
    <t>Rehabilitation Services Vocational Rehabilitation Grants to States</t>
  </si>
  <si>
    <t>Foster Care Title IV-E</t>
  </si>
  <si>
    <t>Adoption Assistance</t>
  </si>
  <si>
    <t>Medicare Enrollment Assistance Program</t>
  </si>
  <si>
    <t>Promoting Safe and Stable Families</t>
  </si>
  <si>
    <t>Basic Center Grant</t>
  </si>
  <si>
    <t>Immunization Cooperative Agreements</t>
  </si>
  <si>
    <t>Substance Abuse and Mental Health Services Projects of Regional and National Significance</t>
  </si>
  <si>
    <t>#</t>
  </si>
  <si>
    <t>Row</t>
  </si>
  <si>
    <t>Grant Name</t>
  </si>
  <si>
    <t>FY 2018 Total</t>
  </si>
  <si>
    <t>President $ Change</t>
  </si>
  <si>
    <t>House $ Change</t>
  </si>
  <si>
    <t>Sort 1</t>
  </si>
  <si>
    <t>Sort 2</t>
  </si>
  <si>
    <t>Senate Budget</t>
  </si>
  <si>
    <t>Senate $ Change</t>
  </si>
  <si>
    <t>Unique CFDA</t>
  </si>
  <si>
    <t>Desired Order</t>
  </si>
  <si>
    <t>All CFDAs</t>
  </si>
  <si>
    <t>BudgetApprop?</t>
  </si>
  <si>
    <t>RowFiltered</t>
  </si>
  <si>
    <t>President % Change</t>
  </si>
  <si>
    <t>Final Pres. Sort</t>
  </si>
  <si>
    <t>Pres. Sort</t>
  </si>
  <si>
    <t>President Budget % Change</t>
  </si>
  <si>
    <t>President Budget $ Change</t>
  </si>
  <si>
    <t>Row Number</t>
  </si>
  <si>
    <t>From</t>
  </si>
  <si>
    <t>To</t>
  </si>
  <si>
    <t>Title:</t>
  </si>
  <si>
    <t>IMPACT TABLE</t>
  </si>
  <si>
    <t>AuditYear</t>
  </si>
  <si>
    <t>Selected Fiscal Year</t>
  </si>
  <si>
    <t>Fiscal Year</t>
  </si>
  <si>
    <t>BudgetYear</t>
  </si>
  <si>
    <t>Selected Budget Year</t>
  </si>
  <si>
    <t>IFERROR(INDEX(BudgetAppropData[President % Change], MATCH(1, ([@[Unique CFDA]] = BudgetAppropData[CFDA])*(SelectBudgetYear = BudgetAppropData[Fiscal Year]), 0)), "")</t>
  </si>
  <si>
    <t>Column1</t>
  </si>
  <si>
    <t>Budget Year</t>
  </si>
  <si>
    <t>House % Change</t>
  </si>
  <si>
    <t>IFERROR(INDEX(BudgetAppropData[House % Change], MATCH(1,([@[Unique CFDA]] = BudgetAppropData[CFDA])*(SelectBudgetYear = BudgetAppropData[Fiscal Year]), 0)), "")</t>
  </si>
  <si>
    <t>Pres.</t>
  </si>
  <si>
    <t>Hse.</t>
  </si>
  <si>
    <t>Nme</t>
  </si>
  <si>
    <t>SUMMARY TABLE</t>
  </si>
  <si>
    <t>Metric</t>
  </si>
  <si>
    <t>Total</t>
  </si>
  <si>
    <t>FPWA Member Org. Federal Grants</t>
  </si>
  <si>
    <t>Dynamic Tree Map</t>
  </si>
  <si>
    <t>COMMUNITY DEVELOPMENT BLOCK GRANT</t>
  </si>
  <si>
    <t>S/STATE'S PROGRAM AND NON-ENTITLEMENT GRANTS IN HAWAII</t>
  </si>
  <si>
    <t>To learn more about federal grants visit beta.sam.gov</t>
  </si>
  <si>
    <t>FY 18 Amount</t>
  </si>
  <si>
    <t>President Cut/Increase</t>
  </si>
  <si>
    <t>House Cut/Increase</t>
  </si>
  <si>
    <t>Dynamic Bar Charts</t>
  </si>
  <si>
    <t>Select Federal Grant</t>
  </si>
  <si>
    <t>President Budget</t>
  </si>
  <si>
    <t>FY 2018 Actuals</t>
  </si>
  <si>
    <t>Is in budget</t>
  </si>
  <si>
    <t>Community Development Block Grants/Entitlement Grants</t>
  </si>
  <si>
    <t>HIV Prevention Activities Health Department Based</t>
  </si>
  <si>
    <t>State Administrative Matching Grants for the Supplemental Nutrition Assistance Program</t>
  </si>
  <si>
    <t>The Affordable Care Act: Building Epidemiology, Laboratory, and Health Information Systems Capacity in the Epidemiology and Laboratory Capacity for Infectious Disease (ELC) and Emerging Infections Program (EIP) Cooperative Agreements; PPHF</t>
  </si>
  <si>
    <t>FedGrant_Calculations</t>
  </si>
  <si>
    <t>FedGrant</t>
  </si>
  <si>
    <t>FedGrant_Top Row</t>
  </si>
  <si>
    <t>FedGrant_NumRow</t>
  </si>
  <si>
    <t>Select Fed Grant</t>
  </si>
  <si>
    <t>President $ Difference</t>
  </si>
  <si>
    <t>House $ Difference</t>
  </si>
  <si>
    <t>Title</t>
  </si>
  <si>
    <t>IF('FPWA Member Grants'!E6 &lt; 0, TEXT(('FPWA Member Grants'!E6*-1), "0"), TEXT('FPWA Member Grants'!E6, "0"))</t>
  </si>
  <si>
    <t>IMPACT CHARTS</t>
  </si>
  <si>
    <t>SUMMARY CHARTS</t>
  </si>
  <si>
    <t>Example Title for Impact and Summary Charts:</t>
  </si>
  <si>
    <t xml:space="preserve">Citation: </t>
  </si>
  <si>
    <t>FPWA Analysis of FFIS and FPWA FY18 audit data. Because audits run a year behind, our analysis examines FY20 proposals on an agency's FY18 federal grants.</t>
  </si>
  <si>
    <t>Citation</t>
  </si>
  <si>
    <t>FPWA Analysis of FFIS data and NYC Comptroller Data</t>
  </si>
  <si>
    <t>To learn more about this data visit our methodology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</si>
</sst>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%"/>
    <numFmt numFmtId="166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 tint="0.249977111117893"/>
      <name val="Calibri"/>
      <family val="2"/>
    </font>
    <font>
      <sz val="9"/>
      <color theme="1"/>
      <name val="Calibri"/>
      <family val="2"/>
      <scheme val="minor"/>
    </font>
    <font>
      <sz val="9"/>
      <color theme="1"/>
      <name val="Calibri Light"/>
      <family val="2"/>
      <scheme val="major"/>
    </font>
    <font>
      <sz val="12"/>
      <color theme="0"/>
      <name val="Open Sans"/>
      <family val="2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Open Sans"/>
      <family val="2"/>
    </font>
    <font>
      <b/>
      <sz val="12"/>
      <color theme="0"/>
      <name val="Open Sans"/>
      <family val="2"/>
    </font>
    <font>
      <sz val="14"/>
      <color theme="0"/>
      <name val="Open Sans"/>
      <family val="2"/>
    </font>
    <font>
      <sz val="12"/>
      <color theme="1"/>
      <name val="Open Sans"/>
      <family val="2"/>
    </font>
    <font>
      <b/>
      <sz val="12"/>
      <color theme="1"/>
      <name val="Open Sans"/>
      <family val="2"/>
    </font>
    <font>
      <i/>
      <sz val="12"/>
      <color theme="1"/>
      <name val="Open Sans"/>
      <family val="2"/>
    </font>
    <font>
      <sz val="11"/>
      <color theme="0"/>
      <name val="Calibri"/>
      <family val="2"/>
      <scheme val="minor"/>
    </font>
    <font>
      <sz val="14"/>
      <color theme="1"/>
      <name val="Open Sans"/>
      <family val="2"/>
    </font>
    <font>
      <i/>
      <sz val="14"/>
      <color theme="1"/>
      <name val="Open Sans"/>
      <family val="2"/>
    </font>
    <font>
      <b/>
      <sz val="13"/>
      <color theme="1"/>
      <name val="Open Sans"/>
      <family val="2"/>
    </font>
    <font>
      <sz val="8"/>
      <color rgb="FF000000"/>
      <name val="Open Sans"/>
      <family val="2"/>
    </font>
    <font>
      <i/>
      <sz val="10"/>
      <color rgb="FF000000"/>
      <name val="Open Sans"/>
      <family val="2"/>
    </font>
  </fonts>
  <fills count="11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</fills>
  <borders count="27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8"/>
      </left>
      <right/>
      <top/>
      <bottom style="thin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 style="thin">
        <color rgb="FF92D050"/>
      </left>
      <right/>
      <top style="thin">
        <color rgb="FF92D050"/>
      </top>
      <bottom/>
      <diagonal/>
    </border>
    <border>
      <left/>
      <right style="thin">
        <color rgb="FF92D050"/>
      </right>
      <top style="thin">
        <color rgb="FF92D050"/>
      </top>
      <bottom/>
      <diagonal/>
    </border>
    <border>
      <left style="thin">
        <color rgb="FF92D050"/>
      </left>
      <right/>
      <top style="thin">
        <color rgb="FF92D050"/>
      </top>
      <bottom style="thin">
        <color rgb="FF92D050"/>
      </bottom>
      <diagonal/>
    </border>
    <border>
      <left/>
      <right style="thin">
        <color rgb="FF92D050"/>
      </right>
      <top style="thin">
        <color rgb="FF92D050"/>
      </top>
      <bottom style="thin">
        <color rgb="FF92D050"/>
      </bottom>
      <diagonal/>
    </border>
    <border>
      <left style="thin">
        <color rgb="FF92D050"/>
      </left>
      <right/>
      <top/>
      <bottom style="thin">
        <color rgb="FF92D050"/>
      </bottom>
      <diagonal/>
    </border>
    <border>
      <left/>
      <right style="thin">
        <color rgb="FF92D050"/>
      </right>
      <top/>
      <bottom style="thin">
        <color rgb="FF92D05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2">
    <xf numFmtId="0" fontId="0" fillId="0" borderId="0" xfId="0"/>
    <xf numFmtId="0" fontId="0" fillId="0" borderId="0" xfId="0" applyNumberFormat="1"/>
    <xf numFmtId="0" fontId="4" fillId="3" borderId="0" xfId="0" applyFont="1" applyFill="1"/>
    <xf numFmtId="0" fontId="3" fillId="0" borderId="0" xfId="0" applyFont="1"/>
    <xf numFmtId="0" fontId="0" fillId="0" borderId="1" xfId="0" applyFont="1" applyBorder="1"/>
    <xf numFmtId="0" fontId="5" fillId="0" borderId="0" xfId="0" applyFont="1" applyFill="1" applyAlignment="1">
      <alignment horizontal="left"/>
    </xf>
    <xf numFmtId="0" fontId="0" fillId="0" borderId="0" xfId="0" applyFill="1"/>
    <xf numFmtId="0" fontId="6" fillId="0" borderId="0" xfId="0" applyFont="1" applyFill="1"/>
    <xf numFmtId="0" fontId="7" fillId="0" borderId="0" xfId="0" applyFont="1" applyFill="1" applyBorder="1"/>
    <xf numFmtId="0" fontId="6" fillId="0" borderId="0" xfId="0" applyFont="1" applyFill="1" applyAlignment="1">
      <alignment horizontal="left"/>
    </xf>
    <xf numFmtId="9" fontId="7" fillId="0" borderId="0" xfId="2" applyFont="1" applyFill="1" applyBorder="1"/>
    <xf numFmtId="164" fontId="7" fillId="0" borderId="0" xfId="1" applyNumberFormat="1" applyFont="1" applyFill="1" applyBorder="1"/>
    <xf numFmtId="0" fontId="6" fillId="0" borderId="0" xfId="0" applyFont="1" applyFill="1" applyBorder="1" applyAlignment="1">
      <alignment horizontal="left"/>
    </xf>
    <xf numFmtId="9" fontId="7" fillId="0" borderId="0" xfId="2" applyFont="1" applyFill="1"/>
    <xf numFmtId="0" fontId="7" fillId="0" borderId="0" xfId="0" applyFont="1" applyFill="1"/>
    <xf numFmtId="9" fontId="7" fillId="0" borderId="0" xfId="2" applyNumberFormat="1" applyFont="1" applyFill="1" applyBorder="1"/>
    <xf numFmtId="0" fontId="2" fillId="2" borderId="3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/>
    <xf numFmtId="44" fontId="0" fillId="0" borderId="0" xfId="1" applyFont="1"/>
    <xf numFmtId="164" fontId="0" fillId="0" borderId="0" xfId="1" applyNumberFormat="1" applyFont="1"/>
    <xf numFmtId="9" fontId="0" fillId="0" borderId="0" xfId="2" applyFont="1"/>
    <xf numFmtId="0" fontId="2" fillId="0" borderId="5" xfId="0" applyFont="1" applyFill="1" applyBorder="1"/>
    <xf numFmtId="0" fontId="2" fillId="0" borderId="3" xfId="0" applyFont="1" applyFill="1" applyBorder="1"/>
    <xf numFmtId="0" fontId="2" fillId="0" borderId="3" xfId="0" applyFont="1" applyFill="1" applyBorder="1" applyAlignment="1">
      <alignment horizontal="center"/>
    </xf>
    <xf numFmtId="164" fontId="0" fillId="0" borderId="0" xfId="1" applyNumberFormat="1" applyFont="1" applyFill="1"/>
    <xf numFmtId="9" fontId="0" fillId="0" borderId="0" xfId="2" applyFont="1" applyFill="1"/>
    <xf numFmtId="0" fontId="8" fillId="4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9" fillId="0" borderId="0" xfId="0" applyFont="1"/>
    <xf numFmtId="0" fontId="10" fillId="0" borderId="0" xfId="0" applyFont="1"/>
    <xf numFmtId="0" fontId="0" fillId="0" borderId="0" xfId="0" applyFont="1" applyBorder="1"/>
    <xf numFmtId="0" fontId="0" fillId="0" borderId="0" xfId="1" applyNumberFormat="1" applyFont="1"/>
    <xf numFmtId="0" fontId="0" fillId="0" borderId="0" xfId="0" applyFont="1"/>
    <xf numFmtId="0" fontId="11" fillId="0" borderId="0" xfId="0" applyFont="1"/>
    <xf numFmtId="0" fontId="14" fillId="0" borderId="0" xfId="0" applyFont="1"/>
    <xf numFmtId="0" fontId="14" fillId="7" borderId="0" xfId="0" applyFont="1" applyFill="1"/>
    <xf numFmtId="0" fontId="8" fillId="4" borderId="0" xfId="0" applyFont="1" applyFill="1" applyAlignment="1">
      <alignment horizontal="center"/>
    </xf>
    <xf numFmtId="166" fontId="14" fillId="0" borderId="0" xfId="0" applyNumberFormat="1" applyFont="1" applyAlignment="1">
      <alignment horizontal="center"/>
    </xf>
    <xf numFmtId="164" fontId="14" fillId="0" borderId="0" xfId="1" applyNumberFormat="1" applyFont="1"/>
    <xf numFmtId="9" fontId="14" fillId="0" borderId="0" xfId="2" applyFont="1"/>
    <xf numFmtId="0" fontId="14" fillId="0" borderId="7" xfId="0" applyFont="1" applyBorder="1"/>
    <xf numFmtId="164" fontId="14" fillId="0" borderId="8" xfId="1" applyNumberFormat="1" applyFont="1" applyBorder="1"/>
    <xf numFmtId="0" fontId="14" fillId="0" borderId="9" xfId="0" applyFont="1" applyBorder="1"/>
    <xf numFmtId="164" fontId="14" fillId="0" borderId="10" xfId="1" applyNumberFormat="1" applyFont="1" applyBorder="1"/>
    <xf numFmtId="0" fontId="14" fillId="0" borderId="11" xfId="0" applyFont="1" applyBorder="1"/>
    <xf numFmtId="165" fontId="14" fillId="0" borderId="12" xfId="2" applyNumberFormat="1" applyFont="1" applyBorder="1"/>
    <xf numFmtId="166" fontId="14" fillId="0" borderId="0" xfId="0" applyNumberFormat="1" applyFont="1"/>
    <xf numFmtId="0" fontId="16" fillId="0" borderId="16" xfId="0" applyFont="1" applyBorder="1" applyAlignment="1">
      <alignment horizontal="center"/>
    </xf>
    <xf numFmtId="0" fontId="16" fillId="8" borderId="17" xfId="0" applyFont="1" applyFill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14" fillId="0" borderId="15" xfId="0" applyFont="1" applyBorder="1" applyAlignment="1">
      <alignment horizontal="center"/>
    </xf>
    <xf numFmtId="0" fontId="14" fillId="8" borderId="13" xfId="0" applyFont="1" applyFill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15" fillId="0" borderId="0" xfId="0" applyFont="1" applyFill="1" applyBorder="1" applyAlignment="1">
      <alignment vertical="center"/>
    </xf>
    <xf numFmtId="0" fontId="8" fillId="0" borderId="6" xfId="0" applyFont="1" applyFill="1" applyBorder="1" applyAlignment="1">
      <alignment horizontal="center" vertical="center"/>
    </xf>
    <xf numFmtId="0" fontId="11" fillId="0" borderId="0" xfId="0" applyFont="1" applyFill="1"/>
    <xf numFmtId="164" fontId="11" fillId="0" borderId="0" xfId="1" applyNumberFormat="1" applyFont="1" applyFill="1"/>
    <xf numFmtId="9" fontId="11" fillId="0" borderId="0" xfId="2" applyNumberFormat="1" applyFont="1" applyFill="1"/>
    <xf numFmtId="164" fontId="11" fillId="0" borderId="0" xfId="0" applyNumberFormat="1" applyFont="1" applyFill="1"/>
    <xf numFmtId="0" fontId="0" fillId="0" borderId="20" xfId="0" applyFont="1" applyFill="1" applyBorder="1" applyAlignment="1">
      <alignment horizontal="left"/>
    </xf>
    <xf numFmtId="0" fontId="0" fillId="0" borderId="21" xfId="0" applyFont="1" applyFill="1" applyBorder="1"/>
    <xf numFmtId="0" fontId="0" fillId="0" borderId="15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17" fillId="10" borderId="0" xfId="0" applyFont="1" applyFill="1" applyBorder="1" applyAlignment="1"/>
    <xf numFmtId="0" fontId="17" fillId="0" borderId="0" xfId="0" applyFont="1" applyFill="1" applyBorder="1" applyAlignment="1"/>
    <xf numFmtId="0" fontId="19" fillId="0" borderId="25" xfId="0" applyFont="1" applyBorder="1"/>
    <xf numFmtId="0" fontId="18" fillId="0" borderId="25" xfId="0" applyFont="1" applyBorder="1" applyAlignment="1">
      <alignment horizontal="center"/>
    </xf>
    <xf numFmtId="0" fontId="13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 vertical="center" readingOrder="1"/>
    </xf>
    <xf numFmtId="0" fontId="22" fillId="0" borderId="0" xfId="0" applyFont="1" applyAlignment="1">
      <alignment horizontal="center" vertical="center" readingOrder="1"/>
    </xf>
    <xf numFmtId="0" fontId="11" fillId="6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7" fillId="10" borderId="0" xfId="0" applyFont="1" applyFill="1" applyBorder="1" applyAlignment="1">
      <alignment horizontal="left"/>
    </xf>
    <xf numFmtId="0" fontId="12" fillId="5" borderId="6" xfId="0" applyFont="1" applyFill="1" applyBorder="1" applyAlignment="1">
      <alignment horizontal="center" vertical="center"/>
    </xf>
    <xf numFmtId="0" fontId="13" fillId="4" borderId="0" xfId="0" applyFont="1" applyFill="1" applyBorder="1" applyAlignment="1">
      <alignment horizontal="center" vertical="center"/>
    </xf>
    <xf numFmtId="0" fontId="13" fillId="9" borderId="0" xfId="0" applyFont="1" applyFill="1" applyBorder="1" applyAlignment="1">
      <alignment horizontal="center" vertical="center"/>
    </xf>
    <xf numFmtId="0" fontId="14" fillId="0" borderId="19" xfId="0" applyFont="1" applyFill="1" applyBorder="1" applyAlignment="1">
      <alignment horizontal="center" vertical="center"/>
    </xf>
    <xf numFmtId="0" fontId="20" fillId="0" borderId="26" xfId="0" applyFont="1" applyFill="1" applyBorder="1" applyAlignment="1">
      <alignment horizontal="center" vertical="center" wrapText="1"/>
    </xf>
  </cellXfs>
  <cellStyles count="3">
    <cellStyle name="Currency" xfId="1" builtinId="4"/>
    <cellStyle name="Normal" xfId="0" builtinId="0"/>
    <cellStyle name="Percent" xfId="2" builtinId="5"/>
  </cellStyles>
  <dxfs count="84"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  <numFmt numFmtId="164" formatCode="_(&quot;$&quot;* #,##0_);_(&quot;$&quot;* \(#,##0\);_(&quot;$&quot;* &quot;-&quot;??_);_(@_)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family val="2"/>
        <scheme val="none"/>
      </font>
      <numFmt numFmtId="13" formatCode="0%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family val="2"/>
        <scheme val="none"/>
      </font>
      <numFmt numFmtId="164" formatCode="_(&quot;$&quot;* #,##0_);_(&quot;$&quot;* \(#,##0\);_(&quot;$&quot;* &quot;-&quot;??_);_(@_)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Open Sans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Open Sans"/>
        <family val="2"/>
        <scheme val="none"/>
      </font>
      <numFmt numFmtId="164" formatCode="_(&quot;$&quot;* #,##0_);_(&quot;$&quot;* \(#,##0\);_(&quot;$&quot;* &quot;-&quot;??_);_(@_)"/>
    </dxf>
    <dxf>
      <font>
        <strike val="0"/>
        <outline val="0"/>
        <shadow val="0"/>
        <u val="none"/>
        <vertAlign val="baseline"/>
        <sz val="12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Open Sans"/>
        <family val="2"/>
        <scheme val="none"/>
      </font>
      <numFmt numFmtId="164" formatCode="_(&quot;$&quot;* #,##0_);_(&quot;$&quot;* \(#,##0\);_(&quot;$&quot;* &quot;-&quot;??_);_(@_)"/>
    </dxf>
    <dxf>
      <font>
        <strike val="0"/>
        <outline val="0"/>
        <shadow val="0"/>
        <u val="none"/>
        <vertAlign val="baseline"/>
        <sz val="12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Open Sans"/>
        <family val="2"/>
        <scheme val="none"/>
      </font>
      <numFmt numFmtId="166" formatCode="0.000"/>
    </dxf>
    <dxf>
      <font>
        <strike val="0"/>
        <outline val="0"/>
        <shadow val="0"/>
        <u val="none"/>
        <vertAlign val="baseline"/>
        <sz val="12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0"/>
        <name val="Open Sans"/>
        <family val="2"/>
        <scheme val="none"/>
      </font>
      <fill>
        <patternFill patternType="solid">
          <fgColor indexed="64"/>
          <bgColor theme="9" tint="-0.49998474074526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Open San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Open Sans"/>
        <family val="2"/>
        <scheme val="none"/>
      </font>
      <fill>
        <patternFill patternType="solid">
          <fgColor indexed="64"/>
          <bgColor theme="9" tint="-0.499984740745262"/>
        </patternFill>
      </fill>
      <alignment horizontal="center" vertical="center" textRotation="0" wrapText="0" indent="0" justifyLastLine="0" shrinkToFit="0" readingOrder="0"/>
    </dxf>
    <dxf>
      <fill>
        <patternFill>
          <bgColor theme="9" tint="0.79998168889431442"/>
        </patternFill>
      </fill>
    </dxf>
    <dxf>
      <numFmt numFmtId="0" formatCode="General"/>
    </dxf>
    <dxf>
      <numFmt numFmtId="0" formatCode="General"/>
    </dxf>
    <dxf>
      <numFmt numFmtId="164" formatCode="_(&quot;$&quot;* #,##0_);_(&quot;$&quot;* \(#,##0\);_(&quot;$&quot;* &quot;-&quot;??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64" formatCode="_(&quot;$&quot;* #,##0_);_(&quot;$&quot;* \(#,##0\);_(&quot;$&quot;* &quot;-&quot;??_);_(@_)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64" formatCode="_(&quot;$&quot;* #,##0_);_(&quot;$&quot;* \(#,##0\);_(&quot;$&quot;* &quot;-&quot;??_);_(@_)"/>
      <fill>
        <patternFill patternType="none">
          <fgColor indexed="64"/>
          <bgColor auto="1"/>
        </patternFill>
      </fill>
    </dxf>
    <dxf>
      <numFmt numFmtId="13" formatCode="0%"/>
      <fill>
        <patternFill patternType="none">
          <fgColor indexed="64"/>
          <bgColor auto="1"/>
        </patternFill>
      </fill>
    </dxf>
    <dxf>
      <numFmt numFmtId="164" formatCode="_(&quot;$&quot;* #,##0_);_(&quot;$&quot;* \(#,##0\);_(&quot;$&quot;* &quot;-&quot;??_);_(@_)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top style="thin">
          <color theme="4" tint="0.39997558519241921"/>
        </top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3" formatCode="0%"/>
    </dxf>
    <dxf>
      <numFmt numFmtId="34" formatCode="_(&quot;$&quot;* #,##0.00_);_(&quot;$&quot;* \(#,##0.00\);_(&quot;$&quot;* &quot;-&quot;??_);_(@_)"/>
    </dxf>
    <dxf>
      <numFmt numFmtId="13" formatCode="0%"/>
    </dxf>
    <dxf>
      <numFmt numFmtId="164" formatCode="_(&quot;$&quot;* #,##0_);_(&quot;$&quot;* \(#,##0\);_(&quot;$&quot;* &quot;-&quot;??_);_(@_)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 style="thin">
          <color theme="9"/>
        </left>
        <right style="thin">
          <color theme="9"/>
        </right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9"/>
        </left>
        <right style="thin">
          <color theme="9"/>
        </right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 Light"/>
        <family val="2"/>
        <scheme val="major"/>
      </font>
      <numFmt numFmtId="13" formatCode="0%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 Light"/>
        <family val="2"/>
        <scheme val="major"/>
      </font>
      <numFmt numFmtId="164" formatCode="_(&quot;$&quot;* #,##0_);_(&quot;$&quot;* \(#,##0\);_(&quot;$&quot;* &quot;-&quot;??_);_(@_)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 Light"/>
        <family val="2"/>
        <scheme val="major"/>
      </font>
      <numFmt numFmtId="164" formatCode="_(&quot;$&quot;* #,##0_);_(&quot;$&quot;* \(#,##0\);_(&quot;$&quot;* &quot;-&quot;??_);_(@_)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 Light"/>
        <family val="2"/>
        <scheme val="major"/>
      </font>
      <numFmt numFmtId="164" formatCode="_(&quot;$&quot;* #,##0_);_(&quot;$&quot;* \(#,##0\);_(&quot;$&quot;* &quot;-&quot;??_);_(@_)"/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9"/>
      </font>
      <numFmt numFmtId="0" formatCode="General"/>
      <fill>
        <patternFill patternType="none"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9"/>
      </font>
      <fill>
        <patternFill patternType="none"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9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</font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6" tint="0.39997558519241921"/>
        </left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52FC24"/>
      <color rgb="FFFF01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7464667615125935"/>
          <c:y val="2.5966485112983006E-2"/>
          <c:w val="0.57858637583239259"/>
          <c:h val="0.82213452949984622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4472C4"/>
            </a:solidFill>
            <a:ln>
              <a:noFill/>
            </a:ln>
            <a:effectLst/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[0]!barchrt_nme</c:f>
              <c:strCache>
                <c:ptCount val="9"/>
                <c:pt idx="0">
                  <c:v>CHILD AND ADULT CARE FOOD PROGRAM</c:v>
                </c:pt>
                <c:pt idx="1">
                  <c:v>NUTRITION SERVICES INCENTIVE PROGRAM</c:v>
                </c:pt>
                <c:pt idx="2">
                  <c:v>SPECIAL PROGRAMS FOR THE AGING_TITLE III, PART C_NUTRITION SERVICES</c:v>
                </c:pt>
                <c:pt idx="3">
                  <c:v>TEMPORARY ASSISTANCE FOR NEEDY FAMILIES</c:v>
                </c:pt>
                <c:pt idx="4">
                  <c:v>EMERGENCY FOOD AND SHELTER NATIONAL BOARD PROGRAM</c:v>
                </c:pt>
                <c:pt idx="5">
                  <c:v>SOCIAL SERVICES BLOCK GRANT</c:v>
                </c:pt>
                <c:pt idx="6">
                  <c:v>COMMUNITY SERVICES BLOCK GRANT</c:v>
                </c:pt>
                <c:pt idx="7">
                  <c:v>ADULT EDUCATION - BASIC GRANTS TO STATES</c:v>
                </c:pt>
                <c:pt idx="8">
                  <c:v>COMMUNITY DEVELOPMENT BLOCK GRANT</c:v>
                </c:pt>
              </c:strCache>
            </c:strRef>
          </c:cat>
          <c:val>
            <c:numRef>
              <c:f>[0]!hrzbarchrt_presamt</c:f>
              <c:numCache>
                <c:formatCode>0%</c:formatCode>
                <c:ptCount val="9"/>
                <c:pt idx="0">
                  <c:v>6.0000000000000001E-3</c:v>
                </c:pt>
                <c:pt idx="1">
                  <c:v>-6.2473058493524672E-6</c:v>
                </c:pt>
                <c:pt idx="2">
                  <c:v>-2.1999999999999999E-2</c:v>
                </c:pt>
                <c:pt idx="3">
                  <c:v>-0.16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-0.24299065420560748</c:v>
                </c:pt>
                <c:pt idx="8">
                  <c:v>-1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C00000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0-2D2B-4284-9370-F9E21A9B91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34628496"/>
        <c:axId val="426638808"/>
      </c:barChart>
      <c:catAx>
        <c:axId val="4346284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426638808"/>
        <c:crosses val="autoZero"/>
        <c:auto val="1"/>
        <c:lblAlgn val="ctr"/>
        <c:lblOffset val="1000"/>
        <c:noMultiLvlLbl val="0"/>
      </c:catAx>
      <c:valAx>
        <c:axId val="426638808"/>
        <c:scaling>
          <c:orientation val="minMax"/>
          <c:max val="0.25"/>
          <c:min val="-1"/>
        </c:scaling>
        <c:delete val="0"/>
        <c:axPos val="b"/>
        <c:title>
          <c:tx>
            <c:strRef>
              <c:f>MemberOrgControl!$S$7</c:f>
              <c:strCache>
                <c:ptCount val="1"/>
                <c:pt idx="0">
                  <c:v>FPWA Analysis of FFIS and FPWA FY18 audit data. Because audits run a year behind, our analysis examines FY20 proposals on an agency's FY18 federal grants.</c:v>
                </c:pt>
              </c:strCache>
            </c:strRef>
          </c:tx>
          <c:layout>
            <c:manualLayout>
              <c:xMode val="edge"/>
              <c:yMode val="edge"/>
              <c:x val="0.10718963952121975"/>
              <c:y val="0.916292755651167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1" u="none" strike="noStrike" kern="1200" baseline="0">
                  <a:solidFill>
                    <a:sysClr val="windowText" lastClr="000000"/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434628496"/>
        <c:crosses val="autoZero"/>
        <c:crossBetween val="between"/>
        <c:majorUnit val="1"/>
      </c:valAx>
      <c:spPr>
        <a:noFill/>
        <a:ln w="381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28575" cap="flat" cmpd="sng" algn="ctr">
      <a:solidFill>
        <a:schemeClr val="accent6">
          <a:lumMod val="50000"/>
        </a:schemeClr>
      </a:solidFill>
      <a:round/>
    </a:ln>
    <a:effectLst/>
  </c:spPr>
  <c:txPr>
    <a:bodyPr/>
    <a:lstStyle/>
    <a:p>
      <a:pPr>
        <a:defRPr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9915617022362499E-2"/>
          <c:y val="3.860294451211066E-2"/>
          <c:w val="0.8597427424286217"/>
          <c:h val="0.7676583122353850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4472C4"/>
            </a:solidFill>
            <a:ln>
              <a:noFill/>
            </a:ln>
            <a:effectLst/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[0]!barchrt_nme</c:f>
              <c:strCache>
                <c:ptCount val="9"/>
                <c:pt idx="0">
                  <c:v>CHILD AND ADULT CARE FOOD PROGRAM</c:v>
                </c:pt>
                <c:pt idx="1">
                  <c:v>NUTRITION SERVICES INCENTIVE PROGRAM</c:v>
                </c:pt>
                <c:pt idx="2">
                  <c:v>SPECIAL PROGRAMS FOR THE AGING_TITLE III, PART C_NUTRITION SERVICES</c:v>
                </c:pt>
                <c:pt idx="3">
                  <c:v>TEMPORARY ASSISTANCE FOR NEEDY FAMILIES</c:v>
                </c:pt>
                <c:pt idx="4">
                  <c:v>EMERGENCY FOOD AND SHELTER NATIONAL BOARD PROGRAM</c:v>
                </c:pt>
                <c:pt idx="5">
                  <c:v>SOCIAL SERVICES BLOCK GRANT</c:v>
                </c:pt>
                <c:pt idx="6">
                  <c:v>COMMUNITY SERVICES BLOCK GRANT</c:v>
                </c:pt>
                <c:pt idx="7">
                  <c:v>ADULT EDUCATION - BASIC GRANTS TO STATES</c:v>
                </c:pt>
                <c:pt idx="8">
                  <c:v>COMMUNITY DEVELOPMENT BLOCK GRANT</c:v>
                </c:pt>
              </c:strCache>
            </c:strRef>
          </c:cat>
          <c:val>
            <c:numRef>
              <c:f>[0]!barchrt_presamt</c:f>
              <c:numCache>
                <c:formatCode>_("$"* #,##0_);_("$"* \(#,##0\);_("$"* "-"??_);_(@_)</c:formatCode>
                <c:ptCount val="9"/>
                <c:pt idx="0">
                  <c:v>4883.634</c:v>
                </c:pt>
                <c:pt idx="1">
                  <c:v>-0.17168221204605516</c:v>
                </c:pt>
                <c:pt idx="2">
                  <c:v>-852.54399999999998</c:v>
                </c:pt>
                <c:pt idx="3">
                  <c:v>-10363.040000000001</c:v>
                </c:pt>
                <c:pt idx="4">
                  <c:v>-29394</c:v>
                </c:pt>
                <c:pt idx="5">
                  <c:v>-64519</c:v>
                </c:pt>
                <c:pt idx="6">
                  <c:v>-130300</c:v>
                </c:pt>
                <c:pt idx="7">
                  <c:v>-133568.80373831774</c:v>
                </c:pt>
                <c:pt idx="8">
                  <c:v>-256789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C00000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0-BB7F-405B-9A07-C734CD2470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7969568"/>
        <c:axId val="247969896"/>
      </c:barChart>
      <c:catAx>
        <c:axId val="247969568"/>
        <c:scaling>
          <c:orientation val="minMax"/>
        </c:scaling>
        <c:delete val="0"/>
        <c:axPos val="b"/>
        <c:title>
          <c:tx>
            <c:strRef>
              <c:f>MemberOrgControl!$S$7</c:f>
              <c:strCache>
                <c:ptCount val="1"/>
                <c:pt idx="0">
                  <c:v>FPWA Analysis of FFIS and FPWA FY18 audit data. Because audits run a year behind, our analysis examines FY20 proposals on an agency's FY18 federal grants.</c:v>
                </c:pt>
              </c:strCache>
            </c:strRef>
          </c:tx>
          <c:layout>
            <c:manualLayout>
              <c:xMode val="edge"/>
              <c:yMode val="edge"/>
              <c:x val="0.13579368707523901"/>
              <c:y val="0.928841326963994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1" u="none" strike="noStrike" kern="1200" baseline="0">
                  <a:solidFill>
                    <a:sysClr val="windowText" lastClr="000000"/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247969896"/>
        <c:crosses val="autoZero"/>
        <c:auto val="1"/>
        <c:lblAlgn val="ctr"/>
        <c:lblOffset val="100"/>
        <c:noMultiLvlLbl val="0"/>
      </c:catAx>
      <c:valAx>
        <c:axId val="247969896"/>
        <c:scaling>
          <c:orientation val="minMax"/>
        </c:scaling>
        <c:delete val="0"/>
        <c:axPos val="l"/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247969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28575" cap="sq" cmpd="sng" algn="ctr">
      <a:solidFill>
        <a:schemeClr val="accent6">
          <a:lumMod val="50000"/>
        </a:schemeClr>
      </a:solidFill>
      <a:round/>
    </a:ln>
    <a:effectLst/>
  </c:spPr>
  <c:txPr>
    <a:bodyPr/>
    <a:lstStyle/>
    <a:p>
      <a:pPr>
        <a:defRPr sz="800"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4472C4"/>
            </a:solidFill>
            <a:ln>
              <a:noFill/>
            </a:ln>
            <a:effectLst/>
          </c:spPr>
          <c:invertIfNegative val="1"/>
          <c:dLbls>
            <c:dLbl>
              <c:idx val="0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87D-46C8-8DEF-556DEEE18A1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'FPWA Member Grants'!$H$10</c:f>
              <c:strCache>
                <c:ptCount val="1"/>
                <c:pt idx="0">
                  <c:v>President Budget $ Change</c:v>
                </c:pt>
              </c:strCache>
            </c:strRef>
          </c:cat>
          <c:val>
            <c:numRef>
              <c:f>'FPWA Member Grants'!$I$10</c:f>
              <c:numCache>
                <c:formatCode>_("$"* #,##0_);_("$"* \(#,##0\);_("$"* "-"??_);_(@_)</c:formatCode>
                <c:ptCount val="1"/>
                <c:pt idx="0">
                  <c:v>-620902.92542052979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C00000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0-687D-46C8-8DEF-556DEEE18A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8702800"/>
        <c:axId val="484592912"/>
      </c:barChart>
      <c:catAx>
        <c:axId val="488702800"/>
        <c:scaling>
          <c:orientation val="minMax"/>
        </c:scaling>
        <c:delete val="0"/>
        <c:axPos val="b"/>
        <c:title>
          <c:tx>
            <c:strRef>
              <c:f>MemberOrgControl!$S$7</c:f>
              <c:strCache>
                <c:ptCount val="1"/>
                <c:pt idx="0">
                  <c:v>FPWA Analysis of FFIS and FPWA FY18 audit data. Because audits run a year behind, our analysis examines FY20 proposals on an agency's FY18 federal grants.</c:v>
                </c:pt>
              </c:strCache>
            </c:strRef>
          </c:tx>
          <c:layout>
            <c:manualLayout>
              <c:xMode val="edge"/>
              <c:yMode val="edge"/>
              <c:x val="0.13267574400016249"/>
              <c:y val="0.922087728595847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1" u="none" strike="noStrike" kern="1200" baseline="0">
                  <a:solidFill>
                    <a:sysClr val="windowText" lastClr="000000"/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592912"/>
        <c:crosses val="autoZero"/>
        <c:auto val="1"/>
        <c:lblAlgn val="ctr"/>
        <c:lblOffset val="100"/>
        <c:noMultiLvlLbl val="0"/>
      </c:catAx>
      <c:valAx>
        <c:axId val="484592912"/>
        <c:scaling>
          <c:orientation val="minMax"/>
        </c:scaling>
        <c:delete val="0"/>
        <c:axPos val="l"/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702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28575" cap="flat" cmpd="sng" algn="ctr">
      <a:solidFill>
        <a:srgbClr val="7030A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4472C4"/>
            </a:solidFill>
            <a:ln>
              <a:noFill/>
            </a:ln>
            <a:effectLst/>
          </c:spPr>
          <c:invertIfNegative val="1"/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'FPWA Member Grants'!$H$11</c:f>
              <c:strCache>
                <c:ptCount val="1"/>
                <c:pt idx="0">
                  <c:v>President Budget % Change</c:v>
                </c:pt>
              </c:strCache>
            </c:strRef>
          </c:cat>
          <c:val>
            <c:numRef>
              <c:f>'FPWA Member Grants'!$I$11</c:f>
              <c:numCache>
                <c:formatCode>0.0%</c:formatCode>
                <c:ptCount val="1"/>
                <c:pt idx="0">
                  <c:v>-7.6714633215899566E-2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C00000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0-5CFA-435B-9EEC-BE1DF77A5B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88646440"/>
        <c:axId val="488645784"/>
      </c:barChart>
      <c:catAx>
        <c:axId val="4886464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645784"/>
        <c:crosses val="autoZero"/>
        <c:auto val="1"/>
        <c:lblAlgn val="ctr"/>
        <c:lblOffset val="100"/>
        <c:noMultiLvlLbl val="0"/>
      </c:catAx>
      <c:valAx>
        <c:axId val="488645784"/>
        <c:scaling>
          <c:orientation val="minMax"/>
          <c:max val="0.15000000000000002"/>
          <c:min val="-0.1"/>
        </c:scaling>
        <c:delete val="0"/>
        <c:axPos val="b"/>
        <c:title>
          <c:tx>
            <c:strRef>
              <c:f>MemberOrgControl!$S$7</c:f>
              <c:strCache>
                <c:ptCount val="1"/>
                <c:pt idx="0">
                  <c:v>FPWA Analysis of FFIS and FPWA FY18 audit data. Because audits run a year behind, our analysis examines FY20 proposals on an agency's FY18 federal grants.</c:v>
                </c:pt>
              </c:strCache>
            </c:strRef>
          </c:tx>
          <c:layout>
            <c:manualLayout>
              <c:xMode val="edge"/>
              <c:yMode val="edge"/>
              <c:x val="0.13009924124641375"/>
              <c:y val="0.913001671019051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1" u="none" strike="noStrike" kern="1200" baseline="0">
                  <a:solidFill>
                    <a:sysClr val="windowText" lastClr="000000"/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646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28575" cap="flat" cmpd="sng" algn="ctr">
      <a:solidFill>
        <a:srgbClr val="7030A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FedGrantControl!$E$7</c:f>
          <c:strCache>
            <c:ptCount val="1"/>
            <c:pt idx="0">
              <c:v>President Trump's FY 2020 Budget Proposal Would Increase Adoption Assistance By $3.2 Million</c:v>
            </c:pt>
          </c:strCache>
        </c:strRef>
      </c:tx>
      <c:layout>
        <c:manualLayout>
          <c:xMode val="edge"/>
          <c:yMode val="edge"/>
          <c:x val="0.17782768970974505"/>
          <c:y val="1.83092714001665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0" i="0" u="none" strike="noStrike" kern="1200" spc="0" baseline="0">
              <a:solidFill>
                <a:sysClr val="windowText" lastClr="000000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pattFill prst="pct90">
              <a:fgClr>
                <a:srgbClr val="4472C4"/>
              </a:fgClr>
              <a:bgClr>
                <a:srgbClr val="C00000"/>
              </a:bgClr>
            </a:pattFill>
            <a:ln>
              <a:noFill/>
            </a:ln>
            <a:effectLst/>
          </c:spPr>
          <c:invertIfNegative val="1"/>
          <c:dPt>
            <c:idx val="0"/>
            <c:invertIfNegative val="1"/>
            <c:bubble3D val="0"/>
            <c:spPr>
              <a:pattFill prst="pct90">
                <a:fgClr>
                  <a:srgbClr val="4472C4"/>
                </a:fgClr>
                <a:bgClr>
                  <a:srgbClr val="C00000"/>
                </a:bgClr>
              </a:patt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7EA-4EBA-812C-350ADDE47C2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'Individual Grants'!$F$4</c:f>
              <c:strCache>
                <c:ptCount val="1"/>
                <c:pt idx="0">
                  <c:v>President $ Change</c:v>
                </c:pt>
              </c:strCache>
            </c:strRef>
          </c:cat>
          <c:val>
            <c:numRef>
              <c:f>'Individual Grants'!$F$5</c:f>
              <c:numCache>
                <c:formatCode>_("$"* #,##0_);_("$"* \(#,##0\);_("$"* "-"??_);_(@_)</c:formatCode>
                <c:ptCount val="1"/>
                <c:pt idx="0">
                  <c:v>3247852.533427164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EA-4EBA-812C-350ADDE47C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8167704"/>
        <c:axId val="448168032"/>
      </c:barChart>
      <c:catAx>
        <c:axId val="448167704"/>
        <c:scaling>
          <c:orientation val="minMax"/>
        </c:scaling>
        <c:delete val="0"/>
        <c:axPos val="b"/>
        <c:title>
          <c:tx>
            <c:strRef>
              <c:f>FedGrantControl!$E$8</c:f>
              <c:strCache>
                <c:ptCount val="1"/>
                <c:pt idx="0">
                  <c:v>FPWA Analysis of FFIS data and NYC Comptroller Data</c:v>
                </c:pt>
              </c:strCache>
            </c:strRef>
          </c:tx>
          <c:layout>
            <c:manualLayout>
              <c:xMode val="edge"/>
              <c:yMode val="edge"/>
              <c:x val="0.398903824586746"/>
              <c:y val="0.948499544713291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1" u="none" strike="noStrike" kern="1200" baseline="0">
                  <a:solidFill>
                    <a:sysClr val="windowText" lastClr="000000"/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448168032"/>
        <c:crosses val="autoZero"/>
        <c:auto val="1"/>
        <c:lblAlgn val="ctr"/>
        <c:lblOffset val="100"/>
        <c:noMultiLvlLbl val="0"/>
      </c:catAx>
      <c:valAx>
        <c:axId val="448168032"/>
        <c:scaling>
          <c:orientation val="minMax"/>
        </c:scaling>
        <c:delete val="0"/>
        <c:axPos val="l"/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448167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sz="1100">
          <a:solidFill>
            <a:sysClr val="windowText" lastClr="000000"/>
          </a:solidFill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[0]!treemap_nme</cx:f>
      </cx:strDim>
      <cx:numDim type="size">
        <cx:f>[0]!treemap_amt</cx:f>
      </cx:numDim>
    </cx:data>
  </cx:chartData>
  <cx:chart>
    <cx:plotArea>
      <cx:plotAreaRegion>
        <cx:series layoutId="treemap" uniqueId="{00000000-8D8E-409E-A429-F3DCC3346CB5}">
          <cx:dataLabels>
            <cx:visibility seriesName="0" categoryName="1" value="1"/>
            <cx:separator>, </cx:separator>
          </cx:dataLabels>
          <cx:dataId val="0"/>
          <cx:layoutPr/>
        </cx:series>
      </cx:plotAreaRegion>
    </cx:plotArea>
    <cx:legend pos="r" align="ctr" overlay="0"/>
  </cx:chart>
  <cx:spPr>
    <a:ln w="3175">
      <a:solidFill>
        <a:sysClr val="windowText" lastClr="000000"/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federalfundstracker.org/open-data/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beta.sam.gov/" TargetMode="External"/><Relationship Id="rId4" Type="http://schemas.openxmlformats.org/officeDocument/2006/relationships/image" Target="../media/image2.JP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png"/><Relationship Id="rId5" Type="http://schemas.microsoft.com/office/2014/relationships/chartEx" Target="../charts/chartEx1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547687</xdr:colOff>
      <xdr:row>2</xdr:row>
      <xdr:rowOff>107157</xdr:rowOff>
    </xdr:from>
    <xdr:to>
      <xdr:col>5</xdr:col>
      <xdr:colOff>95249</xdr:colOff>
      <xdr:row>4</xdr:row>
      <xdr:rowOff>45868</xdr:rowOff>
    </xdr:to>
    <xdr:pic>
      <xdr:nvPicPr>
        <xdr:cNvPr id="16" name="Picture 15" descr="https://wdolhome.sam.gov/assets/img/samgov_horizontal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A52528-7419-4A4D-A87E-D92E47F4B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4531" y="964407"/>
          <a:ext cx="1869281" cy="3911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1417373</xdr:colOff>
      <xdr:row>2</xdr:row>
      <xdr:rowOff>150810</xdr:rowOff>
    </xdr:from>
    <xdr:to>
      <xdr:col>7</xdr:col>
      <xdr:colOff>389468</xdr:colOff>
      <xdr:row>4</xdr:row>
      <xdr:rowOff>19268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7F34549-590B-4AD7-A8BE-C98CF576FC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529" y="1008060"/>
          <a:ext cx="3222626" cy="3208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578644</xdr:colOff>
      <xdr:row>5</xdr:row>
      <xdr:rowOff>57147</xdr:rowOff>
    </xdr:from>
    <xdr:to>
      <xdr:col>9</xdr:col>
      <xdr:colOff>-1</xdr:colOff>
      <xdr:row>27</xdr:row>
      <xdr:rowOff>154780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A5920A-D2F9-4B12-9CF6-33FDF45F2B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578645</xdr:colOff>
      <xdr:row>27</xdr:row>
      <xdr:rowOff>166688</xdr:rowOff>
    </xdr:from>
    <xdr:to>
      <xdr:col>8</xdr:col>
      <xdr:colOff>609778</xdr:colOff>
      <xdr:row>52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DD5E410-40C9-429C-AFD7-B01906D79A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11904</xdr:colOff>
      <xdr:row>27</xdr:row>
      <xdr:rowOff>159543</xdr:rowOff>
    </xdr:from>
    <xdr:to>
      <xdr:col>18</xdr:col>
      <xdr:colOff>466818</xdr:colOff>
      <xdr:row>52</xdr:row>
      <xdr:rowOff>13811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34CDC12-C77C-4CB1-A541-FD35653F30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11906</xdr:colOff>
      <xdr:row>5</xdr:row>
      <xdr:rowOff>59532</xdr:rowOff>
    </xdr:from>
    <xdr:to>
      <xdr:col>18</xdr:col>
      <xdr:colOff>464343</xdr:colOff>
      <xdr:row>27</xdr:row>
      <xdr:rowOff>154401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7D5140B-774F-404A-8132-B5C317EB13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8843</xdr:colOff>
      <xdr:row>3</xdr:row>
      <xdr:rowOff>0</xdr:rowOff>
    </xdr:from>
    <xdr:to>
      <xdr:col>33</xdr:col>
      <xdr:colOff>585107</xdr:colOff>
      <xdr:row>52</xdr:row>
      <xdr:rowOff>13607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CC3F91B9-61A6-4A65-AB7A-EBAE27D14D9B}"/>
            </a:ext>
          </a:extLst>
        </xdr:cNvPr>
        <xdr:cNvGrpSpPr/>
      </xdr:nvGrpSpPr>
      <xdr:grpSpPr>
        <a:xfrm>
          <a:off x="16881700" y="1211036"/>
          <a:ext cx="9067121" cy="10123714"/>
          <a:chOff x="18881950" y="1115786"/>
          <a:chExt cx="9067121" cy="10123714"/>
        </a:xfrm>
      </xdr:grpSpPr>
      <xdr:grpSp>
        <xdr:nvGrpSpPr>
          <xdr:cNvPr id="8" name="Group 7">
            <a:extLst>
              <a:ext uri="{FF2B5EF4-FFF2-40B4-BE49-F238E27FC236}">
                <a16:creationId xmlns:a16="http://schemas.microsoft.com/office/drawing/2014/main" id="{3DAD3F5D-8E52-4632-AD1D-3C73D10038BA}"/>
              </a:ext>
            </a:extLst>
          </xdr:cNvPr>
          <xdr:cNvGrpSpPr/>
        </xdr:nvGrpSpPr>
        <xdr:grpSpPr>
          <a:xfrm>
            <a:off x="18881950" y="1115786"/>
            <a:ext cx="9067121" cy="10123714"/>
            <a:chOff x="14935879" y="489857"/>
            <a:chExt cx="8536442" cy="9749518"/>
          </a:xfrm>
        </xdr:grpSpPr>
        <mc:AlternateContent xmlns:mc="http://schemas.openxmlformats.org/markup-compatibility/2006">
          <mc:Choice xmlns:cx1="http://schemas.microsoft.com/office/drawing/2015/9/8/chartex" Requires="cx1">
            <xdr:graphicFrame macro="">
              <xdr:nvGraphicFramePr>
                <xdr:cNvPr id="6" name="Chart 5">
                  <a:extLst>
                    <a:ext uri="{FF2B5EF4-FFF2-40B4-BE49-F238E27FC236}">
                      <a16:creationId xmlns:a16="http://schemas.microsoft.com/office/drawing/2014/main" id="{71FEACDD-43D1-4180-A6A0-814A2F89481E}"/>
                    </a:ext>
                  </a:extLst>
                </xdr:cNvPr>
                <xdr:cNvGraphicFramePr/>
              </xdr:nvGraphicFramePr>
              <xdr:xfrm>
                <a:off x="14935879" y="1037885"/>
                <a:ext cx="8536442" cy="9201490"/>
              </xdr:xfrm>
              <a:graphic>
                <a:graphicData uri="http://schemas.microsoft.com/office/drawing/2014/chartex">
                  <cx:chart xmlns:cx="http://schemas.microsoft.com/office/drawing/2014/chartex" xmlns:r="http://schemas.openxmlformats.org/officeDocument/2006/relationships" r:id="rId5"/>
                </a:graphicData>
              </a:graphic>
            </xdr:graphicFrame>
          </mc:Choice>
          <mc:Fallback>
            <xdr:sp macro="" textlink="">
              <xdr:nvSpPr>
                <xdr:cNvPr id="0" name=""/>
                <xdr:cNvSpPr>
                  <a:spLocks noTextEdit="1"/>
                </xdr:cNvSpPr>
              </xdr:nvSpPr>
              <xdr:spPr>
                <a:xfrm>
                  <a:off x="14935879" y="1037885"/>
                  <a:ext cx="8536442" cy="9201490"/>
                </a:xfrm>
                <a:prstGeom prst="rect">
                  <a:avLst/>
                </a:prstGeom>
                <a:solidFill>
                  <a:prstClr val="white"/>
                </a:solidFill>
                <a:ln w="1">
                  <a:solidFill>
                    <a:prstClr val="green"/>
                  </a:solidFill>
                </a:ln>
              </xdr:spPr>
              <xdr:txBody>
                <a:bodyPr vertOverflow="clip" horzOverflow="clip"/>
                <a:lstStyle/>
                <a:p>
                  <a:r>
                    <a:rPr lang="en-US" sz="1100"/>
                    <a:t>This chart isn't available in your version of Excel.
Editing this shape or saving this workbook into a different file format will permanently break the chart.</a:t>
                  </a:r>
                </a:p>
              </xdr:txBody>
            </xdr:sp>
          </mc:Fallback>
        </mc:AlternateContent>
        <xdr:sp macro="" textlink="MemberOrgControl!S12">
          <xdr:nvSpPr>
            <xdr:cNvPr id="7" name="TextBox 6">
              <a:extLst>
                <a:ext uri="{FF2B5EF4-FFF2-40B4-BE49-F238E27FC236}">
                  <a16:creationId xmlns:a16="http://schemas.microsoft.com/office/drawing/2014/main" id="{8D95D592-3C64-46A1-9668-56722F37F3F3}"/>
                </a:ext>
              </a:extLst>
            </xdr:cNvPr>
            <xdr:cNvSpPr txBox="1"/>
          </xdr:nvSpPr>
          <xdr:spPr>
            <a:xfrm>
              <a:off x="15321644" y="489857"/>
              <a:ext cx="7606392" cy="530678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271A8B94-A1F0-4443-9E54-F42ED953457E}" type="TxLink">
                <a:rPr lang="en-US" sz="1200" b="1" i="0" u="none" strike="noStrike">
                  <a:solidFill>
                    <a:srgbClr val="000000"/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rPr>
                <a:pPr algn="ctr"/>
                <a:t>UNIVERSITY SETTLEMENT SOCIETY OF NEW YORK, INC Relies on $8.1 Million From 14 Federal Grants</a:t>
              </a:fld>
              <a:endParaRPr lang="en-US" sz="1200" b="1"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endParaRPr>
            </a:p>
          </xdr:txBody>
        </xdr:sp>
      </xdr:grpSp>
      <xdr:pic>
        <xdr:nvPicPr>
          <xdr:cNvPr id="10" name="Picture 9">
            <a:extLst>
              <a:ext uri="{FF2B5EF4-FFF2-40B4-BE49-F238E27FC236}">
                <a16:creationId xmlns:a16="http://schemas.microsoft.com/office/drawing/2014/main" id="{2A0DB187-E22B-446B-8B0C-BBE56CD6280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6261786" y="1796142"/>
            <a:ext cx="1615580" cy="707197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598714</xdr:colOff>
      <xdr:row>5</xdr:row>
      <xdr:rowOff>176892</xdr:rowOff>
    </xdr:from>
    <xdr:to>
      <xdr:col>1</xdr:col>
      <xdr:colOff>1020536</xdr:colOff>
      <xdr:row>8</xdr:row>
      <xdr:rowOff>17251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5C4E38F-33BF-4EF4-A7A7-CD42634FF1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714" y="1809749"/>
          <a:ext cx="1034143" cy="452681"/>
        </a:xfrm>
        <a:prstGeom prst="rect">
          <a:avLst/>
        </a:prstGeom>
      </xdr:spPr>
    </xdr:pic>
    <xdr:clientData/>
  </xdr:twoCellAnchor>
  <xdr:twoCellAnchor editAs="oneCell">
    <xdr:from>
      <xdr:col>10</xdr:col>
      <xdr:colOff>57151</xdr:colOff>
      <xdr:row>5</xdr:row>
      <xdr:rowOff>138794</xdr:rowOff>
    </xdr:from>
    <xdr:to>
      <xdr:col>11</xdr:col>
      <xdr:colOff>478973</xdr:colOff>
      <xdr:row>7</xdr:row>
      <xdr:rowOff>183261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D2FCE32-D881-4C5C-90B5-27293F8102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0365" y="1771651"/>
          <a:ext cx="1034143" cy="452681"/>
        </a:xfrm>
        <a:prstGeom prst="rect">
          <a:avLst/>
        </a:prstGeom>
      </xdr:spPr>
    </xdr:pic>
    <xdr:clientData/>
  </xdr:twoCellAnchor>
  <xdr:twoCellAnchor editAs="oneCell">
    <xdr:from>
      <xdr:col>7</xdr:col>
      <xdr:colOff>73479</xdr:colOff>
      <xdr:row>28</xdr:row>
      <xdr:rowOff>114300</xdr:rowOff>
    </xdr:from>
    <xdr:to>
      <xdr:col>8</xdr:col>
      <xdr:colOff>495301</xdr:colOff>
      <xdr:row>30</xdr:row>
      <xdr:rowOff>158766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4C5D916E-0E0E-41C1-8F31-C3A238CA58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10550" y="6441621"/>
          <a:ext cx="1034143" cy="452681"/>
        </a:xfrm>
        <a:prstGeom prst="rect">
          <a:avLst/>
        </a:prstGeom>
      </xdr:spPr>
    </xdr:pic>
    <xdr:clientData/>
  </xdr:twoCellAnchor>
  <xdr:twoCellAnchor editAs="oneCell">
    <xdr:from>
      <xdr:col>17</xdr:col>
      <xdr:colOff>416379</xdr:colOff>
      <xdr:row>28</xdr:row>
      <xdr:rowOff>103414</xdr:rowOff>
    </xdr:from>
    <xdr:to>
      <xdr:col>18</xdr:col>
      <xdr:colOff>375558</xdr:colOff>
      <xdr:row>30</xdr:row>
      <xdr:rowOff>147880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AF472230-B007-4AAF-AEE6-0A3EA2AAAE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89236" y="6430735"/>
          <a:ext cx="1034143" cy="4526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730250</xdr:colOff>
      <xdr:row>7</xdr:row>
      <xdr:rowOff>1586</xdr:rowOff>
    </xdr:from>
    <xdr:to>
      <xdr:col>6</xdr:col>
      <xdr:colOff>0</xdr:colOff>
      <xdr:row>31</xdr:row>
      <xdr:rowOff>111885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2E8F9235-2075-45FA-BBA4-C9F0853D5EAC}"/>
            </a:ext>
          </a:extLst>
        </xdr:cNvPr>
        <xdr:cNvGrpSpPr/>
      </xdr:nvGrpSpPr>
      <xdr:grpSpPr>
        <a:xfrm>
          <a:off x="1337469" y="1585117"/>
          <a:ext cx="11116469" cy="5253799"/>
          <a:chOff x="1337469" y="1585117"/>
          <a:chExt cx="11116469" cy="5253799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CA8637E4-47E2-49ED-9071-1B27E1C34784}"/>
              </a:ext>
            </a:extLst>
          </xdr:cNvPr>
          <xdr:cNvGraphicFramePr/>
        </xdr:nvGraphicFramePr>
        <xdr:xfrm>
          <a:off x="1337469" y="1585117"/>
          <a:ext cx="11116469" cy="517366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pic>
        <xdr:nvPicPr>
          <xdr:cNvPr id="4" name="Picture 3">
            <a:extLst>
              <a:ext uri="{FF2B5EF4-FFF2-40B4-BE49-F238E27FC236}">
                <a16:creationId xmlns:a16="http://schemas.microsoft.com/office/drawing/2014/main" id="{1723E7FB-9467-47B1-B6AB-26D2CDF2305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715625" y="6131719"/>
            <a:ext cx="1615580" cy="707197"/>
          </a:xfrm>
          <a:prstGeom prst="rect">
            <a:avLst/>
          </a:prstGeom>
        </xdr:spPr>
      </xdr:pic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9FA496-48D2-41BE-9554-8F3F88C29C05}" name="MemberOrgsData" displayName="MemberOrgsData" ref="A1:J369" totalsRowShown="0">
  <autoFilter ref="A1:J369" xr:uid="{4AF1AF2A-84A3-4CCF-AB7F-D8430909FEAE}"/>
  <sortState ref="A2:J369">
    <sortCondition ref="D1:D369"/>
  </sortState>
  <tableColumns count="10">
    <tableColumn id="1" xr3:uid="{48F04D2B-FA24-4A17-AD2A-18C1FDE54DAA}" name="Category"/>
    <tableColumn id="2" xr3:uid="{621A5BDC-9EC8-4EAA-AE82-F677F27DA45B}" name="AUDITYEAR"/>
    <tableColumn id="3" xr3:uid="{667A646F-FC32-4A8D-83ED-14BC455C555C}" name="DBKEY"/>
    <tableColumn id="4" xr3:uid="{E079848D-0C89-412F-B469-ADF08A284F3A}" name="Auditee Name"/>
    <tableColumn id="6" xr3:uid="{1D690B39-E2A7-4534-BB3E-DC79F741C9FD}" name="CFDA"/>
    <tableColumn id="14" xr3:uid="{6A459CE5-FE52-439A-851D-9A103C40C3D4}" name="FEDERALPROGRAMNAME"/>
    <tableColumn id="15" xr3:uid="{6FFDB613-4B72-4A44-9A21-6216756BB56E}" name="AMOUNT"/>
    <tableColumn id="18" xr3:uid="{F1D4BFF9-5FC8-46BD-920B-63DDB8C7A4D4}" name="PROGRAMTOTAL"/>
    <tableColumn id="31" xr3:uid="{B08AA20F-45F8-49B0-BF59-E6BF3599F5D4}" name="BudgetApprop?" dataDxfId="83">
      <calculatedColumnFormula>IF(COUNTIF(BudgetAppropData[CFDA], MemberOrgsData[[#This Row],[CFDA]]), "Yes", "No")</calculatedColumnFormula>
    </tableColumn>
    <tableColumn id="30" xr3:uid="{245F8A9B-4AC9-400A-B495-8C7A1A1B05D8}" name="First?" dataDxfId="82">
      <calculatedColumnFormula>(COUNTIF(D$2:D2,D2)=1)*1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F6B9E4D-64DC-4351-8807-4B6C9084C808}" name="FedGrant_Data" displayName="FedGrant_Data" ref="B2:E58" totalsRowShown="0" headerRowDxfId="81">
  <autoFilter ref="B2:E58" xr:uid="{E6E833C4-C04A-4303-BF8B-AAF41474F401}"/>
  <sortState ref="B3:E58">
    <sortCondition ref="C2:C58"/>
  </sortState>
  <tableColumns count="4">
    <tableColumn id="1" xr3:uid="{1C783447-498C-43CC-A820-B0C3F59810D2}" name="CFDA" dataDxfId="80"/>
    <tableColumn id="2" xr3:uid="{3168155C-804F-45AC-9FD8-5A93B4EA1559}" name="Grant Name" dataDxfId="79"/>
    <tableColumn id="3" xr3:uid="{F981E323-C5DB-46F2-977B-154DD13AB490}" name="FY 2018 Actuals" dataDxfId="78" dataCellStyle="Currency"/>
    <tableColumn id="4" xr3:uid="{D06015D9-6AB9-4649-BC14-8C7A9109EBEB}" name="Is in budget" dataDxfId="77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C51B84F-7CAF-4540-A115-9F2D767B2CE7}" name="BudgetAppropData" displayName="BudgetAppropData" ref="A1:K66" totalsRowShown="0" headerRowDxfId="76" dataDxfId="75">
  <autoFilter ref="A1:K66" xr:uid="{0211338B-3FC0-4631-8E6D-65BE7D28DA33}"/>
  <sortState ref="A2:K66">
    <sortCondition descending="1" ref="H1:H66"/>
  </sortState>
  <tableColumns count="11">
    <tableColumn id="1" xr3:uid="{5D27B18C-3035-4DBB-96D2-03CDEE682AE3}" name="CFDA" dataDxfId="74"/>
    <tableColumn id="8" xr3:uid="{7A5CAA7F-D2D4-413B-A514-25E03D7ADDB2}" name="Fiscal Year" dataDxfId="73"/>
    <tableColumn id="2" xr3:uid="{B5E40CE4-2235-45E6-83D6-310722E5ED15}" name="Analyzed?" dataDxfId="72"/>
    <tableColumn id="13" xr3:uid="{4FB353A0-F65A-41A1-A914-1CB528F458B7}" name="FFIS Document" dataDxfId="71"/>
    <tableColumn id="3" xr3:uid="{535A24D1-E618-490C-BD90-C30316AA7FDC}" name="beta.sam.gov name" dataDxfId="70"/>
    <tableColumn id="4" xr3:uid="{6AA5DFB7-9A70-4A6B-87C2-7A69BBB3393C}" name="FY 2019" dataDxfId="69" dataCellStyle="Currency"/>
    <tableColumn id="5" xr3:uid="{832D4444-33BD-46C4-9C4A-F2A94B64E345}" name="President $ Change" dataDxfId="68" dataCellStyle="Currency"/>
    <tableColumn id="9" xr3:uid="{BA8231CB-BE3B-4D64-9FC3-D5866AB88388}" name="President % Change" dataDxfId="67" dataCellStyle="Percent">
      <calculatedColumnFormula>(BudgetAppropData[[#This Row],[President $ Change]]-BudgetAppropData[[#This Row],[FY 2019]])/BudgetAppropData[[#This Row],[FY 2019]]</calculatedColumnFormula>
    </tableColumn>
    <tableColumn id="6" xr3:uid="{80C2B6FE-BC40-4C89-BB34-268DDFE154BA}" name="House $ Change" dataDxfId="66" dataCellStyle="Currency"/>
    <tableColumn id="12" xr3:uid="{F9F921CD-0A1A-4684-942A-F925195B9706}" name="House % Change" dataDxfId="65" dataCellStyle="Percent">
      <calculatedColumnFormula>IFERROR((BudgetAppropData[[#This Row],[House $ Change]]-BudgetAppropData[[#This Row],[FY 2019]])/BudgetAppropData[[#This Row],[FY 2019]], "")</calculatedColumnFormula>
    </tableColumn>
    <tableColumn id="7" xr3:uid="{486C201E-F0B2-4A24-81E9-D969BD556CA4}" name="Latest Senate" dataDxfId="64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9D2430-6AC0-44BF-992A-EB610907C54D}" name="MemberOrgs" displayName="MemberOrgs" ref="L2:L273" totalsRowShown="0">
  <autoFilter ref="L2:L273" xr:uid="{96FC5BEE-B54C-499C-994D-F7BCCD9568B6}"/>
  <tableColumns count="1">
    <tableColumn id="1" xr3:uid="{D4AD7934-8793-4791-AC52-207D71ADF792}" name="MemberOrgs" dataDxfId="63">
      <calculatedColumnFormula array="1">IFERROR(INDEX(MemberOrgsData[Auditee Name], MATCH(0, INDEX(COUNTIF($L$2:L2, MemberOrgsData[Auditee Name]),)+IF(MemberOrgsData[AUDITYEAR] &lt;&gt; SelectFiscalYear, 1, 0),0)), "")</calculatedColumnFormula>
    </tableColumn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6DC93CA-D694-487E-AA54-69494713607C}" name="MemberOrgs_Control" displayName="MemberOrgs_Control" ref="A6:C374" totalsRowShown="0">
  <autoFilter ref="A6:C374" xr:uid="{07A90C22-9850-49E0-8FC0-D16F73C1C698}"/>
  <tableColumns count="3">
    <tableColumn id="1" xr3:uid="{C88EB02E-2D03-4018-8EDB-EB06E142F5B9}" name="#"/>
    <tableColumn id="2" xr3:uid="{90F2E479-80BC-4FC1-9F31-B3C6B451F144}" name="Row" dataDxfId="62">
      <calculatedColumnFormula>IF($A7 &gt; MemberOrgs_NumRow, "", IFERROR(IF(SelectMemberOrgs = "*", $A7, _xlfn.AGGREGATE(15, 6, (1/(MemberOrgsData[Auditee Name] = SelectMemberOrgs))*ROW(MemberOrgsData[Auditee Name])*(1/(MemberOrgsData[AUDITYEAR] = SelectFiscalYear))*(MemberOrgsData[AUDITYEAR] = SelectFiscalYear), $A7)-MemberOrgs_TopRow), ""))</calculatedColumnFormula>
    </tableColumn>
    <tableColumn id="3" xr3:uid="{057E6515-CBB3-4FB0-A2A9-AC107D0C6C9E}" name="RowFiltered">
      <calculatedColumnFormula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calculatedColumnFormula>
    </tableColumn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88977FF-341D-45E0-A9FF-C1B54EF216E6}" name="AuditYear" displayName="AuditYear" ref="F2:G3" totalsRowShown="0" dataDxfId="61">
  <autoFilter ref="F2:G3" xr:uid="{81C5C8F0-D7D9-4D8D-88E6-2F3650E01975}"/>
  <tableColumns count="2">
    <tableColumn id="1" xr3:uid="{92F914D0-7890-41D0-9328-83AAD13F3DC6}" name="AuditYear" dataDxfId="60">
      <calculatedColumnFormula>IFERROR(INDEX(MemberOrgsData[AUDITYEAR], MATCH(0, INDEX(COUNTIF(F$2:F2, MemberOrgsData[AUDITYEAR]),),0)), "")</calculatedColumnFormula>
    </tableColumn>
    <tableColumn id="2" xr3:uid="{B6EFBDC8-D6FE-490E-932A-3A05C97B6C0F}" name="BudgetYear" dataDxfId="59">
      <calculatedColumnFormula>IFERROR(INDEX(BudgetAppropData[Fiscal Year], MATCH(0, INDEX(COUNTIF(G$2:G2, BudgetAppropData[Fiscal Year]),),0)),"")</calculatedColumnFormula>
    </tableColumn>
  </tableColumns>
  <tableStyleInfo name="TableStyleLight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8DA76AD-DD58-4A59-87E6-0F177365719C}" name="BudgetYear" displayName="BudgetYear" ref="I2:I3" totalsRowShown="0" dataDxfId="58">
  <autoFilter ref="I2:I3" xr:uid="{691E96B4-A1EF-41C5-B1D8-48CE89D8F862}"/>
  <tableColumns count="1">
    <tableColumn id="1" xr3:uid="{1F1DE952-B4E4-4142-BA52-82357BAD6AD8}" name="BudgetYear" dataDxfId="57">
      <calculatedColumnFormula>IFERROR(INDEX(BudgetAppropData[Fiscal Year], MATCH(0, INDEX(COUNTIF(I$2:I2, BudgetAppropData[Fiscal Year]),),0)),"")</calculatedColumnFormula>
    </tableColumn>
  </tableColumns>
  <tableStyleInfo name="TableStyleLight1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F529DE89-9A0A-44FC-808C-F14297F551D2}" name="FedGrantControl" displayName="FedGrantControl" ref="E9:F66" totalsRowShown="0">
  <autoFilter ref="E9:F66" xr:uid="{091CF5C9-A94B-40F3-820C-C371650273CA}"/>
  <tableColumns count="2">
    <tableColumn id="1" xr3:uid="{C0283167-6EA5-45C7-A240-CAF52B5C56E5}" name="#"/>
    <tableColumn id="2" xr3:uid="{06EAD153-9BA3-4EDC-B80B-36BC699439DA}" name="Row">
      <calculatedColumnFormula>IF($E10&gt;FedGrant_NumRow, "",IFERROR(IF(SelectFedGrant = "*", $E10, _xlfn.AGGREGATE(15, 6, (1/(FedGrant_Data[Grant Name] = SelectFedGrant))*ROW(FedGrant_Data[Grant Name]), $E10)-FedGrant_Top_Row), ""))</calculatedColumnFormula>
    </tableColumn>
  </tableColumns>
  <tableStyleInfo name="TableStyleLight1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58CD62-D145-43B5-B3C8-1347854B5615}" name="MemberOrgs_SortedTable" displayName="MemberOrgs_SortedTable" ref="C3:N227" totalsRowShown="0" headerRowDxfId="56" headerRowBorderDxfId="55" tableBorderDxfId="54">
  <autoFilter ref="C3:N227" xr:uid="{E3F9B2C6-A170-4FF0-966A-DB5CCF4F497A}"/>
  <tableColumns count="12">
    <tableColumn id="13" xr3:uid="{DB66EECB-A44B-4EB2-918B-52464F35B882}" name="Unique CFDA" dataDxfId="53">
      <calculatedColumnFormula>IFERROR(INDEX(AllCFDAs[All CFDAs], MATCH(0, INDEX(COUNTIF($C$3:C3, AllCFDAs[All CFDAs]),),0)), "")</calculatedColumnFormula>
    </tableColumn>
    <tableColumn id="2" xr3:uid="{0B12C923-881D-4CAA-97D8-4E3E5C844682}" name="Grant Name">
      <calculatedColumnFormula array="1">IFERROR(INDEX(MemberOrgsData[FEDERALPROGRAMNAME], MATCH(1, (SelectMemberOrgs = MemberOrgsData[Auditee Name])*(MemberOrgs_SortedTable[[#This Row],[Unique CFDA]]= MemberOrgsData[CFDA]), 0)), "")</calculatedColumnFormula>
    </tableColumn>
    <tableColumn id="3" xr3:uid="{30A9B546-329A-411B-8F84-BABCEB90E9CD}" name="FY 2018 Total" dataDxfId="52" dataCellStyle="Currency">
      <calculatedColumnFormula array="1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calculatedColumnFormula>
    </tableColumn>
    <tableColumn id="4" xr3:uid="{597E01D0-E47D-456A-BD20-7A014295E9B4}" name="President % Change" dataDxfId="51">
      <calculatedColumnFormula array="1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calculatedColumnFormula>
    </tableColumn>
    <tableColumn id="5" xr3:uid="{F7109C21-C75E-4D32-AEA1-E31D657F17EA}" name="President $ Change" dataDxfId="50">
      <calculatedColumnFormula>IF(MemberOrgs_SortedTable[[#This Row],[Unique CFDA]] = "", "", IFERROR(MemberOrgs_SortedTable[[#This Row],[FY 2018 Total]]*MemberOrgs_SortedTable[[#This Row],[President % Change]], "No Budget Data"))</calculatedColumnFormula>
    </tableColumn>
    <tableColumn id="6" xr3:uid="{0C85D629-251F-4D67-AB88-627F98BE61E7}" name="House % Change" dataDxfId="49" dataCellStyle="Percent">
      <calculatedColumnFormula array="1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calculatedColumnFormula>
    </tableColumn>
    <tableColumn id="7" xr3:uid="{C0F5271C-77B3-4954-B570-6AB9F839D9DC}" name="House $ Change" dataDxfId="48">
      <calculatedColumnFormula>IF(MemberOrgs_SortedTable[[#This Row],[Unique CFDA]] = "", "", IFERROR(MemberOrgs_SortedTable[[#This Row],[FY 2018 Total]]*MemberOrgs_SortedTable[[#This Row],[House % Change]], "No Budget Data"))</calculatedColumnFormula>
    </tableColumn>
    <tableColumn id="11" xr3:uid="{218A098E-0CD9-436D-B37B-BA5639C2CC09}" name="Senate Budget"/>
    <tableColumn id="12" xr3:uid="{8927B07C-EA3C-4895-B7E7-C4309206EF30}" name="Senate $ Change" dataDxfId="47">
      <calculatedColumnFormula>IF(MemberOrgs_SortedTable[[#This Row],[Unique CFDA]] = "", "", IFERROR(MemberOrgs_SortedTable[[#This Row],[FY 2018 Total]]*MemberOrgs_SortedTable[[#This Row],[Senate Budget]], "No Budget Data"))</calculatedColumnFormula>
    </tableColumn>
    <tableColumn id="8" xr3:uid="{D10EA934-A48B-4E09-8EF2-C85915AAC60E}" name="Sort 1" dataDxfId="46">
      <calculatedColumnFormula>IF(MemberOrgs_SortedTable[[#This Row],[Unique CFDA]] = "", "", IF(ISNUMBER(MemberOrgs_SortedTable[[#This Row],[President $ Change]]), RANK(MemberOrgs_SortedTable[[#This Row],[President $ Change]], $G$4:$G$227)+COUNTIF($G$4:G4, G4)-1, 0))</calculatedColumnFormula>
    </tableColumn>
    <tableColumn id="9" xr3:uid="{F2DBCFA3-0CE2-4709-9BF4-6B4D2DB83338}" name="Sort 2" dataDxfId="45">
      <calculatedColumnFormula>IFERROR((IF(MemberOrgs_SortedTable[[#This Row],[Sort 1]] = 0, COUNTIF($L$4:L4, 0), "")+MAX(MemberOrgs_SortedTable[Sort 1])), "")</calculatedColumnFormula>
    </tableColumn>
    <tableColumn id="10" xr3:uid="{737876BC-8AE0-48DB-894C-EA94ECB031BC}" name="Final Pres. Sort" dataDxfId="44">
      <calculatedColumnFormula>IF(MemberOrgs_SortedTable[[#This Row],[Sort 1]]&gt;0, MemberOrgs_SortedTable[[#This Row],[Sort 1]], MemberOrgs_SortedTable[[#This Row],[Sort 2]])</calculatedColumnFormula>
    </tableColumn>
  </tableColumns>
  <tableStyleInfo name="TableStyleLight1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E5CACB0-72FE-4DE4-86E6-1037A609949E}" name="Table7" displayName="Table7" ref="P3:R89" totalsRowShown="0">
  <autoFilter ref="P3:R89" xr:uid="{B3C81419-96FD-4470-918F-340E1149FEC3}"/>
  <tableColumns count="3">
    <tableColumn id="1" xr3:uid="{4DC47865-5C51-4F73-9E63-C55072E3C846}" name="Desired Order"/>
    <tableColumn id="2" xr3:uid="{C74A1D11-FA06-4F68-8724-8AB07846AF0B}" name="CFDA" dataDxfId="43">
      <calculatedColumnFormula>IFERROR(INDEX(MemberOrgs_SortedTable[Unique CFDA], MATCH(Table7[[#This Row],[Desired Order]], MemberOrgs_SortedTable[Final Pres. Sort], 0)), "")</calculatedColumnFormula>
    </tableColumn>
    <tableColumn id="3" xr3:uid="{B62E5619-A231-481F-82BF-751199BB935F}" name="Column1" dataDxfId="42">
      <calculatedColumnFormula>IF(ISNUMBER(Table7[[#This Row],[CFDA]]), INDEX(MemberOrgs_Control[Row], MATCH(Table7[[#This Row],[Desired Order]], MemberOrgs_Control['#], 0)), "")</calculatedColumnFormula>
    </tableColumn>
  </tableColumns>
  <tableStyleInfo name="TableStyleLight10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E6DD7F-0DD0-4B3E-9E86-2D47CBB232AB}" name="AllCFDAs" displayName="AllCFDAs" ref="A3:A227" totalsRowShown="0">
  <autoFilter ref="A3:A227" xr:uid="{B5BDDEA8-BCAF-46E3-992A-0AF3CCC844B7}"/>
  <tableColumns count="1">
    <tableColumn id="1" xr3:uid="{372771F6-71D5-43A8-A455-43A870C6F126}" name="All CFDAs" dataDxfId="41">
      <calculatedColumnFormula>IF(OR(MemberOrgControl!$B7 = "", MemberOrgControl!$B7 &lt;0), "", INDEX(MemberOrgsData[CFDA], MemberOrgControl!$B7))</calculatedColumnFormula>
    </tableColumn>
  </tableColumns>
  <tableStyleInfo name="TableStyleLight1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614522D-199E-49F9-B8B0-C337296ABBA9}" name="AllFilteredCFDAs" displayName="AllFilteredCFDAs" ref="A3:A274" totalsRowShown="0">
  <autoFilter ref="A3:A274" xr:uid="{092FB66C-A6F6-4BEF-81BB-B17AD992215F}"/>
  <tableColumns count="1">
    <tableColumn id="1" xr3:uid="{22F710F9-BA88-45E9-AE83-6718D0D21DA5}" name="All CFDAs">
      <calculatedColumnFormula>IF(MemberOrgControl!$C7 = "", "", INDEX(MemberOrgsData[CFDA], MemberOrgControl!$C7))</calculatedColumnFormula>
    </tableColumn>
  </tableColumns>
  <tableStyleInfo name="TableStyleLight10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987A3EF-F7E9-400C-B794-A08BDC2D0003}" name="Table11" displayName="Table11" ref="C3:L272" totalsRowShown="0" headerRowDxfId="40" dataDxfId="38" headerRowBorderDxfId="39" tableBorderDxfId="37">
  <autoFilter ref="C3:L272" xr:uid="{7566B032-29DB-4106-B5CF-0E54C0ABBFAB}"/>
  <tableColumns count="10">
    <tableColumn id="1" xr3:uid="{07F3E8B5-14D0-49AA-AE22-1C9950733188}" name="Unique CFDA" dataDxfId="36">
      <calculatedColumnFormula>IFERROR(INDEX(AllFilteredCFDAs[All CFDAs], MATCH(0, INDEX(COUNTIF($C$3:C3, AllFilteredCFDAs[All CFDAs]),),0)), "")</calculatedColumnFormula>
    </tableColumn>
    <tableColumn id="2" xr3:uid="{6A3C33B6-BF30-44B4-A147-68391B041A6C}" name="Grant Name" dataDxfId="35">
      <calculatedColumnFormula array="1">IFERROR(INDEX(MemberOrgsData[FEDERALPROGRAMNAME], MATCH(1, (SelectMemberOrgs = MemberOrgsData[Auditee Name])*(Table11[[#This Row],[Unique CFDA]] = MemberOrgsData[CFDA]), 0)), "")</calculatedColumnFormula>
    </tableColumn>
    <tableColumn id="3" xr3:uid="{474460BC-BAED-4BC4-AB4D-47B429327E65}" name="FY 2018 Total" dataDxfId="34">
      <calculatedColumnFormula array="1">IFERROR(IF(Table11[[#This Row],[Unique CFDA]]&lt;&gt;"", SUMIFS(MemberOrgsData[AMOUNT], MemberOrgsData[Auditee Name], SelectMemberOrgs, MemberOrgsData[CFDA], Table11[[#This Row],[Unique CFDA]], MemberOrgsData[AUDITYEAR], SelectFiscalYear), ""), "")</calculatedColumnFormula>
    </tableColumn>
    <tableColumn id="4" xr3:uid="{D008EE7B-1918-446D-AC19-C55EC759773C}" name="President % Change" dataDxfId="33">
      <calculatedColumnFormula array="1">IFERROR(INDEX(BudgetAppropData[President % Change], MATCH(1, (Table11[[#This Row],[Unique CFDA]] = BudgetAppropData[CFDA])*(SelectBudgetYear = BudgetAppropData[Fiscal Year]), 0)), "")</calculatedColumnFormula>
    </tableColumn>
    <tableColumn id="5" xr3:uid="{34AD363D-0CC1-45BE-98F3-D5CAE0C9BADA}" name="President $ Change" dataDxfId="32">
      <calculatedColumnFormula>IF(Table11[[#This Row],[Unique CFDA]] = "", "", IFERROR(Table11[[#This Row],[FY 2018 Total]]*Table11[[#This Row],[President % Change]], ""))</calculatedColumnFormula>
    </tableColumn>
    <tableColumn id="6" xr3:uid="{26640D38-2DCA-40AB-9B84-071B8E477C2D}" name="House % Change" dataDxfId="31" dataCellStyle="Percent">
      <calculatedColumnFormula array="1">IFERROR(INDEX(BudgetAppropData[House % Change], MATCH(1, (Table11[[#This Row],[Unique CFDA]] = BudgetAppropData[CFDA])*(SelectBudgetYear = BudgetAppropData[Fiscal Year]),0)), "")</calculatedColumnFormula>
    </tableColumn>
    <tableColumn id="7" xr3:uid="{E34A2CC4-821E-4C8A-B6A0-03A27F330660}" name="House $ Change" dataDxfId="30" dataCellStyle="Currency">
      <calculatedColumnFormula>IF(Table11[[#This Row],[Unique CFDA]] = "", "", IFERROR(Table11[[#This Row],[FY 2018 Total]]*Table11[[#This Row],[House % Change]], ""))</calculatedColumnFormula>
    </tableColumn>
    <tableColumn id="8" xr3:uid="{DFBD2A72-2EED-4481-BB42-CCFFE59746B5}" name="Senate Budget" dataDxfId="29"/>
    <tableColumn id="9" xr3:uid="{4342AF66-1FA7-4C78-B1BF-3EF32BA87AAF}" name="Senate $ Change" dataDxfId="28">
      <calculatedColumnFormula>IF(Table11[[#This Row],[Unique CFDA]] = "", "", IFERROR(Table11[[#This Row],[FY 2018 Total]]*Table11[[#This Row],[Senate Budget]], ""))</calculatedColumnFormula>
    </tableColumn>
    <tableColumn id="10" xr3:uid="{5F13C4FD-142F-4225-B60B-5D505C9B9FFF}" name="Pres. Sort" dataDxfId="27">
      <calculatedColumnFormula>IF(Table11[[#This Row],[Unique CFDA]] = "", "", IF(ISNUMBER(Table11[[#This Row],[President $ Change]]), RANK(Table11[[#This Row],[President $ Change]], Table11[President $ Change])+COUNTIF($G4:G4, G4)-1,0))</calculatedColumnFormula>
    </tableColumn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6D60696-0AB0-4912-89D8-213EBDDE8FAD}" name="MemberOrgFinalSort" displayName="MemberOrgFinalSort" ref="N3:U272" totalsRowShown="0">
  <autoFilter ref="N3:U272" xr:uid="{B577A593-4E5F-4332-90B8-C7C30ECD2DFD}"/>
  <tableColumns count="8">
    <tableColumn id="1" xr3:uid="{298B45E4-536F-4411-AAED-8A639834A62C}" name="Desired Order"/>
    <tableColumn id="2" xr3:uid="{CC237C62-AF2C-4D42-9FFE-3B9CD6FA616D}" name="CFDA" dataDxfId="26">
      <calculatedColumnFormula>IFERROR(INDEX(Table11[Unique CFDA], MATCH(N4, Table11[Pres. Sort], 0)), "")</calculatedColumnFormula>
    </tableColumn>
    <tableColumn id="3" xr3:uid="{12FDD022-C143-42A7-91C6-C890BCE08950}" name="Grant Name" dataDxfId="25">
      <calculatedColumnFormula>IFERROR(INDEX(Table11[Grant Name], MATCH(MemberOrgFinalSort[[#This Row],[CFDA]], Table11[Unique CFDA], 0)), "")</calculatedColumnFormula>
    </tableColumn>
    <tableColumn id="4" xr3:uid="{179FE7B9-A409-46EB-A975-6D5EC96FA677}" name="FY 2018 Total" dataDxfId="24">
      <calculatedColumnFormula>IFERROR(INDEX(Table11[FY 2018 Total], MATCH(MemberOrgFinalSort[[#This Row],[CFDA]], Table11[Unique CFDA], 0)), "")</calculatedColumnFormula>
    </tableColumn>
    <tableColumn id="5" xr3:uid="{04F0FA8A-1224-471E-A870-95679B2E8757}" name="President % Change" dataDxfId="23">
      <calculatedColumnFormula>IFERROR(INDEX(Table11[President % Change], MATCH(MemberOrgFinalSort[[#This Row],[CFDA]], Table11[Unique CFDA], 0)), "")</calculatedColumnFormula>
    </tableColumn>
    <tableColumn id="6" xr3:uid="{9155CFD5-8A62-444A-9F6E-1C860C90EFCF}" name="President $ Change" dataDxfId="22">
      <calculatedColumnFormula>IFERROR(INDEX(Table11[President $ Change], MATCH(MemberOrgFinalSort[[#This Row],[CFDA]], Table11[Unique CFDA], 0)), "")</calculatedColumnFormula>
    </tableColumn>
    <tableColumn id="7" xr3:uid="{F42893A8-6C8A-47BB-8428-283FAB4FD5A0}" name="House % Change" dataDxfId="21">
      <calculatedColumnFormula>IFERROR(INDEX(Table11[House % Change], MATCH(MemberOrgFinalSort[[#This Row],[CFDA]], Table11[Unique CFDA], 0)), "")</calculatedColumnFormula>
    </tableColumn>
    <tableColumn id="8" xr3:uid="{7EF89D46-A59D-4C0B-AD27-7C5F753C7422}" name="House $ Change" dataDxfId="20">
      <calculatedColumnFormula>IFERROR(INDEX(Table11[House $ Change], MATCH(MemberOrgFinalSort[[#This Row],[CFDA]], Table11[Unique CFDA], 0)), "")</calculatedColumnFormula>
    </tableColumn>
  </tableColumns>
  <tableStyleInfo name="TableStyleLight10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4FB5EC-8B2D-41C4-BD6E-4CEAB3CAAD02}" name="SummaryTable" displayName="SummaryTable" ref="H8:I11" totalsRowShown="0" headerRowDxfId="18" dataDxfId="17">
  <tableColumns count="2">
    <tableColumn id="1" xr3:uid="{504B3CD7-E229-4033-B715-0B899B5287FA}" name="Metric" dataDxfId="16"/>
    <tableColumn id="2" xr3:uid="{2FACAFF1-62FC-474D-A0F8-3F2661D92BD1}" name="Total" dataDxfId="15"/>
  </tableColumns>
  <tableStyleInfo name="TableStyleLight2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83E9E5C-B8F4-4142-96B8-6EEB9F355D50}" name="ImpactTable" displayName="ImpactTable" ref="B8:F211" totalsRowShown="0" headerRowDxfId="14" dataDxfId="13">
  <tableColumns count="5">
    <tableColumn id="1" xr3:uid="{3D251F99-1D4A-49E5-8148-B290DBF62761}" name="CFDA" dataDxfId="12">
      <calculatedColumnFormula>IFERROR(INDEX(MemberOrgs_SortedTable[Unique CFDA], MATCH(MemberOrgs_SortedTbl!P4, MemberOrgs_SortedTable[Final Pres. Sort], 0)), "")</calculatedColumnFormula>
    </tableColumn>
    <tableColumn id="2" xr3:uid="{2D268848-4F39-42C6-9B7D-E0ECD7B0408D}" name="Grant Name" dataDxfId="11">
      <calculatedColumnFormula>IFERROR(INDEX(MemberOrgs_SortedTable[Grant Name], MATCH(B9, MemberOrgs_SortedTable[Unique CFDA], 0)), "")</calculatedColumnFormula>
    </tableColumn>
    <tableColumn id="3" xr3:uid="{BF5CF979-A828-4D0B-B370-8E55B0AB9B3C}" name="FY 2018 Total" dataDxfId="10" dataCellStyle="Currency">
      <calculatedColumnFormula>IFERROR(INDEX(MemberOrgs_SortedTable[FY 2018 Total], MATCH(B9, MemberOrgs_SortedTable[Unique CFDA], 0)), "")</calculatedColumnFormula>
    </tableColumn>
    <tableColumn id="4" xr3:uid="{C963C376-F20F-428C-9577-4E73D0E8B675}" name="President Budget % Change" dataDxfId="9" dataCellStyle="Percent">
      <calculatedColumnFormula>IFERROR(INDEX(MemberOrgs_SortedTable[President % Change], MATCH(B9, MemberOrgs_SortedTable[Unique CFDA], 0)), "")</calculatedColumnFormula>
    </tableColumn>
    <tableColumn id="5" xr3:uid="{A646E8A1-BC8D-4D3D-9BDD-5ED8F0BB0FD0}" name="President Budget $ Change" dataDxfId="8" dataCellStyle="Currency">
      <calculatedColumnFormula>IFERROR(INDEX(MemberOrgs_SortedTable[President $ Change], MATCH(B9, MemberOrgs_SortedTable[Unique CFDA], 0)), "")</calculatedColumnFormula>
    </tableColumn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DAECF42-D511-4E6B-8235-9034363917FF}" name="FedGrantFinal" displayName="FedGrantFinal" ref="B4:F5" totalsRowShown="0" headerRowDxfId="7" dataDxfId="5" headerRowBorderDxfId="6">
  <tableColumns count="5">
    <tableColumn id="1" xr3:uid="{8CA12004-84FB-49BC-8175-CBF80997FDC3}" name="CFDA" dataDxfId="4">
      <calculatedColumnFormula>IF(FedGrantControl!$F10 = "", "", INDEX(FedGrant_Data[CFDA], FedGrantControl!$F10))</calculatedColumnFormula>
    </tableColumn>
    <tableColumn id="2" xr3:uid="{77C1B66E-EA6E-4C2C-996C-5534D3480026}" name="Grant Name" dataDxfId="3">
      <calculatedColumnFormula>IFERROR(INDEX(FedGrant_Data[Grant Name], MATCH(B5, FedGrant_Data[CFDA], 0)), "")</calculatedColumnFormula>
    </tableColumn>
    <tableColumn id="3" xr3:uid="{74AF14D7-96A6-4D9F-A9BF-21D5FDF58F74}" name="FY 2018 Total" dataDxfId="2" dataCellStyle="Currency">
      <calculatedColumnFormula>IFERROR(INDEX(FedGrant_Data[FY 2018 Actuals],MATCH(B5, FedGrant_Data[CFDA], 0)), "")</calculatedColumnFormula>
    </tableColumn>
    <tableColumn id="4" xr3:uid="{6367DE3F-340A-44BD-A051-7D733300A0C9}" name="President Budget" dataDxfId="1" dataCellStyle="Percent">
      <calculatedColumnFormula>IFERROR(INDEX(BudgetAppropData[President % Change], MATCH(B5, BudgetAppropData[CFDA], 0)), "")</calculatedColumnFormula>
    </tableColumn>
    <tableColumn id="5" xr3:uid="{FC173C27-4715-4C41-B960-B9FBE844805C}" name="President $ Change" dataDxfId="0">
      <calculatedColumnFormula>IFERROR(D5*E5, "No NYC FY 2018 Funding")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3B18D-A614-4D35-8CD4-32F66A17B81D}">
  <sheetPr codeName="Sheet2"/>
  <dimension ref="A1:M369"/>
  <sheetViews>
    <sheetView topLeftCell="A358" zoomScale="80" zoomScaleNormal="80" workbookViewId="0">
      <selection activeCell="D371" sqref="D371"/>
    </sheetView>
  </sheetViews>
  <sheetFormatPr defaultRowHeight="15" x14ac:dyDescent="0.25"/>
  <cols>
    <col min="1" max="1" width="11" customWidth="1"/>
    <col min="2" max="2" width="13.28515625" customWidth="1"/>
    <col min="4" max="4" width="74.7109375" bestFit="1" customWidth="1"/>
    <col min="6" max="6" width="25.7109375" customWidth="1"/>
    <col min="7" max="9" width="11.5703125" customWidth="1"/>
    <col min="10" max="11" width="18.140625" customWidth="1"/>
    <col min="14" max="14" width="19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237</v>
      </c>
      <c r="J1" s="2" t="s">
        <v>148</v>
      </c>
    </row>
    <row r="2" spans="1:10" x14ac:dyDescent="0.25">
      <c r="A2" t="s">
        <v>130</v>
      </c>
      <c r="B2">
        <v>2018</v>
      </c>
      <c r="C2">
        <v>227595</v>
      </c>
      <c r="D2" t="s">
        <v>93</v>
      </c>
      <c r="E2">
        <v>93.676000000000002</v>
      </c>
      <c r="F2" t="s">
        <v>67</v>
      </c>
      <c r="G2">
        <v>3586397</v>
      </c>
      <c r="H2">
        <v>4498661</v>
      </c>
      <c r="I2" t="str">
        <f>IF(COUNTIF(BudgetAppropData[CFDA], MemberOrgsData[[#This Row],[CFDA]]), "Yes", "No")</f>
        <v>Yes</v>
      </c>
      <c r="J2">
        <f>(COUNTIF(D$2:D2,D2)=1)*1</f>
        <v>1</v>
      </c>
    </row>
    <row r="3" spans="1:10" x14ac:dyDescent="0.25">
      <c r="A3" t="s">
        <v>130</v>
      </c>
      <c r="B3">
        <v>2018</v>
      </c>
      <c r="C3">
        <v>227595</v>
      </c>
      <c r="D3" t="s">
        <v>93</v>
      </c>
      <c r="E3">
        <v>93.676000000000002</v>
      </c>
      <c r="F3" t="s">
        <v>67</v>
      </c>
      <c r="G3">
        <v>912264</v>
      </c>
      <c r="H3">
        <v>4498661</v>
      </c>
      <c r="I3" t="str">
        <f>IF(COUNTIF(BudgetAppropData[CFDA], MemberOrgsData[[#This Row],[CFDA]]), "Yes", "No")</f>
        <v>Yes</v>
      </c>
      <c r="J3">
        <f>(COUNTIF(D$2:D3,D3)=1)*1</f>
        <v>0</v>
      </c>
    </row>
    <row r="4" spans="1:10" x14ac:dyDescent="0.25">
      <c r="A4" t="s">
        <v>130</v>
      </c>
      <c r="B4">
        <v>2018</v>
      </c>
      <c r="C4">
        <v>246500</v>
      </c>
      <c r="D4" t="s">
        <v>117</v>
      </c>
      <c r="E4">
        <v>10.558</v>
      </c>
      <c r="F4" t="s">
        <v>24</v>
      </c>
      <c r="G4">
        <v>190455</v>
      </c>
      <c r="H4">
        <v>190455</v>
      </c>
      <c r="I4" t="str">
        <f>IF(COUNTIF(BudgetAppropData[CFDA], MemberOrgsData[[#This Row],[CFDA]]), "Yes", "No")</f>
        <v>Yes</v>
      </c>
      <c r="J4">
        <f>(COUNTIF(D$2:D4,D4)=1)*1</f>
        <v>1</v>
      </c>
    </row>
    <row r="5" spans="1:10" x14ac:dyDescent="0.25">
      <c r="A5" t="s">
        <v>130</v>
      </c>
      <c r="B5">
        <v>2018</v>
      </c>
      <c r="C5">
        <v>246500</v>
      </c>
      <c r="D5" t="s">
        <v>117</v>
      </c>
      <c r="E5">
        <v>93.575000000000003</v>
      </c>
      <c r="F5" t="s">
        <v>32</v>
      </c>
      <c r="G5">
        <v>1789180</v>
      </c>
      <c r="H5">
        <v>1789180</v>
      </c>
      <c r="I5" t="str">
        <f>IF(COUNTIF(BudgetAppropData[CFDA], MemberOrgsData[[#This Row],[CFDA]]), "Yes", "No")</f>
        <v>Yes</v>
      </c>
      <c r="J5">
        <f>(COUNTIF(D$2:D5,D5)=1)*1</f>
        <v>0</v>
      </c>
    </row>
    <row r="6" spans="1:10" x14ac:dyDescent="0.25">
      <c r="A6" t="s">
        <v>88</v>
      </c>
      <c r="B6">
        <v>2018</v>
      </c>
      <c r="C6">
        <v>14193</v>
      </c>
      <c r="D6" t="s">
        <v>89</v>
      </c>
      <c r="E6">
        <v>93.153000000000006</v>
      </c>
      <c r="F6" t="s">
        <v>121</v>
      </c>
      <c r="G6">
        <v>4390</v>
      </c>
      <c r="H6">
        <v>4390</v>
      </c>
      <c r="I6" t="str">
        <f>IF(COUNTIF(BudgetAppropData[CFDA], MemberOrgsData[[#This Row],[CFDA]]), "Yes", "No")</f>
        <v>No</v>
      </c>
      <c r="J6">
        <f>(COUNTIF(D$2:D6,D6)=1)*1</f>
        <v>1</v>
      </c>
    </row>
    <row r="7" spans="1:10" x14ac:dyDescent="0.25">
      <c r="A7" t="s">
        <v>88</v>
      </c>
      <c r="B7">
        <v>2018</v>
      </c>
      <c r="C7">
        <v>14193</v>
      </c>
      <c r="D7" t="s">
        <v>89</v>
      </c>
      <c r="E7">
        <v>93.938999999999993</v>
      </c>
      <c r="F7" t="s">
        <v>123</v>
      </c>
      <c r="G7">
        <v>3202</v>
      </c>
      <c r="H7">
        <v>755796</v>
      </c>
      <c r="I7" t="str">
        <f>IF(COUNTIF(BudgetAppropData[CFDA], MemberOrgsData[[#This Row],[CFDA]]), "Yes", "No")</f>
        <v>No</v>
      </c>
      <c r="J7">
        <f>(COUNTIF(D$2:D7,D7)=1)*1</f>
        <v>0</v>
      </c>
    </row>
    <row r="8" spans="1:10" x14ac:dyDescent="0.25">
      <c r="A8" t="s">
        <v>88</v>
      </c>
      <c r="B8">
        <v>2018</v>
      </c>
      <c r="C8">
        <v>14193</v>
      </c>
      <c r="D8" t="s">
        <v>89</v>
      </c>
      <c r="E8">
        <v>93.938999999999993</v>
      </c>
      <c r="F8" t="s">
        <v>123</v>
      </c>
      <c r="G8">
        <v>752594</v>
      </c>
      <c r="H8">
        <v>755796</v>
      </c>
      <c r="I8" t="str">
        <f>IF(COUNTIF(BudgetAppropData[CFDA], MemberOrgsData[[#This Row],[CFDA]]), "Yes", "No")</f>
        <v>No</v>
      </c>
      <c r="J8">
        <f>(COUNTIF(D$2:D8,D8)=1)*1</f>
        <v>0</v>
      </c>
    </row>
    <row r="9" spans="1:10" x14ac:dyDescent="0.25">
      <c r="A9" t="s">
        <v>88</v>
      </c>
      <c r="B9">
        <v>2018</v>
      </c>
      <c r="C9">
        <v>14193</v>
      </c>
      <c r="D9" t="s">
        <v>89</v>
      </c>
      <c r="E9">
        <v>93.242999999999995</v>
      </c>
      <c r="F9" t="s">
        <v>110</v>
      </c>
      <c r="G9">
        <v>424101</v>
      </c>
      <c r="H9">
        <v>424101</v>
      </c>
      <c r="I9" t="str">
        <f>IF(COUNTIF(BudgetAppropData[CFDA], MemberOrgsData[[#This Row],[CFDA]]), "Yes", "No")</f>
        <v>Yes</v>
      </c>
      <c r="J9">
        <f>(COUNTIF(D$2:D9,D9)=1)*1</f>
        <v>0</v>
      </c>
    </row>
    <row r="10" spans="1:10" x14ac:dyDescent="0.25">
      <c r="A10" t="s">
        <v>88</v>
      </c>
      <c r="B10">
        <v>2018</v>
      </c>
      <c r="C10">
        <v>14193</v>
      </c>
      <c r="D10" t="s">
        <v>89</v>
      </c>
      <c r="E10">
        <v>93.558000000000007</v>
      </c>
      <c r="F10" t="s">
        <v>30</v>
      </c>
      <c r="G10">
        <v>4950</v>
      </c>
      <c r="H10">
        <v>4950</v>
      </c>
      <c r="I10" t="str">
        <f>IF(COUNTIF(BudgetAppropData[CFDA], MemberOrgsData[[#This Row],[CFDA]]), "Yes", "No")</f>
        <v>Yes</v>
      </c>
      <c r="J10">
        <f>(COUNTIF(D$2:D10,D10)=1)*1</f>
        <v>0</v>
      </c>
    </row>
    <row r="11" spans="1:10" x14ac:dyDescent="0.25">
      <c r="A11" t="s">
        <v>88</v>
      </c>
      <c r="B11">
        <v>2018</v>
      </c>
      <c r="C11">
        <v>14193</v>
      </c>
      <c r="D11" t="s">
        <v>89</v>
      </c>
      <c r="E11">
        <v>93.914000000000001</v>
      </c>
      <c r="F11" t="s">
        <v>16</v>
      </c>
      <c r="G11">
        <v>31620</v>
      </c>
      <c r="H11">
        <v>3056699</v>
      </c>
      <c r="I11" t="str">
        <f>IF(COUNTIF(BudgetAppropData[CFDA], MemberOrgsData[[#This Row],[CFDA]]), "Yes", "No")</f>
        <v>Yes</v>
      </c>
      <c r="J11">
        <f>(COUNTIF(D$2:D11,D11)=1)*1</f>
        <v>0</v>
      </c>
    </row>
    <row r="12" spans="1:10" x14ac:dyDescent="0.25">
      <c r="A12" t="s">
        <v>88</v>
      </c>
      <c r="B12">
        <v>2018</v>
      </c>
      <c r="C12">
        <v>14193</v>
      </c>
      <c r="D12" t="s">
        <v>89</v>
      </c>
      <c r="E12">
        <v>93.914000000000001</v>
      </c>
      <c r="F12" t="s">
        <v>16</v>
      </c>
      <c r="G12">
        <v>833330</v>
      </c>
      <c r="H12">
        <v>3056699</v>
      </c>
      <c r="I12" t="str">
        <f>IF(COUNTIF(BudgetAppropData[CFDA], MemberOrgsData[[#This Row],[CFDA]]), "Yes", "No")</f>
        <v>Yes</v>
      </c>
      <c r="J12">
        <f>(COUNTIF(D$2:D12,D12)=1)*1</f>
        <v>0</v>
      </c>
    </row>
    <row r="13" spans="1:10" x14ac:dyDescent="0.25">
      <c r="A13" t="s">
        <v>88</v>
      </c>
      <c r="B13">
        <v>2018</v>
      </c>
      <c r="C13">
        <v>14193</v>
      </c>
      <c r="D13" t="s">
        <v>89</v>
      </c>
      <c r="E13">
        <v>93.914000000000001</v>
      </c>
      <c r="F13" t="s">
        <v>16</v>
      </c>
      <c r="G13">
        <v>112630</v>
      </c>
      <c r="H13">
        <v>3056699</v>
      </c>
      <c r="I13" t="str">
        <f>IF(COUNTIF(BudgetAppropData[CFDA], MemberOrgsData[[#This Row],[CFDA]]), "Yes", "No")</f>
        <v>Yes</v>
      </c>
      <c r="J13">
        <f>(COUNTIF(D$2:D13,D13)=1)*1</f>
        <v>0</v>
      </c>
    </row>
    <row r="14" spans="1:10" x14ac:dyDescent="0.25">
      <c r="A14" t="s">
        <v>88</v>
      </c>
      <c r="B14">
        <v>2018</v>
      </c>
      <c r="C14">
        <v>14193</v>
      </c>
      <c r="D14" t="s">
        <v>89</v>
      </c>
      <c r="E14">
        <v>93.914000000000001</v>
      </c>
      <c r="F14" t="s">
        <v>16</v>
      </c>
      <c r="G14">
        <v>222960</v>
      </c>
      <c r="H14">
        <v>3056699</v>
      </c>
      <c r="I14" t="str">
        <f>IF(COUNTIF(BudgetAppropData[CFDA], MemberOrgsData[[#This Row],[CFDA]]), "Yes", "No")</f>
        <v>Yes</v>
      </c>
      <c r="J14">
        <f>(COUNTIF(D$2:D14,D14)=1)*1</f>
        <v>0</v>
      </c>
    </row>
    <row r="15" spans="1:10" x14ac:dyDescent="0.25">
      <c r="A15" t="s">
        <v>88</v>
      </c>
      <c r="B15">
        <v>2018</v>
      </c>
      <c r="C15">
        <v>14193</v>
      </c>
      <c r="D15" t="s">
        <v>89</v>
      </c>
      <c r="E15">
        <v>93.914000000000001</v>
      </c>
      <c r="F15" t="s">
        <v>16</v>
      </c>
      <c r="G15">
        <v>526106</v>
      </c>
      <c r="H15">
        <v>3056699</v>
      </c>
      <c r="I15" t="str">
        <f>IF(COUNTIF(BudgetAppropData[CFDA], MemberOrgsData[[#This Row],[CFDA]]), "Yes", "No")</f>
        <v>Yes</v>
      </c>
      <c r="J15">
        <f>(COUNTIF(D$2:D15,D15)=1)*1</f>
        <v>0</v>
      </c>
    </row>
    <row r="16" spans="1:10" x14ac:dyDescent="0.25">
      <c r="A16" t="s">
        <v>88</v>
      </c>
      <c r="B16">
        <v>2018</v>
      </c>
      <c r="C16">
        <v>14193</v>
      </c>
      <c r="D16" t="s">
        <v>89</v>
      </c>
      <c r="E16">
        <v>93.914000000000001</v>
      </c>
      <c r="F16" t="s">
        <v>16</v>
      </c>
      <c r="G16">
        <v>613283</v>
      </c>
      <c r="H16">
        <v>3056699</v>
      </c>
      <c r="I16" t="str">
        <f>IF(COUNTIF(BudgetAppropData[CFDA], MemberOrgsData[[#This Row],[CFDA]]), "Yes", "No")</f>
        <v>Yes</v>
      </c>
      <c r="J16">
        <f>(COUNTIF(D$2:D16,D16)=1)*1</f>
        <v>0</v>
      </c>
    </row>
    <row r="17" spans="1:10" x14ac:dyDescent="0.25">
      <c r="A17" t="s">
        <v>88</v>
      </c>
      <c r="B17">
        <v>2018</v>
      </c>
      <c r="C17">
        <v>14193</v>
      </c>
      <c r="D17" t="s">
        <v>89</v>
      </c>
      <c r="E17">
        <v>93.914000000000001</v>
      </c>
      <c r="F17" t="s">
        <v>16</v>
      </c>
      <c r="G17">
        <v>449713</v>
      </c>
      <c r="H17">
        <v>3056699</v>
      </c>
      <c r="I17" t="str">
        <f>IF(COUNTIF(BudgetAppropData[CFDA], MemberOrgsData[[#This Row],[CFDA]]), "Yes", "No")</f>
        <v>Yes</v>
      </c>
      <c r="J17">
        <f>(COUNTIF(D$2:D17,D17)=1)*1</f>
        <v>0</v>
      </c>
    </row>
    <row r="18" spans="1:10" x14ac:dyDescent="0.25">
      <c r="A18" t="s">
        <v>88</v>
      </c>
      <c r="B18">
        <v>2018</v>
      </c>
      <c r="C18">
        <v>14193</v>
      </c>
      <c r="D18" t="s">
        <v>89</v>
      </c>
      <c r="E18">
        <v>93.914000000000001</v>
      </c>
      <c r="F18" t="s">
        <v>16</v>
      </c>
      <c r="G18">
        <v>267057</v>
      </c>
      <c r="H18">
        <v>3056699</v>
      </c>
      <c r="I18" t="str">
        <f>IF(COUNTIF(BudgetAppropData[CFDA], MemberOrgsData[[#This Row],[CFDA]]), "Yes", "No")</f>
        <v>Yes</v>
      </c>
      <c r="J18">
        <f>(COUNTIF(D$2:D18,D18)=1)*1</f>
        <v>0</v>
      </c>
    </row>
    <row r="19" spans="1:10" x14ac:dyDescent="0.25">
      <c r="A19" t="s">
        <v>88</v>
      </c>
      <c r="B19">
        <v>2018</v>
      </c>
      <c r="C19">
        <v>14193</v>
      </c>
      <c r="D19" t="s">
        <v>89</v>
      </c>
      <c r="E19">
        <v>93.917000000000002</v>
      </c>
      <c r="F19" t="s">
        <v>35</v>
      </c>
      <c r="G19">
        <v>224089</v>
      </c>
      <c r="H19">
        <v>390528</v>
      </c>
      <c r="I19" t="str">
        <f>IF(COUNTIF(BudgetAppropData[CFDA], MemberOrgsData[[#This Row],[CFDA]]), "Yes", "No")</f>
        <v>Yes</v>
      </c>
      <c r="J19">
        <f>(COUNTIF(D$2:D19,D19)=1)*1</f>
        <v>0</v>
      </c>
    </row>
    <row r="20" spans="1:10" x14ac:dyDescent="0.25">
      <c r="A20" t="s">
        <v>88</v>
      </c>
      <c r="B20">
        <v>2018</v>
      </c>
      <c r="C20">
        <v>14193</v>
      </c>
      <c r="D20" t="s">
        <v>89</v>
      </c>
      <c r="E20">
        <v>93.917000000000002</v>
      </c>
      <c r="F20" t="s">
        <v>35</v>
      </c>
      <c r="G20">
        <v>17517</v>
      </c>
      <c r="H20">
        <v>390528</v>
      </c>
      <c r="I20" t="str">
        <f>IF(COUNTIF(BudgetAppropData[CFDA], MemberOrgsData[[#This Row],[CFDA]]), "Yes", "No")</f>
        <v>Yes</v>
      </c>
      <c r="J20">
        <f>(COUNTIF(D$2:D20,D20)=1)*1</f>
        <v>0</v>
      </c>
    </row>
    <row r="21" spans="1:10" x14ac:dyDescent="0.25">
      <c r="A21" t="s">
        <v>88</v>
      </c>
      <c r="B21">
        <v>2018</v>
      </c>
      <c r="C21">
        <v>14193</v>
      </c>
      <c r="D21" t="s">
        <v>89</v>
      </c>
      <c r="E21">
        <v>93.917000000000002</v>
      </c>
      <c r="F21" t="s">
        <v>35</v>
      </c>
      <c r="G21">
        <v>148922</v>
      </c>
      <c r="H21">
        <v>390528</v>
      </c>
      <c r="I21" t="str">
        <f>IF(COUNTIF(BudgetAppropData[CFDA], MemberOrgsData[[#This Row],[CFDA]]), "Yes", "No")</f>
        <v>Yes</v>
      </c>
      <c r="J21">
        <f>(COUNTIF(D$2:D21,D21)=1)*1</f>
        <v>0</v>
      </c>
    </row>
    <row r="22" spans="1:10" x14ac:dyDescent="0.25">
      <c r="A22" t="s">
        <v>88</v>
      </c>
      <c r="B22">
        <v>2018</v>
      </c>
      <c r="C22">
        <v>14193</v>
      </c>
      <c r="D22" t="s">
        <v>89</v>
      </c>
      <c r="E22">
        <v>97.024000000000001</v>
      </c>
      <c r="F22" t="s">
        <v>52</v>
      </c>
      <c r="G22">
        <v>15220</v>
      </c>
      <c r="H22">
        <v>15220</v>
      </c>
      <c r="I22" t="str">
        <f>IF(COUNTIF(BudgetAppropData[CFDA], MemberOrgsData[[#This Row],[CFDA]]), "Yes", "No")</f>
        <v>Yes</v>
      </c>
      <c r="J22">
        <f>(COUNTIF(D$2:D22,D22)=1)*1</f>
        <v>0</v>
      </c>
    </row>
    <row r="23" spans="1:10" x14ac:dyDescent="0.25">
      <c r="A23" t="s">
        <v>136</v>
      </c>
      <c r="B23">
        <v>2018</v>
      </c>
      <c r="C23">
        <v>33619</v>
      </c>
      <c r="D23" t="s">
        <v>9</v>
      </c>
      <c r="E23">
        <v>93.242999999999995</v>
      </c>
      <c r="F23" t="s">
        <v>110</v>
      </c>
      <c r="G23">
        <v>151316</v>
      </c>
      <c r="H23">
        <v>151316</v>
      </c>
      <c r="I23" t="str">
        <f>IF(COUNTIF(BudgetAppropData[CFDA], MemberOrgsData[[#This Row],[CFDA]]), "Yes", "No")</f>
        <v>Yes</v>
      </c>
      <c r="J23">
        <f>(COUNTIF(D$2:D23,D23)=1)*1</f>
        <v>1</v>
      </c>
    </row>
    <row r="24" spans="1:10" x14ac:dyDescent="0.25">
      <c r="A24" t="s">
        <v>136</v>
      </c>
      <c r="B24">
        <v>2018</v>
      </c>
      <c r="C24">
        <v>33619</v>
      </c>
      <c r="D24" t="s">
        <v>9</v>
      </c>
      <c r="E24">
        <v>93.569000000000003</v>
      </c>
      <c r="F24" t="s">
        <v>31</v>
      </c>
      <c r="G24">
        <v>74076</v>
      </c>
      <c r="H24">
        <v>154768</v>
      </c>
      <c r="I24" t="str">
        <f>IF(COUNTIF(BudgetAppropData[CFDA], MemberOrgsData[[#This Row],[CFDA]]), "Yes", "No")</f>
        <v>Yes</v>
      </c>
      <c r="J24">
        <f>(COUNTIF(D$2:D24,D24)=1)*1</f>
        <v>0</v>
      </c>
    </row>
    <row r="25" spans="1:10" x14ac:dyDescent="0.25">
      <c r="A25" t="s">
        <v>136</v>
      </c>
      <c r="B25">
        <v>2018</v>
      </c>
      <c r="C25">
        <v>33619</v>
      </c>
      <c r="D25" t="s">
        <v>9</v>
      </c>
      <c r="E25">
        <v>93.569000000000003</v>
      </c>
      <c r="F25" t="s">
        <v>31</v>
      </c>
      <c r="G25">
        <v>58890</v>
      </c>
      <c r="H25">
        <v>154768</v>
      </c>
      <c r="I25" t="str">
        <f>IF(COUNTIF(BudgetAppropData[CFDA], MemberOrgsData[[#This Row],[CFDA]]), "Yes", "No")</f>
        <v>Yes</v>
      </c>
      <c r="J25">
        <f>(COUNTIF(D$2:D25,D25)=1)*1</f>
        <v>0</v>
      </c>
    </row>
    <row r="26" spans="1:10" x14ac:dyDescent="0.25">
      <c r="A26" t="s">
        <v>136</v>
      </c>
      <c r="B26">
        <v>2018</v>
      </c>
      <c r="C26">
        <v>33619</v>
      </c>
      <c r="D26" t="s">
        <v>9</v>
      </c>
      <c r="E26">
        <v>93.569000000000003</v>
      </c>
      <c r="F26" t="s">
        <v>31</v>
      </c>
      <c r="G26">
        <v>21802</v>
      </c>
      <c r="H26">
        <v>154768</v>
      </c>
      <c r="I26" t="str">
        <f>IF(COUNTIF(BudgetAppropData[CFDA], MemberOrgsData[[#This Row],[CFDA]]), "Yes", "No")</f>
        <v>Yes</v>
      </c>
      <c r="J26">
        <f>(COUNTIF(D$2:D26,D26)=1)*1</f>
        <v>0</v>
      </c>
    </row>
    <row r="27" spans="1:10" x14ac:dyDescent="0.25">
      <c r="A27" t="s">
        <v>136</v>
      </c>
      <c r="B27">
        <v>2018</v>
      </c>
      <c r="C27">
        <v>33619</v>
      </c>
      <c r="D27" t="s">
        <v>9</v>
      </c>
      <c r="E27">
        <v>93.914000000000001</v>
      </c>
      <c r="F27" t="s">
        <v>16</v>
      </c>
      <c r="G27">
        <v>690195</v>
      </c>
      <c r="H27">
        <v>964593</v>
      </c>
      <c r="I27" t="str">
        <f>IF(COUNTIF(BudgetAppropData[CFDA], MemberOrgsData[[#This Row],[CFDA]]), "Yes", "No")</f>
        <v>Yes</v>
      </c>
      <c r="J27">
        <f>(COUNTIF(D$2:D27,D27)=1)*1</f>
        <v>0</v>
      </c>
    </row>
    <row r="28" spans="1:10" x14ac:dyDescent="0.25">
      <c r="A28" t="s">
        <v>136</v>
      </c>
      <c r="B28">
        <v>2018</v>
      </c>
      <c r="C28">
        <v>33619</v>
      </c>
      <c r="D28" t="s">
        <v>9</v>
      </c>
      <c r="E28">
        <v>93.914000000000001</v>
      </c>
      <c r="F28" t="s">
        <v>16</v>
      </c>
      <c r="G28">
        <v>274398</v>
      </c>
      <c r="H28">
        <v>964593</v>
      </c>
      <c r="I28" t="str">
        <f>IF(COUNTIF(BudgetAppropData[CFDA], MemberOrgsData[[#This Row],[CFDA]]), "Yes", "No")</f>
        <v>Yes</v>
      </c>
      <c r="J28">
        <f>(COUNTIF(D$2:D28,D28)=1)*1</f>
        <v>0</v>
      </c>
    </row>
    <row r="29" spans="1:10" x14ac:dyDescent="0.25">
      <c r="A29" t="s">
        <v>136</v>
      </c>
      <c r="B29">
        <v>2018</v>
      </c>
      <c r="C29">
        <v>33619</v>
      </c>
      <c r="D29" t="s">
        <v>9</v>
      </c>
      <c r="E29">
        <v>93.959000000000003</v>
      </c>
      <c r="F29" t="s">
        <v>61</v>
      </c>
      <c r="G29">
        <v>1282671</v>
      </c>
      <c r="H29">
        <v>1626035</v>
      </c>
      <c r="I29" t="str">
        <f>IF(COUNTIF(BudgetAppropData[CFDA], MemberOrgsData[[#This Row],[CFDA]]), "Yes", "No")</f>
        <v>Yes</v>
      </c>
      <c r="J29">
        <f>(COUNTIF(D$2:D29,D29)=1)*1</f>
        <v>0</v>
      </c>
    </row>
    <row r="30" spans="1:10" x14ac:dyDescent="0.25">
      <c r="A30" t="s">
        <v>136</v>
      </c>
      <c r="B30">
        <v>2018</v>
      </c>
      <c r="C30">
        <v>33619</v>
      </c>
      <c r="D30" t="s">
        <v>9</v>
      </c>
      <c r="E30">
        <v>93.959000000000003</v>
      </c>
      <c r="F30" t="s">
        <v>61</v>
      </c>
      <c r="G30">
        <v>343364</v>
      </c>
      <c r="H30">
        <v>1626035</v>
      </c>
      <c r="I30" t="str">
        <f>IF(COUNTIF(BudgetAppropData[CFDA], MemberOrgsData[[#This Row],[CFDA]]), "Yes", "No")</f>
        <v>Yes</v>
      </c>
      <c r="J30">
        <f>(COUNTIF(D$2:D30,D30)=1)*1</f>
        <v>0</v>
      </c>
    </row>
    <row r="31" spans="1:10" x14ac:dyDescent="0.25">
      <c r="A31" t="s">
        <v>8</v>
      </c>
      <c r="B31">
        <v>2018</v>
      </c>
      <c r="C31">
        <v>13108</v>
      </c>
      <c r="D31" t="s">
        <v>14</v>
      </c>
      <c r="E31">
        <v>14.266999999999999</v>
      </c>
      <c r="F31" t="s">
        <v>120</v>
      </c>
      <c r="G31">
        <v>3248748</v>
      </c>
      <c r="H31">
        <v>3248748</v>
      </c>
      <c r="I31" t="str">
        <f>IF(COUNTIF(BudgetAppropData[CFDA], MemberOrgsData[[#This Row],[CFDA]]), "Yes", "No")</f>
        <v>No</v>
      </c>
      <c r="J31">
        <f>(COUNTIF(D$2:D31,D31)=1)*1</f>
        <v>1</v>
      </c>
    </row>
    <row r="32" spans="1:10" x14ac:dyDescent="0.25">
      <c r="A32" t="s">
        <v>8</v>
      </c>
      <c r="B32">
        <v>2018</v>
      </c>
      <c r="C32">
        <v>13108</v>
      </c>
      <c r="D32" t="s">
        <v>14</v>
      </c>
      <c r="E32">
        <v>14.241</v>
      </c>
      <c r="F32" t="s">
        <v>15</v>
      </c>
      <c r="G32">
        <v>1235676</v>
      </c>
      <c r="H32">
        <v>2388985</v>
      </c>
      <c r="I32" t="str">
        <f>IF(COUNTIF(BudgetAppropData[CFDA], MemberOrgsData[[#This Row],[CFDA]]), "Yes", "No")</f>
        <v>Yes</v>
      </c>
      <c r="J32">
        <f>(COUNTIF(D$2:D32,D32)=1)*1</f>
        <v>0</v>
      </c>
    </row>
    <row r="33" spans="1:10" x14ac:dyDescent="0.25">
      <c r="A33" t="s">
        <v>8</v>
      </c>
      <c r="B33">
        <v>2018</v>
      </c>
      <c r="C33">
        <v>13108</v>
      </c>
      <c r="D33" t="s">
        <v>14</v>
      </c>
      <c r="E33">
        <v>14.241</v>
      </c>
      <c r="F33" t="s">
        <v>15</v>
      </c>
      <c r="G33">
        <v>1153309</v>
      </c>
      <c r="H33">
        <v>2388985</v>
      </c>
      <c r="I33" t="str">
        <f>IF(COUNTIF(BudgetAppropData[CFDA], MemberOrgsData[[#This Row],[CFDA]]), "Yes", "No")</f>
        <v>Yes</v>
      </c>
      <c r="J33">
        <f>(COUNTIF(D$2:D33,D33)=1)*1</f>
        <v>0</v>
      </c>
    </row>
    <row r="34" spans="1:10" x14ac:dyDescent="0.25">
      <c r="A34" t="s">
        <v>8</v>
      </c>
      <c r="B34">
        <v>2018</v>
      </c>
      <c r="C34">
        <v>13108</v>
      </c>
      <c r="D34" t="s">
        <v>14</v>
      </c>
      <c r="E34">
        <v>93.242999999999995</v>
      </c>
      <c r="F34" t="s">
        <v>110</v>
      </c>
      <c r="G34">
        <v>462138</v>
      </c>
      <c r="H34">
        <v>462138</v>
      </c>
      <c r="I34" t="str">
        <f>IF(COUNTIF(BudgetAppropData[CFDA], MemberOrgsData[[#This Row],[CFDA]]), "Yes", "No")</f>
        <v>Yes</v>
      </c>
      <c r="J34">
        <f>(COUNTIF(D$2:D34,D34)=1)*1</f>
        <v>0</v>
      </c>
    </row>
    <row r="35" spans="1:10" x14ac:dyDescent="0.25">
      <c r="A35" t="s">
        <v>8</v>
      </c>
      <c r="B35">
        <v>2018</v>
      </c>
      <c r="C35">
        <v>13108</v>
      </c>
      <c r="D35" t="s">
        <v>14</v>
      </c>
      <c r="E35">
        <v>93.558000000000007</v>
      </c>
      <c r="F35" t="s">
        <v>30</v>
      </c>
      <c r="G35">
        <v>108152</v>
      </c>
      <c r="H35">
        <v>108152</v>
      </c>
      <c r="I35" t="str">
        <f>IF(COUNTIF(BudgetAppropData[CFDA], MemberOrgsData[[#This Row],[CFDA]]), "Yes", "No")</f>
        <v>Yes</v>
      </c>
      <c r="J35">
        <f>(COUNTIF(D$2:D35,D35)=1)*1</f>
        <v>0</v>
      </c>
    </row>
    <row r="36" spans="1:10" x14ac:dyDescent="0.25">
      <c r="A36" t="s">
        <v>8</v>
      </c>
      <c r="B36">
        <v>2018</v>
      </c>
      <c r="C36">
        <v>13108</v>
      </c>
      <c r="D36" t="s">
        <v>14</v>
      </c>
      <c r="E36">
        <v>93.914000000000001</v>
      </c>
      <c r="F36" t="s">
        <v>16</v>
      </c>
      <c r="G36">
        <v>2436568</v>
      </c>
      <c r="H36">
        <v>2436568</v>
      </c>
      <c r="I36" t="str">
        <f>IF(COUNTIF(BudgetAppropData[CFDA], MemberOrgsData[[#This Row],[CFDA]]), "Yes", "No")</f>
        <v>Yes</v>
      </c>
      <c r="J36">
        <f>(COUNTIF(D$2:D36,D36)=1)*1</f>
        <v>0</v>
      </c>
    </row>
    <row r="37" spans="1:10" x14ac:dyDescent="0.25">
      <c r="A37" t="s">
        <v>144</v>
      </c>
      <c r="B37">
        <v>2018</v>
      </c>
      <c r="C37">
        <v>11861</v>
      </c>
      <c r="D37" t="s">
        <v>17</v>
      </c>
      <c r="E37">
        <v>10.558</v>
      </c>
      <c r="F37" t="s">
        <v>24</v>
      </c>
      <c r="G37">
        <v>649857</v>
      </c>
      <c r="H37">
        <v>774436</v>
      </c>
      <c r="I37" t="str">
        <f>IF(COUNTIF(BudgetAppropData[CFDA], MemberOrgsData[[#This Row],[CFDA]]), "Yes", "No")</f>
        <v>Yes</v>
      </c>
      <c r="J37">
        <f>(COUNTIF(D$2:D37,D37)=1)*1</f>
        <v>1</v>
      </c>
    </row>
    <row r="38" spans="1:10" x14ac:dyDescent="0.25">
      <c r="A38" t="s">
        <v>144</v>
      </c>
      <c r="B38">
        <v>2018</v>
      </c>
      <c r="C38">
        <v>11861</v>
      </c>
      <c r="D38" t="s">
        <v>17</v>
      </c>
      <c r="E38">
        <v>10.558</v>
      </c>
      <c r="F38" t="s">
        <v>24</v>
      </c>
      <c r="G38">
        <v>124579</v>
      </c>
      <c r="H38">
        <v>774436</v>
      </c>
      <c r="I38" t="str">
        <f>IF(COUNTIF(BudgetAppropData[CFDA], MemberOrgsData[[#This Row],[CFDA]]), "Yes", "No")</f>
        <v>Yes</v>
      </c>
      <c r="J38">
        <f>(COUNTIF(D$2:D38,D38)=1)*1</f>
        <v>0</v>
      </c>
    </row>
    <row r="39" spans="1:10" x14ac:dyDescent="0.25">
      <c r="A39" t="s">
        <v>144</v>
      </c>
      <c r="B39">
        <v>2018</v>
      </c>
      <c r="C39">
        <v>11861</v>
      </c>
      <c r="D39" t="s">
        <v>17</v>
      </c>
      <c r="E39">
        <v>93.575000000000003</v>
      </c>
      <c r="F39" t="s">
        <v>32</v>
      </c>
      <c r="G39">
        <v>622248</v>
      </c>
      <c r="H39">
        <v>622248</v>
      </c>
      <c r="I39" t="str">
        <f>IF(COUNTIF(BudgetAppropData[CFDA], MemberOrgsData[[#This Row],[CFDA]]), "Yes", "No")</f>
        <v>Yes</v>
      </c>
      <c r="J39">
        <f>(COUNTIF(D$2:D39,D39)=1)*1</f>
        <v>0</v>
      </c>
    </row>
    <row r="40" spans="1:10" x14ac:dyDescent="0.25">
      <c r="A40" t="s">
        <v>136</v>
      </c>
      <c r="B40">
        <v>2018</v>
      </c>
      <c r="C40">
        <v>8507</v>
      </c>
      <c r="D40" t="s">
        <v>18</v>
      </c>
      <c r="E40">
        <v>10.558</v>
      </c>
      <c r="F40" t="s">
        <v>24</v>
      </c>
      <c r="G40">
        <v>268459</v>
      </c>
      <c r="H40">
        <v>268459</v>
      </c>
      <c r="I40" t="str">
        <f>IF(COUNTIF(BudgetAppropData[CFDA], MemberOrgsData[[#This Row],[CFDA]]), "Yes", "No")</f>
        <v>Yes</v>
      </c>
      <c r="J40">
        <f>(COUNTIF(D$2:D40,D40)=1)*1</f>
        <v>1</v>
      </c>
    </row>
    <row r="41" spans="1:10" x14ac:dyDescent="0.25">
      <c r="A41" t="s">
        <v>136</v>
      </c>
      <c r="B41">
        <v>2018</v>
      </c>
      <c r="C41">
        <v>8507</v>
      </c>
      <c r="D41" t="s">
        <v>18</v>
      </c>
      <c r="E41">
        <v>93.575000000000003</v>
      </c>
      <c r="F41" t="s">
        <v>32</v>
      </c>
      <c r="G41">
        <v>1142177</v>
      </c>
      <c r="H41">
        <v>1142177</v>
      </c>
      <c r="I41" t="str">
        <f>IF(COUNTIF(BudgetAppropData[CFDA], MemberOrgsData[[#This Row],[CFDA]]), "Yes", "No")</f>
        <v>Yes</v>
      </c>
      <c r="J41">
        <f>(COUNTIF(D$2:D41,D41)=1)*1</f>
        <v>0</v>
      </c>
    </row>
    <row r="42" spans="1:10" x14ac:dyDescent="0.25">
      <c r="A42" t="s">
        <v>136</v>
      </c>
      <c r="B42">
        <v>2018</v>
      </c>
      <c r="C42">
        <v>8507</v>
      </c>
      <c r="D42" t="s">
        <v>18</v>
      </c>
      <c r="E42">
        <v>93.6</v>
      </c>
      <c r="F42" t="s">
        <v>20</v>
      </c>
      <c r="G42">
        <v>1494641</v>
      </c>
      <c r="H42">
        <v>1494641</v>
      </c>
      <c r="I42" t="str">
        <f>IF(COUNTIF(BudgetAppropData[CFDA], MemberOrgsData[[#This Row],[CFDA]]), "Yes", "No")</f>
        <v>Yes</v>
      </c>
      <c r="J42">
        <f>(COUNTIF(D$2:D42,D42)=1)*1</f>
        <v>0</v>
      </c>
    </row>
    <row r="43" spans="1:10" x14ac:dyDescent="0.25">
      <c r="A43" t="s">
        <v>8</v>
      </c>
      <c r="B43">
        <v>2018</v>
      </c>
      <c r="C43">
        <v>193342</v>
      </c>
      <c r="D43" t="s">
        <v>21</v>
      </c>
      <c r="E43">
        <v>16.574999999999999</v>
      </c>
      <c r="F43" t="s">
        <v>56</v>
      </c>
      <c r="G43">
        <v>107312</v>
      </c>
      <c r="H43">
        <v>107312</v>
      </c>
      <c r="I43" t="str">
        <f>IF(COUNTIF(BudgetAppropData[CFDA], MemberOrgsData[[#This Row],[CFDA]]), "Yes", "No")</f>
        <v>No</v>
      </c>
      <c r="J43">
        <f>(COUNTIF(D$2:D43,D43)=1)*1</f>
        <v>1</v>
      </c>
    </row>
    <row r="44" spans="1:10" x14ac:dyDescent="0.25">
      <c r="A44" t="s">
        <v>8</v>
      </c>
      <c r="B44">
        <v>2018</v>
      </c>
      <c r="C44">
        <v>193342</v>
      </c>
      <c r="D44" t="s">
        <v>21</v>
      </c>
      <c r="E44">
        <v>93.558000000000007</v>
      </c>
      <c r="F44" t="s">
        <v>30</v>
      </c>
      <c r="G44">
        <v>3530572</v>
      </c>
      <c r="H44">
        <v>3530572</v>
      </c>
      <c r="I44" t="str">
        <f>IF(COUNTIF(BudgetAppropData[CFDA], MemberOrgsData[[#This Row],[CFDA]]), "Yes", "No")</f>
        <v>Yes</v>
      </c>
      <c r="J44">
        <f>(COUNTIF(D$2:D44,D44)=1)*1</f>
        <v>0</v>
      </c>
    </row>
    <row r="45" spans="1:10" x14ac:dyDescent="0.25">
      <c r="A45" t="s">
        <v>8</v>
      </c>
      <c r="B45">
        <v>2018</v>
      </c>
      <c r="C45">
        <v>193342</v>
      </c>
      <c r="D45" t="s">
        <v>21</v>
      </c>
      <c r="E45">
        <v>93.667000000000002</v>
      </c>
      <c r="F45" t="s">
        <v>22</v>
      </c>
      <c r="G45">
        <v>440779</v>
      </c>
      <c r="H45">
        <v>440779</v>
      </c>
      <c r="I45" t="str">
        <f>IF(COUNTIF(BudgetAppropData[CFDA], MemberOrgsData[[#This Row],[CFDA]]), "Yes", "No")</f>
        <v>Yes</v>
      </c>
      <c r="J45">
        <f>(COUNTIF(D$2:D45,D45)=1)*1</f>
        <v>0</v>
      </c>
    </row>
    <row r="46" spans="1:10" x14ac:dyDescent="0.25">
      <c r="A46" t="s">
        <v>130</v>
      </c>
      <c r="B46">
        <v>2018</v>
      </c>
      <c r="C46">
        <v>16544</v>
      </c>
      <c r="D46" t="s">
        <v>23</v>
      </c>
      <c r="E46">
        <v>10.561</v>
      </c>
      <c r="F46" t="s">
        <v>131</v>
      </c>
      <c r="G46">
        <v>33055</v>
      </c>
      <c r="H46">
        <v>113124</v>
      </c>
      <c r="I46" t="str">
        <f>IF(COUNTIF(BudgetAppropData[CFDA], MemberOrgsData[[#This Row],[CFDA]]), "Yes", "No")</f>
        <v>No</v>
      </c>
      <c r="J46">
        <f>(COUNTIF(D$2:D46,D46)=1)*1</f>
        <v>1</v>
      </c>
    </row>
    <row r="47" spans="1:10" x14ac:dyDescent="0.25">
      <c r="A47" t="s">
        <v>130</v>
      </c>
      <c r="B47">
        <v>2018</v>
      </c>
      <c r="C47">
        <v>16544</v>
      </c>
      <c r="D47" t="s">
        <v>23</v>
      </c>
      <c r="E47">
        <v>10.561</v>
      </c>
      <c r="F47" t="s">
        <v>131</v>
      </c>
      <c r="G47">
        <v>37649</v>
      </c>
      <c r="H47">
        <v>113124</v>
      </c>
      <c r="I47" t="str">
        <f>IF(COUNTIF(BudgetAppropData[CFDA], MemberOrgsData[[#This Row],[CFDA]]), "Yes", "No")</f>
        <v>No</v>
      </c>
      <c r="J47">
        <f>(COUNTIF(D$2:D47,D47)=1)*1</f>
        <v>0</v>
      </c>
    </row>
    <row r="48" spans="1:10" x14ac:dyDescent="0.25">
      <c r="A48" t="s">
        <v>130</v>
      </c>
      <c r="B48">
        <v>2018</v>
      </c>
      <c r="C48">
        <v>16544</v>
      </c>
      <c r="D48" t="s">
        <v>23</v>
      </c>
      <c r="E48">
        <v>10.561</v>
      </c>
      <c r="F48" t="s">
        <v>131</v>
      </c>
      <c r="G48">
        <v>42420</v>
      </c>
      <c r="H48">
        <v>113124</v>
      </c>
      <c r="I48" t="str">
        <f>IF(COUNTIF(BudgetAppropData[CFDA], MemberOrgsData[[#This Row],[CFDA]]), "Yes", "No")</f>
        <v>No</v>
      </c>
      <c r="J48">
        <f>(COUNTIF(D$2:D48,D48)=1)*1</f>
        <v>0</v>
      </c>
    </row>
    <row r="49" spans="1:10" x14ac:dyDescent="0.25">
      <c r="A49" t="s">
        <v>130</v>
      </c>
      <c r="B49">
        <v>2018</v>
      </c>
      <c r="C49">
        <v>16544</v>
      </c>
      <c r="D49" t="s">
        <v>23</v>
      </c>
      <c r="E49">
        <v>93.091999999999999</v>
      </c>
      <c r="F49" t="s">
        <v>134</v>
      </c>
      <c r="G49">
        <v>312348</v>
      </c>
      <c r="H49">
        <v>312348</v>
      </c>
      <c r="I49" t="str">
        <f>IF(COUNTIF(BudgetAppropData[CFDA], MemberOrgsData[[#This Row],[CFDA]]), "Yes", "No")</f>
        <v>No</v>
      </c>
      <c r="J49">
        <f>(COUNTIF(D$2:D49,D49)=1)*1</f>
        <v>0</v>
      </c>
    </row>
    <row r="50" spans="1:10" x14ac:dyDescent="0.25">
      <c r="A50" t="s">
        <v>130</v>
      </c>
      <c r="B50">
        <v>2018</v>
      </c>
      <c r="C50">
        <v>16544</v>
      </c>
      <c r="D50" t="s">
        <v>23</v>
      </c>
      <c r="E50">
        <v>93.331000000000003</v>
      </c>
      <c r="F50" t="s">
        <v>125</v>
      </c>
      <c r="G50">
        <v>2099</v>
      </c>
      <c r="H50">
        <v>2099</v>
      </c>
      <c r="I50" t="str">
        <f>IF(COUNTIF(BudgetAppropData[CFDA], MemberOrgsData[[#This Row],[CFDA]]), "Yes", "No")</f>
        <v>No</v>
      </c>
      <c r="J50">
        <f>(COUNTIF(D$2:D50,D50)=1)*1</f>
        <v>0</v>
      </c>
    </row>
    <row r="51" spans="1:10" x14ac:dyDescent="0.25">
      <c r="A51" t="s">
        <v>130</v>
      </c>
      <c r="B51">
        <v>2018</v>
      </c>
      <c r="C51">
        <v>16544</v>
      </c>
      <c r="D51" t="s">
        <v>23</v>
      </c>
      <c r="E51">
        <v>93.866</v>
      </c>
      <c r="F51" t="s">
        <v>135</v>
      </c>
      <c r="G51">
        <v>3470</v>
      </c>
      <c r="H51">
        <v>3470</v>
      </c>
      <c r="I51" t="str">
        <f>IF(COUNTIF(BudgetAppropData[CFDA], MemberOrgsData[[#This Row],[CFDA]]), "Yes", "No")</f>
        <v>No</v>
      </c>
      <c r="J51">
        <f>(COUNTIF(D$2:D51,D51)=1)*1</f>
        <v>0</v>
      </c>
    </row>
    <row r="52" spans="1:10" x14ac:dyDescent="0.25">
      <c r="A52" t="s">
        <v>130</v>
      </c>
      <c r="B52">
        <v>2018</v>
      </c>
      <c r="C52">
        <v>16544</v>
      </c>
      <c r="D52" t="s">
        <v>23</v>
      </c>
      <c r="E52">
        <v>10.558</v>
      </c>
      <c r="F52" t="s">
        <v>24</v>
      </c>
      <c r="G52">
        <v>404804</v>
      </c>
      <c r="H52">
        <v>404804</v>
      </c>
      <c r="I52" t="str">
        <f>IF(COUNTIF(BudgetAppropData[CFDA], MemberOrgsData[[#This Row],[CFDA]]), "Yes", "No")</f>
        <v>Yes</v>
      </c>
      <c r="J52">
        <f>(COUNTIF(D$2:D52,D52)=1)*1</f>
        <v>0</v>
      </c>
    </row>
    <row r="53" spans="1:10" x14ac:dyDescent="0.25">
      <c r="A53" t="s">
        <v>130</v>
      </c>
      <c r="B53">
        <v>2018</v>
      </c>
      <c r="C53">
        <v>16544</v>
      </c>
      <c r="D53" t="s">
        <v>23</v>
      </c>
      <c r="E53">
        <v>17.234999999999999</v>
      </c>
      <c r="F53" t="s">
        <v>90</v>
      </c>
      <c r="G53">
        <v>1837226</v>
      </c>
      <c r="H53">
        <v>1837226</v>
      </c>
      <c r="I53" t="str">
        <f>IF(COUNTIF(BudgetAppropData[CFDA], MemberOrgsData[[#This Row],[CFDA]]), "Yes", "No")</f>
        <v>Yes</v>
      </c>
      <c r="J53">
        <f>(COUNTIF(D$2:D53,D53)=1)*1</f>
        <v>0</v>
      </c>
    </row>
    <row r="54" spans="1:10" x14ac:dyDescent="0.25">
      <c r="A54" t="s">
        <v>130</v>
      </c>
      <c r="B54">
        <v>2018</v>
      </c>
      <c r="C54">
        <v>16544</v>
      </c>
      <c r="D54" t="s">
        <v>23</v>
      </c>
      <c r="E54">
        <v>17.259</v>
      </c>
      <c r="F54" t="s">
        <v>27</v>
      </c>
      <c r="G54">
        <v>153064</v>
      </c>
      <c r="H54">
        <v>398295</v>
      </c>
      <c r="I54" t="str">
        <f>IF(COUNTIF(BudgetAppropData[CFDA], MemberOrgsData[[#This Row],[CFDA]]), "Yes", "No")</f>
        <v>Yes</v>
      </c>
      <c r="J54">
        <f>(COUNTIF(D$2:D54,D54)=1)*1</f>
        <v>0</v>
      </c>
    </row>
    <row r="55" spans="1:10" x14ac:dyDescent="0.25">
      <c r="A55" t="s">
        <v>130</v>
      </c>
      <c r="B55">
        <v>2018</v>
      </c>
      <c r="C55">
        <v>16544</v>
      </c>
      <c r="D55" t="s">
        <v>23</v>
      </c>
      <c r="E55">
        <v>17.259</v>
      </c>
      <c r="F55" t="s">
        <v>27</v>
      </c>
      <c r="G55">
        <v>42190</v>
      </c>
      <c r="H55">
        <v>398295</v>
      </c>
      <c r="I55" t="str">
        <f>IF(COUNTIF(BudgetAppropData[CFDA], MemberOrgsData[[#This Row],[CFDA]]), "Yes", "No")</f>
        <v>Yes</v>
      </c>
      <c r="J55">
        <f>(COUNTIF(D$2:D55,D55)=1)*1</f>
        <v>0</v>
      </c>
    </row>
    <row r="56" spans="1:10" x14ac:dyDescent="0.25">
      <c r="A56" t="s">
        <v>130</v>
      </c>
      <c r="B56">
        <v>2018</v>
      </c>
      <c r="C56">
        <v>16544</v>
      </c>
      <c r="D56" t="s">
        <v>23</v>
      </c>
      <c r="E56">
        <v>17.259</v>
      </c>
      <c r="F56" t="s">
        <v>27</v>
      </c>
      <c r="G56">
        <v>2162</v>
      </c>
      <c r="H56">
        <v>398295</v>
      </c>
      <c r="I56" t="str">
        <f>IF(COUNTIF(BudgetAppropData[CFDA], MemberOrgsData[[#This Row],[CFDA]]), "Yes", "No")</f>
        <v>Yes</v>
      </c>
      <c r="J56">
        <f>(COUNTIF(D$2:D56,D56)=1)*1</f>
        <v>0</v>
      </c>
    </row>
    <row r="57" spans="1:10" x14ac:dyDescent="0.25">
      <c r="A57" t="s">
        <v>130</v>
      </c>
      <c r="B57">
        <v>2018</v>
      </c>
      <c r="C57">
        <v>16544</v>
      </c>
      <c r="D57" t="s">
        <v>23</v>
      </c>
      <c r="E57">
        <v>17.259</v>
      </c>
      <c r="F57" t="s">
        <v>27</v>
      </c>
      <c r="G57">
        <v>145648</v>
      </c>
      <c r="H57">
        <v>398295</v>
      </c>
      <c r="I57" t="str">
        <f>IF(COUNTIF(BudgetAppropData[CFDA], MemberOrgsData[[#This Row],[CFDA]]), "Yes", "No")</f>
        <v>Yes</v>
      </c>
      <c r="J57">
        <f>(COUNTIF(D$2:D57,D57)=1)*1</f>
        <v>0</v>
      </c>
    </row>
    <row r="58" spans="1:10" x14ac:dyDescent="0.25">
      <c r="A58" t="s">
        <v>130</v>
      </c>
      <c r="B58">
        <v>2018</v>
      </c>
      <c r="C58">
        <v>16544</v>
      </c>
      <c r="D58" t="s">
        <v>23</v>
      </c>
      <c r="E58">
        <v>17.259</v>
      </c>
      <c r="F58" t="s">
        <v>27</v>
      </c>
      <c r="G58">
        <v>52731</v>
      </c>
      <c r="H58">
        <v>398295</v>
      </c>
      <c r="I58" t="str">
        <f>IF(COUNTIF(BudgetAppropData[CFDA], MemberOrgsData[[#This Row],[CFDA]]), "Yes", "No")</f>
        <v>Yes</v>
      </c>
      <c r="J58">
        <f>(COUNTIF(D$2:D58,D58)=1)*1</f>
        <v>0</v>
      </c>
    </row>
    <row r="59" spans="1:10" x14ac:dyDescent="0.25">
      <c r="A59" t="s">
        <v>130</v>
      </c>
      <c r="B59">
        <v>2018</v>
      </c>
      <c r="C59">
        <v>16544</v>
      </c>
      <c r="D59" t="s">
        <v>23</v>
      </c>
      <c r="E59">
        <v>17.259</v>
      </c>
      <c r="F59" t="s">
        <v>27</v>
      </c>
      <c r="G59">
        <v>2500</v>
      </c>
      <c r="H59">
        <v>398295</v>
      </c>
      <c r="I59" t="str">
        <f>IF(COUNTIF(BudgetAppropData[CFDA], MemberOrgsData[[#This Row],[CFDA]]), "Yes", "No")</f>
        <v>Yes</v>
      </c>
      <c r="J59">
        <f>(COUNTIF(D$2:D59,D59)=1)*1</f>
        <v>0</v>
      </c>
    </row>
    <row r="60" spans="1:10" x14ac:dyDescent="0.25">
      <c r="A60" t="s">
        <v>130</v>
      </c>
      <c r="B60">
        <v>2018</v>
      </c>
      <c r="C60">
        <v>16544</v>
      </c>
      <c r="D60" t="s">
        <v>23</v>
      </c>
      <c r="E60">
        <v>93.043999999999997</v>
      </c>
      <c r="F60" t="s">
        <v>132</v>
      </c>
      <c r="G60">
        <v>13928</v>
      </c>
      <c r="H60">
        <v>68567</v>
      </c>
      <c r="I60" t="str">
        <f>IF(COUNTIF(BudgetAppropData[CFDA], MemberOrgsData[[#This Row],[CFDA]]), "Yes", "No")</f>
        <v>Yes</v>
      </c>
      <c r="J60">
        <f>(COUNTIF(D$2:D60,D60)=1)*1</f>
        <v>0</v>
      </c>
    </row>
    <row r="61" spans="1:10" x14ac:dyDescent="0.25">
      <c r="A61" t="s">
        <v>130</v>
      </c>
      <c r="B61">
        <v>2018</v>
      </c>
      <c r="C61">
        <v>16544</v>
      </c>
      <c r="D61" t="s">
        <v>23</v>
      </c>
      <c r="E61">
        <v>93.043999999999997</v>
      </c>
      <c r="F61" t="s">
        <v>132</v>
      </c>
      <c r="G61">
        <v>15862</v>
      </c>
      <c r="H61">
        <v>68567</v>
      </c>
      <c r="I61" t="str">
        <f>IF(COUNTIF(BudgetAppropData[CFDA], MemberOrgsData[[#This Row],[CFDA]]), "Yes", "No")</f>
        <v>Yes</v>
      </c>
      <c r="J61">
        <f>(COUNTIF(D$2:D61,D61)=1)*1</f>
        <v>0</v>
      </c>
    </row>
    <row r="62" spans="1:10" x14ac:dyDescent="0.25">
      <c r="A62" t="s">
        <v>130</v>
      </c>
      <c r="B62">
        <v>2018</v>
      </c>
      <c r="C62">
        <v>16544</v>
      </c>
      <c r="D62" t="s">
        <v>23</v>
      </c>
      <c r="E62">
        <v>93.043999999999997</v>
      </c>
      <c r="F62" t="s">
        <v>132</v>
      </c>
      <c r="G62">
        <v>38777</v>
      </c>
      <c r="H62">
        <v>68567</v>
      </c>
      <c r="I62" t="str">
        <f>IF(COUNTIF(BudgetAppropData[CFDA], MemberOrgsData[[#This Row],[CFDA]]), "Yes", "No")</f>
        <v>Yes</v>
      </c>
      <c r="J62">
        <f>(COUNTIF(D$2:D62,D62)=1)*1</f>
        <v>0</v>
      </c>
    </row>
    <row r="63" spans="1:10" x14ac:dyDescent="0.25">
      <c r="A63" t="s">
        <v>130</v>
      </c>
      <c r="B63">
        <v>2018</v>
      </c>
      <c r="C63">
        <v>16544</v>
      </c>
      <c r="D63" t="s">
        <v>23</v>
      </c>
      <c r="E63">
        <v>93.045000000000002</v>
      </c>
      <c r="F63" t="s">
        <v>133</v>
      </c>
      <c r="G63">
        <v>85252</v>
      </c>
      <c r="H63">
        <v>189703</v>
      </c>
      <c r="I63" t="str">
        <f>IF(COUNTIF(BudgetAppropData[CFDA], MemberOrgsData[[#This Row],[CFDA]]), "Yes", "No")</f>
        <v>Yes</v>
      </c>
      <c r="J63">
        <f>(COUNTIF(D$2:D63,D63)=1)*1</f>
        <v>0</v>
      </c>
    </row>
    <row r="64" spans="1:10" x14ac:dyDescent="0.25">
      <c r="A64" t="s">
        <v>130</v>
      </c>
      <c r="B64">
        <v>2018</v>
      </c>
      <c r="C64">
        <v>16544</v>
      </c>
      <c r="D64" t="s">
        <v>23</v>
      </c>
      <c r="E64">
        <v>93.045000000000002</v>
      </c>
      <c r="F64" t="s">
        <v>133</v>
      </c>
      <c r="G64">
        <v>58775</v>
      </c>
      <c r="H64">
        <v>189703</v>
      </c>
      <c r="I64" t="str">
        <f>IF(COUNTIF(BudgetAppropData[CFDA], MemberOrgsData[[#This Row],[CFDA]]), "Yes", "No")</f>
        <v>Yes</v>
      </c>
      <c r="J64">
        <f>(COUNTIF(D$2:D64,D64)=1)*1</f>
        <v>0</v>
      </c>
    </row>
    <row r="65" spans="1:10" x14ac:dyDescent="0.25">
      <c r="A65" t="s">
        <v>130</v>
      </c>
      <c r="B65">
        <v>2018</v>
      </c>
      <c r="C65">
        <v>16544</v>
      </c>
      <c r="D65" t="s">
        <v>23</v>
      </c>
      <c r="E65">
        <v>93.045000000000002</v>
      </c>
      <c r="F65" t="s">
        <v>133</v>
      </c>
      <c r="G65">
        <v>45676</v>
      </c>
      <c r="H65">
        <v>189703</v>
      </c>
      <c r="I65" t="str">
        <f>IF(COUNTIF(BudgetAppropData[CFDA], MemberOrgsData[[#This Row],[CFDA]]), "Yes", "No")</f>
        <v>Yes</v>
      </c>
      <c r="J65">
        <f>(COUNTIF(D$2:D65,D65)=1)*1</f>
        <v>0</v>
      </c>
    </row>
    <row r="66" spans="1:10" x14ac:dyDescent="0.25">
      <c r="A66" t="s">
        <v>130</v>
      </c>
      <c r="B66">
        <v>2018</v>
      </c>
      <c r="C66">
        <v>16544</v>
      </c>
      <c r="D66" t="s">
        <v>23</v>
      </c>
      <c r="E66">
        <v>93.052999999999997</v>
      </c>
      <c r="F66" t="s">
        <v>28</v>
      </c>
      <c r="G66">
        <v>53391</v>
      </c>
      <c r="H66">
        <v>151965</v>
      </c>
      <c r="I66" t="str">
        <f>IF(COUNTIF(BudgetAppropData[CFDA], MemberOrgsData[[#This Row],[CFDA]]), "Yes", "No")</f>
        <v>Yes</v>
      </c>
      <c r="J66">
        <f>(COUNTIF(D$2:D66,D66)=1)*1</f>
        <v>0</v>
      </c>
    </row>
    <row r="67" spans="1:10" x14ac:dyDescent="0.25">
      <c r="A67" t="s">
        <v>130</v>
      </c>
      <c r="B67">
        <v>2018</v>
      </c>
      <c r="C67">
        <v>16544</v>
      </c>
      <c r="D67" t="s">
        <v>23</v>
      </c>
      <c r="E67">
        <v>93.052999999999997</v>
      </c>
      <c r="F67" t="s">
        <v>28</v>
      </c>
      <c r="G67">
        <v>68354</v>
      </c>
      <c r="H67">
        <v>151965</v>
      </c>
      <c r="I67" t="str">
        <f>IF(COUNTIF(BudgetAppropData[CFDA], MemberOrgsData[[#This Row],[CFDA]]), "Yes", "No")</f>
        <v>Yes</v>
      </c>
      <c r="J67">
        <f>(COUNTIF(D$2:D67,D67)=1)*1</f>
        <v>0</v>
      </c>
    </row>
    <row r="68" spans="1:10" x14ac:dyDescent="0.25">
      <c r="A68" t="s">
        <v>130</v>
      </c>
      <c r="B68">
        <v>2018</v>
      </c>
      <c r="C68">
        <v>16544</v>
      </c>
      <c r="D68" t="s">
        <v>23</v>
      </c>
      <c r="E68">
        <v>93.052999999999997</v>
      </c>
      <c r="F68" t="s">
        <v>28</v>
      </c>
      <c r="G68">
        <v>30220</v>
      </c>
      <c r="H68">
        <v>151965</v>
      </c>
      <c r="I68" t="str">
        <f>IF(COUNTIF(BudgetAppropData[CFDA], MemberOrgsData[[#This Row],[CFDA]]), "Yes", "No")</f>
        <v>Yes</v>
      </c>
      <c r="J68">
        <f>(COUNTIF(D$2:D68,D68)=1)*1</f>
        <v>0</v>
      </c>
    </row>
    <row r="69" spans="1:10" x14ac:dyDescent="0.25">
      <c r="A69" t="s">
        <v>130</v>
      </c>
      <c r="B69">
        <v>2018</v>
      </c>
      <c r="C69">
        <v>16544</v>
      </c>
      <c r="D69" t="s">
        <v>23</v>
      </c>
      <c r="E69">
        <v>93.070999999999998</v>
      </c>
      <c r="F69" t="s">
        <v>29</v>
      </c>
      <c r="G69">
        <v>1588</v>
      </c>
      <c r="H69">
        <v>9088</v>
      </c>
      <c r="I69" t="str">
        <f>IF(COUNTIF(BudgetAppropData[CFDA], MemberOrgsData[[#This Row],[CFDA]]), "Yes", "No")</f>
        <v>Yes</v>
      </c>
      <c r="J69">
        <f>(COUNTIF(D$2:D69,D69)=1)*1</f>
        <v>0</v>
      </c>
    </row>
    <row r="70" spans="1:10" x14ac:dyDescent="0.25">
      <c r="A70" t="s">
        <v>130</v>
      </c>
      <c r="B70">
        <v>2018</v>
      </c>
      <c r="C70">
        <v>16544</v>
      </c>
      <c r="D70" t="s">
        <v>23</v>
      </c>
      <c r="E70">
        <v>93.070999999999998</v>
      </c>
      <c r="F70" t="s">
        <v>29</v>
      </c>
      <c r="G70">
        <v>7500</v>
      </c>
      <c r="H70">
        <v>9088</v>
      </c>
      <c r="I70" t="str">
        <f>IF(COUNTIF(BudgetAppropData[CFDA], MemberOrgsData[[#This Row],[CFDA]]), "Yes", "No")</f>
        <v>Yes</v>
      </c>
      <c r="J70">
        <f>(COUNTIF(D$2:D70,D70)=1)*1</f>
        <v>0</v>
      </c>
    </row>
    <row r="71" spans="1:10" x14ac:dyDescent="0.25">
      <c r="A71" t="s">
        <v>130</v>
      </c>
      <c r="B71">
        <v>2018</v>
      </c>
      <c r="C71">
        <v>16544</v>
      </c>
      <c r="D71" t="s">
        <v>23</v>
      </c>
      <c r="E71">
        <v>93.563000000000002</v>
      </c>
      <c r="F71" t="s">
        <v>98</v>
      </c>
      <c r="G71">
        <v>34882</v>
      </c>
      <c r="H71">
        <v>34882</v>
      </c>
      <c r="I71" t="str">
        <f>IF(COUNTIF(BudgetAppropData[CFDA], MemberOrgsData[[#This Row],[CFDA]]), "Yes", "No")</f>
        <v>Yes</v>
      </c>
      <c r="J71">
        <f>(COUNTIF(D$2:D71,D71)=1)*1</f>
        <v>0</v>
      </c>
    </row>
    <row r="72" spans="1:10" x14ac:dyDescent="0.25">
      <c r="A72" t="s">
        <v>130</v>
      </c>
      <c r="B72">
        <v>2018</v>
      </c>
      <c r="C72">
        <v>16544</v>
      </c>
      <c r="D72" t="s">
        <v>23</v>
      </c>
      <c r="E72">
        <v>93.569000000000003</v>
      </c>
      <c r="F72" t="s">
        <v>31</v>
      </c>
      <c r="G72">
        <v>98785</v>
      </c>
      <c r="H72">
        <v>260979</v>
      </c>
      <c r="I72" t="str">
        <f>IF(COUNTIF(BudgetAppropData[CFDA], MemberOrgsData[[#This Row],[CFDA]]), "Yes", "No")</f>
        <v>Yes</v>
      </c>
      <c r="J72">
        <f>(COUNTIF(D$2:D72,D72)=1)*1</f>
        <v>0</v>
      </c>
    </row>
    <row r="73" spans="1:10" x14ac:dyDescent="0.25">
      <c r="A73" t="s">
        <v>130</v>
      </c>
      <c r="B73">
        <v>2018</v>
      </c>
      <c r="C73">
        <v>16544</v>
      </c>
      <c r="D73" t="s">
        <v>23</v>
      </c>
      <c r="E73">
        <v>93.569000000000003</v>
      </c>
      <c r="F73" t="s">
        <v>31</v>
      </c>
      <c r="G73">
        <v>93192</v>
      </c>
      <c r="H73">
        <v>260979</v>
      </c>
      <c r="I73" t="str">
        <f>IF(COUNTIF(BudgetAppropData[CFDA], MemberOrgsData[[#This Row],[CFDA]]), "Yes", "No")</f>
        <v>Yes</v>
      </c>
      <c r="J73">
        <f>(COUNTIF(D$2:D73,D73)=1)*1</f>
        <v>0</v>
      </c>
    </row>
    <row r="74" spans="1:10" x14ac:dyDescent="0.25">
      <c r="A74" t="s">
        <v>130</v>
      </c>
      <c r="B74">
        <v>2018</v>
      </c>
      <c r="C74">
        <v>16544</v>
      </c>
      <c r="D74" t="s">
        <v>23</v>
      </c>
      <c r="E74">
        <v>93.569000000000003</v>
      </c>
      <c r="F74" t="s">
        <v>31</v>
      </c>
      <c r="G74">
        <v>55398</v>
      </c>
      <c r="H74">
        <v>260979</v>
      </c>
      <c r="I74" t="str">
        <f>IF(COUNTIF(BudgetAppropData[CFDA], MemberOrgsData[[#This Row],[CFDA]]), "Yes", "No")</f>
        <v>Yes</v>
      </c>
      <c r="J74">
        <f>(COUNTIF(D$2:D74,D74)=1)*1</f>
        <v>0</v>
      </c>
    </row>
    <row r="75" spans="1:10" x14ac:dyDescent="0.25">
      <c r="A75" t="s">
        <v>130</v>
      </c>
      <c r="B75">
        <v>2018</v>
      </c>
      <c r="C75">
        <v>16544</v>
      </c>
      <c r="D75" t="s">
        <v>23</v>
      </c>
      <c r="E75">
        <v>93.569000000000003</v>
      </c>
      <c r="F75" t="s">
        <v>31</v>
      </c>
      <c r="G75">
        <v>7500</v>
      </c>
      <c r="H75">
        <v>260979</v>
      </c>
      <c r="I75" t="str">
        <f>IF(COUNTIF(BudgetAppropData[CFDA], MemberOrgsData[[#This Row],[CFDA]]), "Yes", "No")</f>
        <v>Yes</v>
      </c>
      <c r="J75">
        <f>(COUNTIF(D$2:D75,D75)=1)*1</f>
        <v>0</v>
      </c>
    </row>
    <row r="76" spans="1:10" x14ac:dyDescent="0.25">
      <c r="A76" t="s">
        <v>130</v>
      </c>
      <c r="B76">
        <v>2018</v>
      </c>
      <c r="C76">
        <v>16544</v>
      </c>
      <c r="D76" t="s">
        <v>23</v>
      </c>
      <c r="E76">
        <v>93.569000000000003</v>
      </c>
      <c r="F76" t="s">
        <v>31</v>
      </c>
      <c r="G76">
        <v>6104</v>
      </c>
      <c r="H76">
        <v>260979</v>
      </c>
      <c r="I76" t="str">
        <f>IF(COUNTIF(BudgetAppropData[CFDA], MemberOrgsData[[#This Row],[CFDA]]), "Yes", "No")</f>
        <v>Yes</v>
      </c>
      <c r="J76">
        <f>(COUNTIF(D$2:D76,D76)=1)*1</f>
        <v>0</v>
      </c>
    </row>
    <row r="77" spans="1:10" x14ac:dyDescent="0.25">
      <c r="A77" t="s">
        <v>130</v>
      </c>
      <c r="B77">
        <v>2018</v>
      </c>
      <c r="C77">
        <v>16544</v>
      </c>
      <c r="D77" t="s">
        <v>23</v>
      </c>
      <c r="E77">
        <v>93.575000000000003</v>
      </c>
      <c r="F77" t="s">
        <v>32</v>
      </c>
      <c r="G77">
        <v>64166</v>
      </c>
      <c r="H77">
        <v>1749313</v>
      </c>
      <c r="I77" t="str">
        <f>IF(COUNTIF(BudgetAppropData[CFDA], MemberOrgsData[[#This Row],[CFDA]]), "Yes", "No")</f>
        <v>Yes</v>
      </c>
      <c r="J77">
        <f>(COUNTIF(D$2:D77,D77)=1)*1</f>
        <v>0</v>
      </c>
    </row>
    <row r="78" spans="1:10" x14ac:dyDescent="0.25">
      <c r="A78" t="s">
        <v>130</v>
      </c>
      <c r="B78">
        <v>2018</v>
      </c>
      <c r="C78">
        <v>16544</v>
      </c>
      <c r="D78" t="s">
        <v>23</v>
      </c>
      <c r="E78">
        <v>93.575000000000003</v>
      </c>
      <c r="F78" t="s">
        <v>32</v>
      </c>
      <c r="G78">
        <v>1685147</v>
      </c>
      <c r="H78">
        <v>1749313</v>
      </c>
      <c r="I78" t="str">
        <f>IF(COUNTIF(BudgetAppropData[CFDA], MemberOrgsData[[#This Row],[CFDA]]), "Yes", "No")</f>
        <v>Yes</v>
      </c>
      <c r="J78">
        <f>(COUNTIF(D$2:D78,D78)=1)*1</f>
        <v>0</v>
      </c>
    </row>
    <row r="79" spans="1:10" x14ac:dyDescent="0.25">
      <c r="A79" t="s">
        <v>130</v>
      </c>
      <c r="B79">
        <v>2018</v>
      </c>
      <c r="C79">
        <v>16544</v>
      </c>
      <c r="D79" t="s">
        <v>23</v>
      </c>
      <c r="E79">
        <v>93.667000000000002</v>
      </c>
      <c r="F79" t="s">
        <v>22</v>
      </c>
      <c r="G79">
        <v>99320</v>
      </c>
      <c r="H79">
        <v>369621</v>
      </c>
      <c r="I79" t="str">
        <f>IF(COUNTIF(BudgetAppropData[CFDA], MemberOrgsData[[#This Row],[CFDA]]), "Yes", "No")</f>
        <v>Yes</v>
      </c>
      <c r="J79">
        <f>(COUNTIF(D$2:D79,D79)=1)*1</f>
        <v>0</v>
      </c>
    </row>
    <row r="80" spans="1:10" x14ac:dyDescent="0.25">
      <c r="A80" t="s">
        <v>130</v>
      </c>
      <c r="B80">
        <v>2018</v>
      </c>
      <c r="C80">
        <v>16544</v>
      </c>
      <c r="D80" t="s">
        <v>23</v>
      </c>
      <c r="E80">
        <v>93.667000000000002</v>
      </c>
      <c r="F80" t="s">
        <v>22</v>
      </c>
      <c r="G80">
        <v>145365</v>
      </c>
      <c r="H80">
        <v>369621</v>
      </c>
      <c r="I80" t="str">
        <f>IF(COUNTIF(BudgetAppropData[CFDA], MemberOrgsData[[#This Row],[CFDA]]), "Yes", "No")</f>
        <v>Yes</v>
      </c>
      <c r="J80">
        <f>(COUNTIF(D$2:D80,D80)=1)*1</f>
        <v>0</v>
      </c>
    </row>
    <row r="81" spans="1:10" x14ac:dyDescent="0.25">
      <c r="A81" t="s">
        <v>130</v>
      </c>
      <c r="B81">
        <v>2018</v>
      </c>
      <c r="C81">
        <v>16544</v>
      </c>
      <c r="D81" t="s">
        <v>23</v>
      </c>
      <c r="E81">
        <v>93.667000000000002</v>
      </c>
      <c r="F81" t="s">
        <v>22</v>
      </c>
      <c r="G81">
        <v>114761</v>
      </c>
      <c r="H81">
        <v>369621</v>
      </c>
      <c r="I81" t="str">
        <f>IF(COUNTIF(BudgetAppropData[CFDA], MemberOrgsData[[#This Row],[CFDA]]), "Yes", "No")</f>
        <v>Yes</v>
      </c>
      <c r="J81">
        <f>(COUNTIF(D$2:D81,D81)=1)*1</f>
        <v>0</v>
      </c>
    </row>
    <row r="82" spans="1:10" x14ac:dyDescent="0.25">
      <c r="A82" t="s">
        <v>130</v>
      </c>
      <c r="B82">
        <v>2018</v>
      </c>
      <c r="C82">
        <v>16544</v>
      </c>
      <c r="D82" t="s">
        <v>23</v>
      </c>
      <c r="E82">
        <v>93.667000000000002</v>
      </c>
      <c r="F82" t="s">
        <v>22</v>
      </c>
      <c r="G82">
        <v>10175</v>
      </c>
      <c r="H82">
        <v>369621</v>
      </c>
      <c r="I82" t="str">
        <f>IF(COUNTIF(BudgetAppropData[CFDA], MemberOrgsData[[#This Row],[CFDA]]), "Yes", "No")</f>
        <v>Yes</v>
      </c>
      <c r="J82">
        <f>(COUNTIF(D$2:D82,D82)=1)*1</f>
        <v>0</v>
      </c>
    </row>
    <row r="83" spans="1:10" x14ac:dyDescent="0.25">
      <c r="A83" t="s">
        <v>144</v>
      </c>
      <c r="B83">
        <v>2018</v>
      </c>
      <c r="C83">
        <v>245483</v>
      </c>
      <c r="D83" t="s">
        <v>94</v>
      </c>
      <c r="E83">
        <v>10.558</v>
      </c>
      <c r="F83" t="s">
        <v>24</v>
      </c>
      <c r="G83">
        <v>453659</v>
      </c>
      <c r="H83">
        <v>453659</v>
      </c>
      <c r="I83" t="str">
        <f>IF(COUNTIF(BudgetAppropData[CFDA], MemberOrgsData[[#This Row],[CFDA]]), "Yes", "No")</f>
        <v>Yes</v>
      </c>
      <c r="J83">
        <f>(COUNTIF(D$2:D83,D83)=1)*1</f>
        <v>1</v>
      </c>
    </row>
    <row r="84" spans="1:10" x14ac:dyDescent="0.25">
      <c r="A84" t="s">
        <v>144</v>
      </c>
      <c r="B84">
        <v>2018</v>
      </c>
      <c r="C84">
        <v>245483</v>
      </c>
      <c r="D84" t="s">
        <v>94</v>
      </c>
      <c r="E84">
        <v>93.575000000000003</v>
      </c>
      <c r="F84" t="s">
        <v>32</v>
      </c>
      <c r="G84">
        <v>1012780</v>
      </c>
      <c r="H84">
        <v>1012780</v>
      </c>
      <c r="I84" t="str">
        <f>IF(COUNTIF(BudgetAppropData[CFDA], MemberOrgsData[[#This Row],[CFDA]]), "Yes", "No")</f>
        <v>Yes</v>
      </c>
      <c r="J84">
        <f>(COUNTIF(D$2:D84,D84)=1)*1</f>
        <v>0</v>
      </c>
    </row>
    <row r="85" spans="1:10" x14ac:dyDescent="0.25">
      <c r="A85" t="s">
        <v>8</v>
      </c>
      <c r="B85">
        <v>2018</v>
      </c>
      <c r="C85">
        <v>207317</v>
      </c>
      <c r="D85" t="s">
        <v>37</v>
      </c>
      <c r="E85">
        <v>10.558</v>
      </c>
      <c r="F85" t="s">
        <v>24</v>
      </c>
      <c r="G85">
        <v>2003872</v>
      </c>
      <c r="H85">
        <v>2003872</v>
      </c>
      <c r="I85" t="str">
        <f>IF(COUNTIF(BudgetAppropData[CFDA], MemberOrgsData[[#This Row],[CFDA]]), "Yes", "No")</f>
        <v>Yes</v>
      </c>
      <c r="J85">
        <f>(COUNTIF(D$2:D85,D85)=1)*1</f>
        <v>1</v>
      </c>
    </row>
    <row r="86" spans="1:10" x14ac:dyDescent="0.25">
      <c r="A86" t="s">
        <v>8</v>
      </c>
      <c r="B86">
        <v>2018</v>
      </c>
      <c r="C86">
        <v>207317</v>
      </c>
      <c r="D86" t="s">
        <v>37</v>
      </c>
      <c r="E86">
        <v>93.6</v>
      </c>
      <c r="F86" t="s">
        <v>20</v>
      </c>
      <c r="G86">
        <v>2335857</v>
      </c>
      <c r="H86">
        <v>2335857</v>
      </c>
      <c r="I86" t="str">
        <f>IF(COUNTIF(BudgetAppropData[CFDA], MemberOrgsData[[#This Row],[CFDA]]), "Yes", "No")</f>
        <v>Yes</v>
      </c>
      <c r="J86">
        <f>(COUNTIF(D$2:D86,D86)=1)*1</f>
        <v>0</v>
      </c>
    </row>
    <row r="87" spans="1:10" x14ac:dyDescent="0.25">
      <c r="A87" t="s">
        <v>144</v>
      </c>
      <c r="B87">
        <v>2018</v>
      </c>
      <c r="C87">
        <v>9545</v>
      </c>
      <c r="D87" t="s">
        <v>38</v>
      </c>
      <c r="E87">
        <v>14.252000000000001</v>
      </c>
      <c r="F87" t="s">
        <v>112</v>
      </c>
      <c r="G87">
        <v>50000</v>
      </c>
      <c r="H87">
        <v>50000</v>
      </c>
      <c r="I87" t="str">
        <f>IF(COUNTIF(BudgetAppropData[CFDA], MemberOrgsData[[#This Row],[CFDA]]), "Yes", "No")</f>
        <v>No</v>
      </c>
      <c r="J87">
        <f>(COUNTIF(D$2:D87,D87)=1)*1</f>
        <v>1</v>
      </c>
    </row>
    <row r="88" spans="1:10" x14ac:dyDescent="0.25">
      <c r="A88" t="s">
        <v>144</v>
      </c>
      <c r="B88">
        <v>2018</v>
      </c>
      <c r="C88">
        <v>9545</v>
      </c>
      <c r="D88" t="s">
        <v>38</v>
      </c>
      <c r="E88">
        <v>84.043999999999997</v>
      </c>
      <c r="F88" t="s">
        <v>109</v>
      </c>
      <c r="G88">
        <v>246912</v>
      </c>
      <c r="H88">
        <v>246912</v>
      </c>
      <c r="I88" t="str">
        <f>IF(COUNTIF(BudgetAppropData[CFDA], MemberOrgsData[[#This Row],[CFDA]]), "Yes", "No")</f>
        <v>No</v>
      </c>
      <c r="J88">
        <f>(COUNTIF(D$2:D88,D88)=1)*1</f>
        <v>0</v>
      </c>
    </row>
    <row r="89" spans="1:10" x14ac:dyDescent="0.25">
      <c r="A89" t="s">
        <v>144</v>
      </c>
      <c r="B89">
        <v>2018</v>
      </c>
      <c r="C89">
        <v>9545</v>
      </c>
      <c r="D89" t="s">
        <v>38</v>
      </c>
      <c r="E89">
        <v>94.006</v>
      </c>
      <c r="F89" t="s">
        <v>70</v>
      </c>
      <c r="G89">
        <v>150822</v>
      </c>
      <c r="H89">
        <v>150822</v>
      </c>
      <c r="I89" t="str">
        <f>IF(COUNTIF(BudgetAppropData[CFDA], MemberOrgsData[[#This Row],[CFDA]]), "Yes", "No")</f>
        <v>No</v>
      </c>
      <c r="J89">
        <f>(COUNTIF(D$2:D89,D89)=1)*1</f>
        <v>0</v>
      </c>
    </row>
    <row r="90" spans="1:10" x14ac:dyDescent="0.25">
      <c r="A90" t="s">
        <v>144</v>
      </c>
      <c r="B90">
        <v>2018</v>
      </c>
      <c r="C90">
        <v>9545</v>
      </c>
      <c r="D90" t="s">
        <v>38</v>
      </c>
      <c r="E90">
        <v>14.218</v>
      </c>
      <c r="F90" t="s">
        <v>25</v>
      </c>
      <c r="G90">
        <v>472329</v>
      </c>
      <c r="H90">
        <v>472329</v>
      </c>
      <c r="I90" t="str">
        <f>IF(COUNTIF(BudgetAppropData[CFDA], MemberOrgsData[[#This Row],[CFDA]]), "Yes", "No")</f>
        <v>No</v>
      </c>
      <c r="J90">
        <f>(COUNTIF(D$2:D90,D90)=1)*1</f>
        <v>0</v>
      </c>
    </row>
    <row r="91" spans="1:10" x14ac:dyDescent="0.25">
      <c r="A91" t="s">
        <v>144</v>
      </c>
      <c r="B91">
        <v>2018</v>
      </c>
      <c r="C91">
        <v>9545</v>
      </c>
      <c r="D91" t="s">
        <v>38</v>
      </c>
      <c r="E91">
        <v>17.259</v>
      </c>
      <c r="F91" t="s">
        <v>27</v>
      </c>
      <c r="G91">
        <v>530750</v>
      </c>
      <c r="H91">
        <v>530750</v>
      </c>
      <c r="I91" t="str">
        <f>IF(COUNTIF(BudgetAppropData[CFDA], MemberOrgsData[[#This Row],[CFDA]]), "Yes", "No")</f>
        <v>Yes</v>
      </c>
      <c r="J91">
        <f>(COUNTIF(D$2:D91,D91)=1)*1</f>
        <v>0</v>
      </c>
    </row>
    <row r="92" spans="1:10" x14ac:dyDescent="0.25">
      <c r="A92" t="s">
        <v>144</v>
      </c>
      <c r="B92">
        <v>2018</v>
      </c>
      <c r="C92">
        <v>9545</v>
      </c>
      <c r="D92" t="s">
        <v>38</v>
      </c>
      <c r="E92">
        <v>84.001999999999995</v>
      </c>
      <c r="F92" t="s">
        <v>40</v>
      </c>
      <c r="G92">
        <v>486216</v>
      </c>
      <c r="H92">
        <v>486216</v>
      </c>
      <c r="I92" t="str">
        <f>IF(COUNTIF(BudgetAppropData[CFDA], MemberOrgsData[[#This Row],[CFDA]]), "Yes", "No")</f>
        <v>Yes</v>
      </c>
      <c r="J92">
        <f>(COUNTIF(D$2:D92,D92)=1)*1</f>
        <v>0</v>
      </c>
    </row>
    <row r="93" spans="1:10" x14ac:dyDescent="0.25">
      <c r="A93" t="s">
        <v>144</v>
      </c>
      <c r="B93">
        <v>2018</v>
      </c>
      <c r="C93">
        <v>9545</v>
      </c>
      <c r="D93" t="s">
        <v>38</v>
      </c>
      <c r="E93">
        <v>84.287000000000006</v>
      </c>
      <c r="F93" t="s">
        <v>41</v>
      </c>
      <c r="G93">
        <v>1106941</v>
      </c>
      <c r="H93">
        <v>1106941</v>
      </c>
      <c r="I93" t="str">
        <f>IF(COUNTIF(BudgetAppropData[CFDA], MemberOrgsData[[#This Row],[CFDA]]), "Yes", "No")</f>
        <v>Yes</v>
      </c>
      <c r="J93">
        <f>(COUNTIF(D$2:D93,D93)=1)*1</f>
        <v>0</v>
      </c>
    </row>
    <row r="94" spans="1:10" x14ac:dyDescent="0.25">
      <c r="A94" t="s">
        <v>144</v>
      </c>
      <c r="B94">
        <v>2018</v>
      </c>
      <c r="C94">
        <v>9545</v>
      </c>
      <c r="D94" t="s">
        <v>38</v>
      </c>
      <c r="E94">
        <v>93.569000000000003</v>
      </c>
      <c r="F94" t="s">
        <v>31</v>
      </c>
      <c r="G94">
        <v>74840</v>
      </c>
      <c r="H94">
        <v>164413</v>
      </c>
      <c r="I94" t="str">
        <f>IF(COUNTIF(BudgetAppropData[CFDA], MemberOrgsData[[#This Row],[CFDA]]), "Yes", "No")</f>
        <v>Yes</v>
      </c>
      <c r="J94">
        <f>(COUNTIF(D$2:D94,D94)=1)*1</f>
        <v>0</v>
      </c>
    </row>
    <row r="95" spans="1:10" x14ac:dyDescent="0.25">
      <c r="A95" t="s">
        <v>144</v>
      </c>
      <c r="B95">
        <v>2018</v>
      </c>
      <c r="C95">
        <v>9545</v>
      </c>
      <c r="D95" t="s">
        <v>38</v>
      </c>
      <c r="E95">
        <v>93.569000000000003</v>
      </c>
      <c r="F95" t="s">
        <v>31</v>
      </c>
      <c r="G95">
        <v>89573</v>
      </c>
      <c r="H95">
        <v>164413</v>
      </c>
      <c r="I95" t="str">
        <f>IF(COUNTIF(BudgetAppropData[CFDA], MemberOrgsData[[#This Row],[CFDA]]), "Yes", "No")</f>
        <v>Yes</v>
      </c>
      <c r="J95">
        <f>(COUNTIF(D$2:D95,D95)=1)*1</f>
        <v>0</v>
      </c>
    </row>
    <row r="96" spans="1:10" x14ac:dyDescent="0.25">
      <c r="A96" t="s">
        <v>130</v>
      </c>
      <c r="B96">
        <v>2018</v>
      </c>
      <c r="C96">
        <v>11678</v>
      </c>
      <c r="D96" t="s">
        <v>42</v>
      </c>
      <c r="E96">
        <v>10.561</v>
      </c>
      <c r="F96" t="s">
        <v>111</v>
      </c>
      <c r="G96">
        <v>54871</v>
      </c>
      <c r="H96">
        <v>54871</v>
      </c>
      <c r="I96" t="str">
        <f>IF(COUNTIF(BudgetAppropData[CFDA], MemberOrgsData[[#This Row],[CFDA]]), "Yes", "No")</f>
        <v>No</v>
      </c>
      <c r="J96">
        <f>(COUNTIF(D$2:D96,D96)=1)*1</f>
        <v>1</v>
      </c>
    </row>
    <row r="97" spans="1:10" x14ac:dyDescent="0.25">
      <c r="A97" t="s">
        <v>130</v>
      </c>
      <c r="B97">
        <v>2018</v>
      </c>
      <c r="C97">
        <v>11678</v>
      </c>
      <c r="D97" t="s">
        <v>42</v>
      </c>
      <c r="E97">
        <v>10.558</v>
      </c>
      <c r="F97" t="s">
        <v>24</v>
      </c>
      <c r="G97">
        <v>1660777</v>
      </c>
      <c r="H97">
        <v>1660777</v>
      </c>
      <c r="I97" t="str">
        <f>IF(COUNTIF(BudgetAppropData[CFDA], MemberOrgsData[[#This Row],[CFDA]]), "Yes", "No")</f>
        <v>Yes</v>
      </c>
      <c r="J97">
        <f>(COUNTIF(D$2:D97,D97)=1)*1</f>
        <v>0</v>
      </c>
    </row>
    <row r="98" spans="1:10" x14ac:dyDescent="0.25">
      <c r="A98" t="s">
        <v>130</v>
      </c>
      <c r="B98">
        <v>2018</v>
      </c>
      <c r="C98">
        <v>11678</v>
      </c>
      <c r="D98" t="s">
        <v>42</v>
      </c>
      <c r="E98">
        <v>93.575000000000003</v>
      </c>
      <c r="F98" t="s">
        <v>32</v>
      </c>
      <c r="G98">
        <v>6888552</v>
      </c>
      <c r="H98">
        <v>6888552</v>
      </c>
      <c r="I98" t="str">
        <f>IF(COUNTIF(BudgetAppropData[CFDA], MemberOrgsData[[#This Row],[CFDA]]), "Yes", "No")</f>
        <v>Yes</v>
      </c>
      <c r="J98">
        <f>(COUNTIF(D$2:D98,D98)=1)*1</f>
        <v>0</v>
      </c>
    </row>
    <row r="99" spans="1:10" x14ac:dyDescent="0.25">
      <c r="A99" t="s">
        <v>144</v>
      </c>
      <c r="B99">
        <v>2018</v>
      </c>
      <c r="C99">
        <v>10613</v>
      </c>
      <c r="D99" t="s">
        <v>72</v>
      </c>
      <c r="E99">
        <v>84.01</v>
      </c>
      <c r="F99" t="s">
        <v>73</v>
      </c>
      <c r="G99">
        <v>251872</v>
      </c>
      <c r="H99">
        <v>251872</v>
      </c>
      <c r="I99" t="str">
        <f>IF(COUNTIF(BudgetAppropData[CFDA], MemberOrgsData[[#This Row],[CFDA]]), "Yes", "No")</f>
        <v>No</v>
      </c>
      <c r="J99">
        <f>(COUNTIF(D$2:D99,D99)=1)*1</f>
        <v>1</v>
      </c>
    </row>
    <row r="100" spans="1:10" x14ac:dyDescent="0.25">
      <c r="A100" t="s">
        <v>144</v>
      </c>
      <c r="B100">
        <v>2018</v>
      </c>
      <c r="C100">
        <v>10613</v>
      </c>
      <c r="D100" t="s">
        <v>72</v>
      </c>
      <c r="E100">
        <v>84.376999999999995</v>
      </c>
      <c r="F100" t="s">
        <v>118</v>
      </c>
      <c r="G100">
        <v>209989</v>
      </c>
      <c r="H100">
        <v>209989</v>
      </c>
      <c r="I100" t="str">
        <f>IF(COUNTIF(BudgetAppropData[CFDA], MemberOrgsData[[#This Row],[CFDA]]), "Yes", "No")</f>
        <v>No</v>
      </c>
      <c r="J100">
        <f>(COUNTIF(D$2:D100,D100)=1)*1</f>
        <v>0</v>
      </c>
    </row>
    <row r="101" spans="1:10" x14ac:dyDescent="0.25">
      <c r="A101" t="s">
        <v>144</v>
      </c>
      <c r="B101">
        <v>2018</v>
      </c>
      <c r="C101">
        <v>10613</v>
      </c>
      <c r="D101" t="s">
        <v>72</v>
      </c>
      <c r="E101">
        <v>10.558</v>
      </c>
      <c r="F101" t="s">
        <v>24</v>
      </c>
      <c r="G101">
        <v>428040</v>
      </c>
      <c r="H101">
        <v>428040</v>
      </c>
      <c r="I101" t="str">
        <f>IF(COUNTIF(BudgetAppropData[CFDA], MemberOrgsData[[#This Row],[CFDA]]), "Yes", "No")</f>
        <v>Yes</v>
      </c>
      <c r="J101">
        <f>(COUNTIF(D$2:D101,D101)=1)*1</f>
        <v>0</v>
      </c>
    </row>
    <row r="102" spans="1:10" x14ac:dyDescent="0.25">
      <c r="A102" t="s">
        <v>144</v>
      </c>
      <c r="B102">
        <v>2018</v>
      </c>
      <c r="C102">
        <v>10613</v>
      </c>
      <c r="D102" t="s">
        <v>72</v>
      </c>
      <c r="E102">
        <v>93.043999999999997</v>
      </c>
      <c r="F102" t="s">
        <v>113</v>
      </c>
      <c r="G102">
        <v>9375</v>
      </c>
      <c r="H102">
        <v>11501</v>
      </c>
      <c r="I102" t="str">
        <f>IF(COUNTIF(BudgetAppropData[CFDA], MemberOrgsData[[#This Row],[CFDA]]), "Yes", "No")</f>
        <v>Yes</v>
      </c>
      <c r="J102">
        <f>(COUNTIF(D$2:D102,D102)=1)*1</f>
        <v>0</v>
      </c>
    </row>
    <row r="103" spans="1:10" x14ac:dyDescent="0.25">
      <c r="A103" t="s">
        <v>144</v>
      </c>
      <c r="B103">
        <v>2018</v>
      </c>
      <c r="C103">
        <v>10613</v>
      </c>
      <c r="D103" t="s">
        <v>72</v>
      </c>
      <c r="E103">
        <v>93.043999999999997</v>
      </c>
      <c r="F103" t="s">
        <v>113</v>
      </c>
      <c r="G103">
        <v>2126</v>
      </c>
      <c r="H103">
        <v>11501</v>
      </c>
      <c r="I103" t="str">
        <f>IF(COUNTIF(BudgetAppropData[CFDA], MemberOrgsData[[#This Row],[CFDA]]), "Yes", "No")</f>
        <v>Yes</v>
      </c>
      <c r="J103">
        <f>(COUNTIF(D$2:D103,D103)=1)*1</f>
        <v>0</v>
      </c>
    </row>
    <row r="104" spans="1:10" x14ac:dyDescent="0.25">
      <c r="A104" t="s">
        <v>144</v>
      </c>
      <c r="B104">
        <v>2018</v>
      </c>
      <c r="C104">
        <v>10613</v>
      </c>
      <c r="D104" t="s">
        <v>72</v>
      </c>
      <c r="E104">
        <v>93.052999999999997</v>
      </c>
      <c r="F104" t="s">
        <v>28</v>
      </c>
      <c r="G104">
        <v>23477</v>
      </c>
      <c r="H104">
        <v>32632</v>
      </c>
      <c r="I104" t="str">
        <f>IF(COUNTIF(BudgetAppropData[CFDA], MemberOrgsData[[#This Row],[CFDA]]), "Yes", "No")</f>
        <v>Yes</v>
      </c>
      <c r="J104">
        <f>(COUNTIF(D$2:D104,D104)=1)*1</f>
        <v>0</v>
      </c>
    </row>
    <row r="105" spans="1:10" x14ac:dyDescent="0.25">
      <c r="A105" t="s">
        <v>144</v>
      </c>
      <c r="B105">
        <v>2018</v>
      </c>
      <c r="C105">
        <v>10613</v>
      </c>
      <c r="D105" t="s">
        <v>72</v>
      </c>
      <c r="E105">
        <v>93.052999999999997</v>
      </c>
      <c r="F105" t="s">
        <v>28</v>
      </c>
      <c r="G105">
        <v>9155</v>
      </c>
      <c r="H105">
        <v>32632</v>
      </c>
      <c r="I105" t="str">
        <f>IF(COUNTIF(BudgetAppropData[CFDA], MemberOrgsData[[#This Row],[CFDA]]), "Yes", "No")</f>
        <v>Yes</v>
      </c>
      <c r="J105">
        <f>(COUNTIF(D$2:D105,D105)=1)*1</f>
        <v>0</v>
      </c>
    </row>
    <row r="106" spans="1:10" x14ac:dyDescent="0.25">
      <c r="A106" t="s">
        <v>144</v>
      </c>
      <c r="B106">
        <v>2018</v>
      </c>
      <c r="C106">
        <v>10613</v>
      </c>
      <c r="D106" t="s">
        <v>72</v>
      </c>
      <c r="E106">
        <v>93.569000000000003</v>
      </c>
      <c r="F106" t="s">
        <v>31</v>
      </c>
      <c r="G106">
        <v>78747</v>
      </c>
      <c r="H106">
        <v>233283</v>
      </c>
      <c r="I106" t="str">
        <f>IF(COUNTIF(BudgetAppropData[CFDA], MemberOrgsData[[#This Row],[CFDA]]), "Yes", "No")</f>
        <v>Yes</v>
      </c>
      <c r="J106">
        <f>(COUNTIF(D$2:D106,D106)=1)*1</f>
        <v>0</v>
      </c>
    </row>
    <row r="107" spans="1:10" x14ac:dyDescent="0.25">
      <c r="A107" t="s">
        <v>144</v>
      </c>
      <c r="B107">
        <v>2018</v>
      </c>
      <c r="C107">
        <v>10613</v>
      </c>
      <c r="D107" t="s">
        <v>72</v>
      </c>
      <c r="E107">
        <v>93.569000000000003</v>
      </c>
      <c r="F107" t="s">
        <v>31</v>
      </c>
      <c r="G107">
        <v>39600</v>
      </c>
      <c r="H107">
        <v>233283</v>
      </c>
      <c r="I107" t="str">
        <f>IF(COUNTIF(BudgetAppropData[CFDA], MemberOrgsData[[#This Row],[CFDA]]), "Yes", "No")</f>
        <v>Yes</v>
      </c>
      <c r="J107">
        <f>(COUNTIF(D$2:D107,D107)=1)*1</f>
        <v>0</v>
      </c>
    </row>
    <row r="108" spans="1:10" x14ac:dyDescent="0.25">
      <c r="A108" t="s">
        <v>144</v>
      </c>
      <c r="B108">
        <v>2018</v>
      </c>
      <c r="C108">
        <v>10613</v>
      </c>
      <c r="D108" t="s">
        <v>72</v>
      </c>
      <c r="E108">
        <v>93.569000000000003</v>
      </c>
      <c r="F108" t="s">
        <v>31</v>
      </c>
      <c r="G108">
        <v>114936</v>
      </c>
      <c r="H108">
        <v>233283</v>
      </c>
      <c r="I108" t="str">
        <f>IF(COUNTIF(BudgetAppropData[CFDA], MemberOrgsData[[#This Row],[CFDA]]), "Yes", "No")</f>
        <v>Yes</v>
      </c>
      <c r="J108">
        <f>(COUNTIF(D$2:D108,D108)=1)*1</f>
        <v>0</v>
      </c>
    </row>
    <row r="109" spans="1:10" x14ac:dyDescent="0.25">
      <c r="A109" t="s">
        <v>144</v>
      </c>
      <c r="B109">
        <v>2018</v>
      </c>
      <c r="C109">
        <v>10613</v>
      </c>
      <c r="D109" t="s">
        <v>72</v>
      </c>
      <c r="E109">
        <v>93.6</v>
      </c>
      <c r="F109" t="s">
        <v>20</v>
      </c>
      <c r="G109">
        <v>2300810</v>
      </c>
      <c r="H109">
        <v>2300810</v>
      </c>
      <c r="I109" t="str">
        <f>IF(COUNTIF(BudgetAppropData[CFDA], MemberOrgsData[[#This Row],[CFDA]]), "Yes", "No")</f>
        <v>Yes</v>
      </c>
      <c r="J109">
        <f>(COUNTIF(D$2:D109,D109)=1)*1</f>
        <v>0</v>
      </c>
    </row>
    <row r="110" spans="1:10" x14ac:dyDescent="0.25">
      <c r="A110" t="s">
        <v>144</v>
      </c>
      <c r="B110">
        <v>2018</v>
      </c>
      <c r="C110">
        <v>10613</v>
      </c>
      <c r="D110" t="s">
        <v>72</v>
      </c>
      <c r="E110">
        <v>93.667000000000002</v>
      </c>
      <c r="F110" t="s">
        <v>22</v>
      </c>
      <c r="G110">
        <v>3056</v>
      </c>
      <c r="H110">
        <v>6160</v>
      </c>
      <c r="I110" t="str">
        <f>IF(COUNTIF(BudgetAppropData[CFDA], MemberOrgsData[[#This Row],[CFDA]]), "Yes", "No")</f>
        <v>Yes</v>
      </c>
      <c r="J110">
        <f>(COUNTIF(D$2:D110,D110)=1)*1</f>
        <v>0</v>
      </c>
    </row>
    <row r="111" spans="1:10" x14ac:dyDescent="0.25">
      <c r="A111" t="s">
        <v>144</v>
      </c>
      <c r="B111">
        <v>2018</v>
      </c>
      <c r="C111">
        <v>10613</v>
      </c>
      <c r="D111" t="s">
        <v>72</v>
      </c>
      <c r="E111">
        <v>93.667000000000002</v>
      </c>
      <c r="F111" t="s">
        <v>22</v>
      </c>
      <c r="G111">
        <v>3104</v>
      </c>
      <c r="H111">
        <v>6160</v>
      </c>
      <c r="I111" t="str">
        <f>IF(COUNTIF(BudgetAppropData[CFDA], MemberOrgsData[[#This Row],[CFDA]]), "Yes", "No")</f>
        <v>Yes</v>
      </c>
      <c r="J111">
        <f>(COUNTIF(D$2:D111,D111)=1)*1</f>
        <v>0</v>
      </c>
    </row>
    <row r="112" spans="1:10" x14ac:dyDescent="0.25">
      <c r="A112" t="s">
        <v>136</v>
      </c>
      <c r="B112">
        <v>2018</v>
      </c>
      <c r="C112">
        <v>248102</v>
      </c>
      <c r="D112" t="s">
        <v>43</v>
      </c>
      <c r="E112">
        <v>16.574999999999999</v>
      </c>
      <c r="F112" t="s">
        <v>56</v>
      </c>
      <c r="G112">
        <v>139992</v>
      </c>
      <c r="H112">
        <v>139992</v>
      </c>
      <c r="I112" t="str">
        <f>IF(COUNTIF(BudgetAppropData[CFDA], MemberOrgsData[[#This Row],[CFDA]]), "Yes", "No")</f>
        <v>No</v>
      </c>
      <c r="J112">
        <f>(COUNTIF(D$2:D112,D112)=1)*1</f>
        <v>1</v>
      </c>
    </row>
    <row r="113" spans="1:10" x14ac:dyDescent="0.25">
      <c r="A113" t="s">
        <v>136</v>
      </c>
      <c r="B113">
        <v>2018</v>
      </c>
      <c r="C113">
        <v>248102</v>
      </c>
      <c r="D113" t="s">
        <v>43</v>
      </c>
      <c r="E113">
        <v>93.296999999999997</v>
      </c>
      <c r="F113" t="s">
        <v>92</v>
      </c>
      <c r="G113">
        <v>30750</v>
      </c>
      <c r="H113">
        <v>30750</v>
      </c>
      <c r="I113" t="str">
        <f>IF(COUNTIF(BudgetAppropData[CFDA], MemberOrgsData[[#This Row],[CFDA]]), "Yes", "No")</f>
        <v>No</v>
      </c>
      <c r="J113">
        <f>(COUNTIF(D$2:D113,D113)=1)*1</f>
        <v>0</v>
      </c>
    </row>
    <row r="114" spans="1:10" x14ac:dyDescent="0.25">
      <c r="A114" t="s">
        <v>136</v>
      </c>
      <c r="B114">
        <v>2018</v>
      </c>
      <c r="C114">
        <v>248102</v>
      </c>
      <c r="D114" t="s">
        <v>43</v>
      </c>
      <c r="E114">
        <v>93.558000000000007</v>
      </c>
      <c r="F114" t="s">
        <v>30</v>
      </c>
      <c r="G114">
        <v>120156</v>
      </c>
      <c r="H114">
        <v>120156</v>
      </c>
      <c r="I114" t="str">
        <f>IF(COUNTIF(BudgetAppropData[CFDA], MemberOrgsData[[#This Row],[CFDA]]), "Yes", "No")</f>
        <v>Yes</v>
      </c>
      <c r="J114">
        <f>(COUNTIF(D$2:D114,D114)=1)*1</f>
        <v>0</v>
      </c>
    </row>
    <row r="115" spans="1:10" x14ac:dyDescent="0.25">
      <c r="A115" t="s">
        <v>136</v>
      </c>
      <c r="B115">
        <v>2018</v>
      </c>
      <c r="C115">
        <v>248102</v>
      </c>
      <c r="D115" t="s">
        <v>43</v>
      </c>
      <c r="E115">
        <v>93.667000000000002</v>
      </c>
      <c r="F115" t="s">
        <v>22</v>
      </c>
      <c r="G115">
        <v>665587</v>
      </c>
      <c r="H115">
        <v>665587</v>
      </c>
      <c r="I115" t="str">
        <f>IF(COUNTIF(BudgetAppropData[CFDA], MemberOrgsData[[#This Row],[CFDA]]), "Yes", "No")</f>
        <v>Yes</v>
      </c>
      <c r="J115">
        <f>(COUNTIF(D$2:D115,D115)=1)*1</f>
        <v>0</v>
      </c>
    </row>
    <row r="116" spans="1:10" x14ac:dyDescent="0.25">
      <c r="A116" t="s">
        <v>144</v>
      </c>
      <c r="B116">
        <v>2018</v>
      </c>
      <c r="C116">
        <v>14641</v>
      </c>
      <c r="D116" t="s">
        <v>74</v>
      </c>
      <c r="E116">
        <v>10.553000000000001</v>
      </c>
      <c r="F116" t="s">
        <v>44</v>
      </c>
      <c r="G116">
        <v>7924</v>
      </c>
      <c r="H116">
        <v>7924</v>
      </c>
      <c r="I116" t="str">
        <f>IF(COUNTIF(BudgetAppropData[CFDA], MemberOrgsData[[#This Row],[CFDA]]), "Yes", "No")</f>
        <v>No</v>
      </c>
      <c r="J116">
        <f>(COUNTIF(D$2:D116,D116)=1)*1</f>
        <v>1</v>
      </c>
    </row>
    <row r="117" spans="1:10" x14ac:dyDescent="0.25">
      <c r="A117" t="s">
        <v>144</v>
      </c>
      <c r="B117">
        <v>2018</v>
      </c>
      <c r="C117">
        <v>14641</v>
      </c>
      <c r="D117" t="s">
        <v>74</v>
      </c>
      <c r="E117">
        <v>10.555</v>
      </c>
      <c r="F117" t="s">
        <v>45</v>
      </c>
      <c r="G117">
        <v>10012</v>
      </c>
      <c r="H117">
        <v>10012</v>
      </c>
      <c r="I117" t="str">
        <f>IF(COUNTIF(BudgetAppropData[CFDA], MemberOrgsData[[#This Row],[CFDA]]), "Yes", "No")</f>
        <v>No</v>
      </c>
      <c r="J117">
        <f>(COUNTIF(D$2:D117,D117)=1)*1</f>
        <v>0</v>
      </c>
    </row>
    <row r="118" spans="1:10" x14ac:dyDescent="0.25">
      <c r="A118" t="s">
        <v>144</v>
      </c>
      <c r="B118">
        <v>2018</v>
      </c>
      <c r="C118">
        <v>14641</v>
      </c>
      <c r="D118" t="s">
        <v>74</v>
      </c>
      <c r="E118">
        <v>14.234999999999999</v>
      </c>
      <c r="F118" t="s">
        <v>11</v>
      </c>
      <c r="G118">
        <v>229908</v>
      </c>
      <c r="H118">
        <v>229908</v>
      </c>
      <c r="I118" t="str">
        <f>IF(COUNTIF(BudgetAppropData[CFDA], MemberOrgsData[[#This Row],[CFDA]]), "Yes", "No")</f>
        <v>No</v>
      </c>
      <c r="J118">
        <f>(COUNTIF(D$2:D118,D118)=1)*1</f>
        <v>0</v>
      </c>
    </row>
    <row r="119" spans="1:10" x14ac:dyDescent="0.25">
      <c r="A119" t="s">
        <v>144</v>
      </c>
      <c r="B119">
        <v>2018</v>
      </c>
      <c r="C119">
        <v>14641</v>
      </c>
      <c r="D119" t="s">
        <v>74</v>
      </c>
      <c r="E119">
        <v>84.173000000000002</v>
      </c>
      <c r="F119" t="s">
        <v>47</v>
      </c>
      <c r="G119">
        <v>6405</v>
      </c>
      <c r="H119">
        <v>6405</v>
      </c>
      <c r="I119" t="str">
        <f>IF(COUNTIF(BudgetAppropData[CFDA], MemberOrgsData[[#This Row],[CFDA]]), "Yes", "No")</f>
        <v>No</v>
      </c>
      <c r="J119">
        <f>(COUNTIF(D$2:D119,D119)=1)*1</f>
        <v>0</v>
      </c>
    </row>
    <row r="120" spans="1:10" x14ac:dyDescent="0.25">
      <c r="A120" t="s">
        <v>144</v>
      </c>
      <c r="B120">
        <v>2018</v>
      </c>
      <c r="C120">
        <v>14641</v>
      </c>
      <c r="D120" t="s">
        <v>74</v>
      </c>
      <c r="E120">
        <v>94.019000000000005</v>
      </c>
      <c r="F120" t="s">
        <v>51</v>
      </c>
      <c r="G120">
        <v>118734</v>
      </c>
      <c r="H120">
        <v>118734</v>
      </c>
      <c r="I120" t="str">
        <f>IF(COUNTIF(BudgetAppropData[CFDA], MemberOrgsData[[#This Row],[CFDA]]), "Yes", "No")</f>
        <v>No</v>
      </c>
      <c r="J120">
        <f>(COUNTIF(D$2:D120,D120)=1)*1</f>
        <v>0</v>
      </c>
    </row>
    <row r="121" spans="1:10" x14ac:dyDescent="0.25">
      <c r="A121" t="s">
        <v>144</v>
      </c>
      <c r="B121">
        <v>2018</v>
      </c>
      <c r="C121">
        <v>14641</v>
      </c>
      <c r="D121" t="s">
        <v>74</v>
      </c>
      <c r="E121">
        <v>10.558</v>
      </c>
      <c r="F121" t="s">
        <v>24</v>
      </c>
      <c r="G121">
        <v>598809</v>
      </c>
      <c r="H121">
        <v>1212015</v>
      </c>
      <c r="I121" t="str">
        <f>IF(COUNTIF(BudgetAppropData[CFDA], MemberOrgsData[[#This Row],[CFDA]]), "Yes", "No")</f>
        <v>Yes</v>
      </c>
      <c r="J121">
        <f>(COUNTIF(D$2:D121,D121)=1)*1</f>
        <v>0</v>
      </c>
    </row>
    <row r="122" spans="1:10" x14ac:dyDescent="0.25">
      <c r="A122" t="s">
        <v>144</v>
      </c>
      <c r="B122">
        <v>2018</v>
      </c>
      <c r="C122">
        <v>14641</v>
      </c>
      <c r="D122" t="s">
        <v>74</v>
      </c>
      <c r="E122">
        <v>10.558</v>
      </c>
      <c r="F122" t="s">
        <v>24</v>
      </c>
      <c r="G122">
        <v>613206</v>
      </c>
      <c r="H122">
        <v>1212015</v>
      </c>
      <c r="I122" t="str">
        <f>IF(COUNTIF(BudgetAppropData[CFDA], MemberOrgsData[[#This Row],[CFDA]]), "Yes", "No")</f>
        <v>Yes</v>
      </c>
      <c r="J122">
        <f>(COUNTIF(D$2:D122,D122)=1)*1</f>
        <v>0</v>
      </c>
    </row>
    <row r="123" spans="1:10" x14ac:dyDescent="0.25">
      <c r="A123" t="s">
        <v>144</v>
      </c>
      <c r="B123">
        <v>2018</v>
      </c>
      <c r="C123">
        <v>14641</v>
      </c>
      <c r="D123" t="s">
        <v>74</v>
      </c>
      <c r="E123">
        <v>14.228</v>
      </c>
      <c r="F123" t="s">
        <v>124</v>
      </c>
      <c r="G123">
        <v>295757</v>
      </c>
      <c r="H123">
        <v>295757</v>
      </c>
      <c r="I123" t="str">
        <f>IF(COUNTIF(BudgetAppropData[CFDA], MemberOrgsData[[#This Row],[CFDA]]), "Yes", "No")</f>
        <v>Yes</v>
      </c>
      <c r="J123">
        <f>(COUNTIF(D$2:D123,D123)=1)*1</f>
        <v>0</v>
      </c>
    </row>
    <row r="124" spans="1:10" x14ac:dyDescent="0.25">
      <c r="A124" t="s">
        <v>144</v>
      </c>
      <c r="B124">
        <v>2018</v>
      </c>
      <c r="C124">
        <v>14641</v>
      </c>
      <c r="D124" t="s">
        <v>74</v>
      </c>
      <c r="E124">
        <v>84.027000000000001</v>
      </c>
      <c r="F124" t="s">
        <v>46</v>
      </c>
      <c r="G124">
        <v>48285</v>
      </c>
      <c r="H124">
        <v>48285</v>
      </c>
      <c r="I124" t="str">
        <f>IF(COUNTIF(BudgetAppropData[CFDA], MemberOrgsData[[#This Row],[CFDA]]), "Yes", "No")</f>
        <v>Yes</v>
      </c>
      <c r="J124">
        <f>(COUNTIF(D$2:D124,D124)=1)*1</f>
        <v>0</v>
      </c>
    </row>
    <row r="125" spans="1:10" x14ac:dyDescent="0.25">
      <c r="A125" t="s">
        <v>144</v>
      </c>
      <c r="B125">
        <v>2018</v>
      </c>
      <c r="C125">
        <v>14641</v>
      </c>
      <c r="D125" t="s">
        <v>74</v>
      </c>
      <c r="E125">
        <v>93.6</v>
      </c>
      <c r="F125" t="s">
        <v>20</v>
      </c>
      <c r="G125">
        <v>960982</v>
      </c>
      <c r="H125">
        <v>4136847</v>
      </c>
      <c r="I125" t="str">
        <f>IF(COUNTIF(BudgetAppropData[CFDA], MemberOrgsData[[#This Row],[CFDA]]), "Yes", "No")</f>
        <v>Yes</v>
      </c>
      <c r="J125">
        <f>(COUNTIF(D$2:D125,D125)=1)*1</f>
        <v>0</v>
      </c>
    </row>
    <row r="126" spans="1:10" x14ac:dyDescent="0.25">
      <c r="A126" t="s">
        <v>144</v>
      </c>
      <c r="B126">
        <v>2018</v>
      </c>
      <c r="C126">
        <v>14641</v>
      </c>
      <c r="D126" t="s">
        <v>74</v>
      </c>
      <c r="E126">
        <v>93.6</v>
      </c>
      <c r="F126" t="s">
        <v>20</v>
      </c>
      <c r="G126">
        <v>3175865</v>
      </c>
      <c r="H126">
        <v>4136847</v>
      </c>
      <c r="I126" t="str">
        <f>IF(COUNTIF(BudgetAppropData[CFDA], MemberOrgsData[[#This Row],[CFDA]]), "Yes", "No")</f>
        <v>Yes</v>
      </c>
      <c r="J126">
        <f>(COUNTIF(D$2:D126,D126)=1)*1</f>
        <v>0</v>
      </c>
    </row>
    <row r="127" spans="1:10" x14ac:dyDescent="0.25">
      <c r="A127" t="s">
        <v>144</v>
      </c>
      <c r="B127">
        <v>2018</v>
      </c>
      <c r="C127">
        <v>14641</v>
      </c>
      <c r="D127" t="s">
        <v>74</v>
      </c>
      <c r="E127">
        <v>93.766999999999996</v>
      </c>
      <c r="F127" t="s">
        <v>96</v>
      </c>
      <c r="G127">
        <v>30013</v>
      </c>
      <c r="H127">
        <v>30013</v>
      </c>
      <c r="I127" t="str">
        <f>IF(COUNTIF(BudgetAppropData[CFDA], MemberOrgsData[[#This Row],[CFDA]]), "Yes", "No")</f>
        <v>Yes</v>
      </c>
      <c r="J127">
        <f>(COUNTIF(D$2:D127,D127)=1)*1</f>
        <v>0</v>
      </c>
    </row>
    <row r="128" spans="1:10" x14ac:dyDescent="0.25">
      <c r="A128" t="s">
        <v>144</v>
      </c>
      <c r="B128">
        <v>2018</v>
      </c>
      <c r="C128">
        <v>14641</v>
      </c>
      <c r="D128" t="s">
        <v>74</v>
      </c>
      <c r="E128">
        <v>93.778000000000006</v>
      </c>
      <c r="F128" t="s">
        <v>34</v>
      </c>
      <c r="G128">
        <v>178346</v>
      </c>
      <c r="H128">
        <v>178346</v>
      </c>
      <c r="I128" t="str">
        <f>IF(COUNTIF(BudgetAppropData[CFDA], MemberOrgsData[[#This Row],[CFDA]]), "Yes", "No")</f>
        <v>Yes</v>
      </c>
      <c r="J128">
        <f>(COUNTIF(D$2:D128,D128)=1)*1</f>
        <v>0</v>
      </c>
    </row>
    <row r="129" spans="1:10" x14ac:dyDescent="0.25">
      <c r="A129" t="s">
        <v>144</v>
      </c>
      <c r="B129">
        <v>2018</v>
      </c>
      <c r="C129">
        <v>14641</v>
      </c>
      <c r="D129" t="s">
        <v>74</v>
      </c>
      <c r="E129">
        <v>93.917000000000002</v>
      </c>
      <c r="F129" t="s">
        <v>35</v>
      </c>
      <c r="G129">
        <v>65621</v>
      </c>
      <c r="H129">
        <v>65621</v>
      </c>
      <c r="I129" t="str">
        <f>IF(COUNTIF(BudgetAppropData[CFDA], MemberOrgsData[[#This Row],[CFDA]]), "Yes", "No")</f>
        <v>Yes</v>
      </c>
      <c r="J129">
        <f>(COUNTIF(D$2:D129,D129)=1)*1</f>
        <v>0</v>
      </c>
    </row>
    <row r="130" spans="1:10" x14ac:dyDescent="0.25">
      <c r="A130" t="s">
        <v>144</v>
      </c>
      <c r="B130">
        <v>2018</v>
      </c>
      <c r="C130">
        <v>14641</v>
      </c>
      <c r="D130" t="s">
        <v>74</v>
      </c>
      <c r="E130">
        <v>93.926000000000002</v>
      </c>
      <c r="F130" t="s">
        <v>60</v>
      </c>
      <c r="G130">
        <v>224325</v>
      </c>
      <c r="H130">
        <v>224325</v>
      </c>
      <c r="I130" t="str">
        <f>IF(COUNTIF(BudgetAppropData[CFDA], MemberOrgsData[[#This Row],[CFDA]]), "Yes", "No")</f>
        <v>Yes</v>
      </c>
      <c r="J130">
        <f>(COUNTIF(D$2:D130,D130)=1)*1</f>
        <v>0</v>
      </c>
    </row>
    <row r="131" spans="1:10" x14ac:dyDescent="0.25">
      <c r="A131" t="s">
        <v>139</v>
      </c>
      <c r="B131">
        <v>2018</v>
      </c>
      <c r="C131">
        <v>221077</v>
      </c>
      <c r="D131" t="s">
        <v>75</v>
      </c>
      <c r="E131">
        <v>14.234999999999999</v>
      </c>
      <c r="F131" t="s">
        <v>11</v>
      </c>
      <c r="G131">
        <v>638845</v>
      </c>
      <c r="H131">
        <v>638845</v>
      </c>
      <c r="I131" t="str">
        <f>IF(COUNTIF(BudgetAppropData[CFDA], MemberOrgsData[[#This Row],[CFDA]]), "Yes", "No")</f>
        <v>No</v>
      </c>
      <c r="J131">
        <f>(COUNTIF(D$2:D131,D131)=1)*1</f>
        <v>1</v>
      </c>
    </row>
    <row r="132" spans="1:10" x14ac:dyDescent="0.25">
      <c r="A132" t="s">
        <v>139</v>
      </c>
      <c r="B132">
        <v>2018</v>
      </c>
      <c r="C132">
        <v>221077</v>
      </c>
      <c r="D132" t="s">
        <v>75</v>
      </c>
      <c r="E132">
        <v>84.186999999999998</v>
      </c>
      <c r="F132" t="s">
        <v>119</v>
      </c>
      <c r="G132">
        <v>85402</v>
      </c>
      <c r="H132">
        <v>85402</v>
      </c>
      <c r="I132" t="str">
        <f>IF(COUNTIF(BudgetAppropData[CFDA], MemberOrgsData[[#This Row],[CFDA]]), "Yes", "No")</f>
        <v>No</v>
      </c>
      <c r="J132">
        <f>(COUNTIF(D$2:D132,D132)=1)*1</f>
        <v>0</v>
      </c>
    </row>
    <row r="133" spans="1:10" x14ac:dyDescent="0.25">
      <c r="A133" t="s">
        <v>139</v>
      </c>
      <c r="B133">
        <v>2018</v>
      </c>
      <c r="C133">
        <v>221077</v>
      </c>
      <c r="D133" t="s">
        <v>75</v>
      </c>
      <c r="E133">
        <v>93.352999999999994</v>
      </c>
      <c r="F133" t="s">
        <v>140</v>
      </c>
      <c r="G133">
        <v>27160</v>
      </c>
      <c r="H133">
        <v>27160</v>
      </c>
      <c r="I133" t="str">
        <f>IF(COUNTIF(BudgetAppropData[CFDA], MemberOrgsData[[#This Row],[CFDA]]), "Yes", "No")</f>
        <v>No</v>
      </c>
      <c r="J133">
        <f>(COUNTIF(D$2:D133,D133)=1)*1</f>
        <v>0</v>
      </c>
    </row>
    <row r="134" spans="1:10" x14ac:dyDescent="0.25">
      <c r="A134" t="s">
        <v>139</v>
      </c>
      <c r="B134">
        <v>2018</v>
      </c>
      <c r="C134">
        <v>221077</v>
      </c>
      <c r="D134" t="s">
        <v>75</v>
      </c>
      <c r="E134">
        <v>10.558</v>
      </c>
      <c r="F134" t="s">
        <v>24</v>
      </c>
      <c r="G134">
        <v>165476</v>
      </c>
      <c r="H134">
        <v>165476</v>
      </c>
      <c r="I134" t="str">
        <f>IF(COUNTIF(BudgetAppropData[CFDA], MemberOrgsData[[#This Row],[CFDA]]), "Yes", "No")</f>
        <v>Yes</v>
      </c>
      <c r="J134">
        <f>(COUNTIF(D$2:D134,D134)=1)*1</f>
        <v>0</v>
      </c>
    </row>
    <row r="135" spans="1:10" x14ac:dyDescent="0.25">
      <c r="A135" t="s">
        <v>139</v>
      </c>
      <c r="B135">
        <v>2018</v>
      </c>
      <c r="C135">
        <v>221077</v>
      </c>
      <c r="D135" t="s">
        <v>75</v>
      </c>
      <c r="E135">
        <v>93.043999999999997</v>
      </c>
      <c r="F135" t="s">
        <v>113</v>
      </c>
      <c r="G135">
        <v>7447</v>
      </c>
      <c r="H135">
        <v>7447</v>
      </c>
      <c r="I135" t="str">
        <f>IF(COUNTIF(BudgetAppropData[CFDA], MemberOrgsData[[#This Row],[CFDA]]), "Yes", "No")</f>
        <v>Yes</v>
      </c>
      <c r="J135">
        <f>(COUNTIF(D$2:D135,D135)=1)*1</f>
        <v>0</v>
      </c>
    </row>
    <row r="136" spans="1:10" x14ac:dyDescent="0.25">
      <c r="A136" t="s">
        <v>139</v>
      </c>
      <c r="B136">
        <v>2018</v>
      </c>
      <c r="C136">
        <v>221077</v>
      </c>
      <c r="D136" t="s">
        <v>75</v>
      </c>
      <c r="E136">
        <v>93.045000000000002</v>
      </c>
      <c r="F136" t="s">
        <v>64</v>
      </c>
      <c r="G136">
        <v>184516</v>
      </c>
      <c r="H136">
        <v>239837</v>
      </c>
      <c r="I136" t="str">
        <f>IF(COUNTIF(BudgetAppropData[CFDA], MemberOrgsData[[#This Row],[CFDA]]), "Yes", "No")</f>
        <v>Yes</v>
      </c>
      <c r="J136">
        <f>(COUNTIF(D$2:D136,D136)=1)*1</f>
        <v>0</v>
      </c>
    </row>
    <row r="137" spans="1:10" x14ac:dyDescent="0.25">
      <c r="A137" t="s">
        <v>139</v>
      </c>
      <c r="B137">
        <v>2018</v>
      </c>
      <c r="C137">
        <v>221077</v>
      </c>
      <c r="D137" t="s">
        <v>75</v>
      </c>
      <c r="E137">
        <v>93.045000000000002</v>
      </c>
      <c r="F137" t="s">
        <v>64</v>
      </c>
      <c r="G137">
        <v>55321</v>
      </c>
      <c r="H137">
        <v>239837</v>
      </c>
      <c r="I137" t="str">
        <f>IF(COUNTIF(BudgetAppropData[CFDA], MemberOrgsData[[#This Row],[CFDA]]), "Yes", "No")</f>
        <v>Yes</v>
      </c>
      <c r="J137">
        <f>(COUNTIF(D$2:D137,D137)=1)*1</f>
        <v>0</v>
      </c>
    </row>
    <row r="138" spans="1:10" x14ac:dyDescent="0.25">
      <c r="A138" t="s">
        <v>139</v>
      </c>
      <c r="B138">
        <v>2018</v>
      </c>
      <c r="C138">
        <v>221077</v>
      </c>
      <c r="D138" t="s">
        <v>75</v>
      </c>
      <c r="E138">
        <v>93.052999999999997</v>
      </c>
      <c r="F138" t="s">
        <v>28</v>
      </c>
      <c r="G138">
        <v>72750</v>
      </c>
      <c r="H138">
        <v>79742</v>
      </c>
      <c r="I138" t="str">
        <f>IF(COUNTIF(BudgetAppropData[CFDA], MemberOrgsData[[#This Row],[CFDA]]), "Yes", "No")</f>
        <v>Yes</v>
      </c>
      <c r="J138">
        <f>(COUNTIF(D$2:D138,D138)=1)*1</f>
        <v>0</v>
      </c>
    </row>
    <row r="139" spans="1:10" x14ac:dyDescent="0.25">
      <c r="A139" t="s">
        <v>139</v>
      </c>
      <c r="B139">
        <v>2018</v>
      </c>
      <c r="C139">
        <v>221077</v>
      </c>
      <c r="D139" t="s">
        <v>75</v>
      </c>
      <c r="E139">
        <v>93.052999999999997</v>
      </c>
      <c r="F139" t="s">
        <v>28</v>
      </c>
      <c r="G139">
        <v>6992</v>
      </c>
      <c r="H139">
        <v>79742</v>
      </c>
      <c r="I139" t="str">
        <f>IF(COUNTIF(BudgetAppropData[CFDA], MemberOrgsData[[#This Row],[CFDA]]), "Yes", "No")</f>
        <v>Yes</v>
      </c>
      <c r="J139">
        <f>(COUNTIF(D$2:D139,D139)=1)*1</f>
        <v>0</v>
      </c>
    </row>
    <row r="140" spans="1:10" x14ac:dyDescent="0.25">
      <c r="A140" t="s">
        <v>139</v>
      </c>
      <c r="B140">
        <v>2018</v>
      </c>
      <c r="C140">
        <v>221077</v>
      </c>
      <c r="D140" t="s">
        <v>75</v>
      </c>
      <c r="E140">
        <v>93.575000000000003</v>
      </c>
      <c r="F140" t="s">
        <v>32</v>
      </c>
      <c r="G140">
        <v>1358983</v>
      </c>
      <c r="H140">
        <v>1358983</v>
      </c>
      <c r="I140" t="str">
        <f>IF(COUNTIF(BudgetAppropData[CFDA], MemberOrgsData[[#This Row],[CFDA]]), "Yes", "No")</f>
        <v>Yes</v>
      </c>
      <c r="J140">
        <f>(COUNTIF(D$2:D140,D140)=1)*1</f>
        <v>0</v>
      </c>
    </row>
    <row r="141" spans="1:10" x14ac:dyDescent="0.25">
      <c r="A141" t="s">
        <v>139</v>
      </c>
      <c r="B141">
        <v>2018</v>
      </c>
      <c r="C141">
        <v>221077</v>
      </c>
      <c r="D141" t="s">
        <v>75</v>
      </c>
      <c r="E141">
        <v>93.6</v>
      </c>
      <c r="F141" t="s">
        <v>20</v>
      </c>
      <c r="G141">
        <v>571875</v>
      </c>
      <c r="H141">
        <v>571875</v>
      </c>
      <c r="I141" t="str">
        <f>IF(COUNTIF(BudgetAppropData[CFDA], MemberOrgsData[[#This Row],[CFDA]]), "Yes", "No")</f>
        <v>Yes</v>
      </c>
      <c r="J141">
        <f>(COUNTIF(D$2:D141,D141)=1)*1</f>
        <v>0</v>
      </c>
    </row>
    <row r="142" spans="1:10" x14ac:dyDescent="0.25">
      <c r="A142" t="s">
        <v>139</v>
      </c>
      <c r="B142">
        <v>2018</v>
      </c>
      <c r="C142">
        <v>221077</v>
      </c>
      <c r="D142" t="s">
        <v>75</v>
      </c>
      <c r="E142">
        <v>93.667000000000002</v>
      </c>
      <c r="F142" t="s">
        <v>22</v>
      </c>
      <c r="G142">
        <v>65652</v>
      </c>
      <c r="H142">
        <v>139927</v>
      </c>
      <c r="I142" t="str">
        <f>IF(COUNTIF(BudgetAppropData[CFDA], MemberOrgsData[[#This Row],[CFDA]]), "Yes", "No")</f>
        <v>Yes</v>
      </c>
      <c r="J142">
        <f>(COUNTIF(D$2:D142,D142)=1)*1</f>
        <v>0</v>
      </c>
    </row>
    <row r="143" spans="1:10" x14ac:dyDescent="0.25">
      <c r="A143" t="s">
        <v>139</v>
      </c>
      <c r="B143">
        <v>2018</v>
      </c>
      <c r="C143">
        <v>221077</v>
      </c>
      <c r="D143" t="s">
        <v>75</v>
      </c>
      <c r="E143">
        <v>93.667000000000002</v>
      </c>
      <c r="F143" t="s">
        <v>22</v>
      </c>
      <c r="G143">
        <v>74275</v>
      </c>
      <c r="H143">
        <v>139927</v>
      </c>
      <c r="I143" t="str">
        <f>IF(COUNTIF(BudgetAppropData[CFDA], MemberOrgsData[[#This Row],[CFDA]]), "Yes", "No")</f>
        <v>Yes</v>
      </c>
      <c r="J143">
        <f>(COUNTIF(D$2:D143,D143)=1)*1</f>
        <v>0</v>
      </c>
    </row>
    <row r="144" spans="1:10" x14ac:dyDescent="0.25">
      <c r="A144" t="s">
        <v>139</v>
      </c>
      <c r="B144">
        <v>2018</v>
      </c>
      <c r="C144">
        <v>221077</v>
      </c>
      <c r="D144" t="s">
        <v>75</v>
      </c>
      <c r="E144">
        <v>93.957999999999998</v>
      </c>
      <c r="F144" t="s">
        <v>76</v>
      </c>
      <c r="G144">
        <v>367406</v>
      </c>
      <c r="H144">
        <v>367406</v>
      </c>
      <c r="I144" t="str">
        <f>IF(COUNTIF(BudgetAppropData[CFDA], MemberOrgsData[[#This Row],[CFDA]]), "Yes", "No")</f>
        <v>Yes</v>
      </c>
      <c r="J144">
        <f>(COUNTIF(D$2:D144,D144)=1)*1</f>
        <v>0</v>
      </c>
    </row>
    <row r="145" spans="1:10" x14ac:dyDescent="0.25">
      <c r="A145" t="s">
        <v>71</v>
      </c>
      <c r="B145">
        <v>2018</v>
      </c>
      <c r="C145">
        <v>12087</v>
      </c>
      <c r="D145" t="s">
        <v>77</v>
      </c>
      <c r="E145">
        <v>93.242999999999995</v>
      </c>
      <c r="F145" t="s">
        <v>110</v>
      </c>
      <c r="G145">
        <v>381888</v>
      </c>
      <c r="H145">
        <v>381888</v>
      </c>
      <c r="I145" t="str">
        <f>IF(COUNTIF(BudgetAppropData[CFDA], MemberOrgsData[[#This Row],[CFDA]]), "Yes", "No")</f>
        <v>Yes</v>
      </c>
      <c r="J145">
        <f>(COUNTIF(D$2:D145,D145)=1)*1</f>
        <v>1</v>
      </c>
    </row>
    <row r="146" spans="1:10" x14ac:dyDescent="0.25">
      <c r="A146" t="s">
        <v>71</v>
      </c>
      <c r="B146">
        <v>2018</v>
      </c>
      <c r="C146">
        <v>12087</v>
      </c>
      <c r="D146" t="s">
        <v>77</v>
      </c>
      <c r="E146">
        <v>93.558000000000007</v>
      </c>
      <c r="F146" t="s">
        <v>30</v>
      </c>
      <c r="G146">
        <v>129322</v>
      </c>
      <c r="H146">
        <v>129322</v>
      </c>
      <c r="I146" t="str">
        <f>IF(COUNTIF(BudgetAppropData[CFDA], MemberOrgsData[[#This Row],[CFDA]]), "Yes", "No")</f>
        <v>Yes</v>
      </c>
      <c r="J146">
        <f>(COUNTIF(D$2:D146,D146)=1)*1</f>
        <v>0</v>
      </c>
    </row>
    <row r="147" spans="1:10" x14ac:dyDescent="0.25">
      <c r="A147" t="s">
        <v>71</v>
      </c>
      <c r="B147">
        <v>2018</v>
      </c>
      <c r="C147">
        <v>12087</v>
      </c>
      <c r="D147" t="s">
        <v>77</v>
      </c>
      <c r="E147">
        <v>93.563000000000002</v>
      </c>
      <c r="F147" t="s">
        <v>98</v>
      </c>
      <c r="G147">
        <v>3776</v>
      </c>
      <c r="H147">
        <v>3776</v>
      </c>
      <c r="I147" t="str">
        <f>IF(COUNTIF(BudgetAppropData[CFDA], MemberOrgsData[[#This Row],[CFDA]]), "Yes", "No")</f>
        <v>Yes</v>
      </c>
      <c r="J147">
        <f>(COUNTIF(D$2:D147,D147)=1)*1</f>
        <v>0</v>
      </c>
    </row>
    <row r="148" spans="1:10" x14ac:dyDescent="0.25">
      <c r="A148" t="s">
        <v>71</v>
      </c>
      <c r="B148">
        <v>2018</v>
      </c>
      <c r="C148">
        <v>12087</v>
      </c>
      <c r="D148" t="s">
        <v>77</v>
      </c>
      <c r="E148">
        <v>93.959000000000003</v>
      </c>
      <c r="F148" t="s">
        <v>61</v>
      </c>
      <c r="G148">
        <v>1114267</v>
      </c>
      <c r="H148">
        <v>1114267</v>
      </c>
      <c r="I148" t="str">
        <f>IF(COUNTIF(BudgetAppropData[CFDA], MemberOrgsData[[#This Row],[CFDA]]), "Yes", "No")</f>
        <v>Yes</v>
      </c>
      <c r="J148">
        <f>(COUNTIF(D$2:D148,D148)=1)*1</f>
        <v>0</v>
      </c>
    </row>
    <row r="149" spans="1:10" x14ac:dyDescent="0.25">
      <c r="A149" t="s">
        <v>139</v>
      </c>
      <c r="B149">
        <v>2018</v>
      </c>
      <c r="C149">
        <v>242372</v>
      </c>
      <c r="D149" t="s">
        <v>78</v>
      </c>
      <c r="E149">
        <v>10.558</v>
      </c>
      <c r="F149" t="s">
        <v>24</v>
      </c>
      <c r="G149">
        <v>487165</v>
      </c>
      <c r="H149">
        <v>487165</v>
      </c>
      <c r="I149" t="str">
        <f>IF(COUNTIF(BudgetAppropData[CFDA], MemberOrgsData[[#This Row],[CFDA]]), "Yes", "No")</f>
        <v>Yes</v>
      </c>
      <c r="J149">
        <f>(COUNTIF(D$2:D149,D149)=1)*1</f>
        <v>1</v>
      </c>
    </row>
    <row r="150" spans="1:10" x14ac:dyDescent="0.25">
      <c r="A150" t="s">
        <v>139</v>
      </c>
      <c r="B150">
        <v>2018</v>
      </c>
      <c r="C150">
        <v>242372</v>
      </c>
      <c r="D150" t="s">
        <v>78</v>
      </c>
      <c r="E150">
        <v>93.043999999999997</v>
      </c>
      <c r="F150" t="s">
        <v>28</v>
      </c>
      <c r="G150">
        <v>9246</v>
      </c>
      <c r="H150">
        <v>9246</v>
      </c>
      <c r="I150" t="str">
        <f>IF(COUNTIF(BudgetAppropData[CFDA], MemberOrgsData[[#This Row],[CFDA]]), "Yes", "No")</f>
        <v>Yes</v>
      </c>
      <c r="J150">
        <f>(COUNTIF(D$2:D150,D150)=1)*1</f>
        <v>0</v>
      </c>
    </row>
    <row r="151" spans="1:10" x14ac:dyDescent="0.25">
      <c r="A151" t="s">
        <v>139</v>
      </c>
      <c r="B151">
        <v>2018</v>
      </c>
      <c r="C151">
        <v>242372</v>
      </c>
      <c r="D151" t="s">
        <v>78</v>
      </c>
      <c r="E151">
        <v>93.045000000000002</v>
      </c>
      <c r="F151" t="s">
        <v>64</v>
      </c>
      <c r="G151">
        <v>73203</v>
      </c>
      <c r="H151">
        <v>73203</v>
      </c>
      <c r="I151" t="str">
        <f>IF(COUNTIF(BudgetAppropData[CFDA], MemberOrgsData[[#This Row],[CFDA]]), "Yes", "No")</f>
        <v>Yes</v>
      </c>
      <c r="J151">
        <f>(COUNTIF(D$2:D151,D151)=1)*1</f>
        <v>0</v>
      </c>
    </row>
    <row r="152" spans="1:10" x14ac:dyDescent="0.25">
      <c r="A152" t="s">
        <v>139</v>
      </c>
      <c r="B152">
        <v>2018</v>
      </c>
      <c r="C152">
        <v>242372</v>
      </c>
      <c r="D152" t="s">
        <v>78</v>
      </c>
      <c r="E152">
        <v>93.052000000000007</v>
      </c>
      <c r="F152" t="s">
        <v>85</v>
      </c>
      <c r="G152">
        <v>373003</v>
      </c>
      <c r="H152">
        <v>373003</v>
      </c>
      <c r="I152" t="str">
        <f>IF(COUNTIF(BudgetAppropData[CFDA], MemberOrgsData[[#This Row],[CFDA]]), "Yes", "No")</f>
        <v>Yes</v>
      </c>
      <c r="J152">
        <f>(COUNTIF(D$2:D152,D152)=1)*1</f>
        <v>0</v>
      </c>
    </row>
    <row r="153" spans="1:10" x14ac:dyDescent="0.25">
      <c r="A153" t="s">
        <v>139</v>
      </c>
      <c r="B153">
        <v>2018</v>
      </c>
      <c r="C153">
        <v>242372</v>
      </c>
      <c r="D153" t="s">
        <v>78</v>
      </c>
      <c r="E153">
        <v>93.052999999999997</v>
      </c>
      <c r="F153" t="s">
        <v>28</v>
      </c>
      <c r="G153">
        <v>96486</v>
      </c>
      <c r="H153">
        <v>96486</v>
      </c>
      <c r="I153" t="str">
        <f>IF(COUNTIF(BudgetAppropData[CFDA], MemberOrgsData[[#This Row],[CFDA]]), "Yes", "No")</f>
        <v>Yes</v>
      </c>
      <c r="J153">
        <f>(COUNTIF(D$2:D153,D153)=1)*1</f>
        <v>0</v>
      </c>
    </row>
    <row r="154" spans="1:10" x14ac:dyDescent="0.25">
      <c r="A154" t="s">
        <v>139</v>
      </c>
      <c r="B154">
        <v>2018</v>
      </c>
      <c r="C154">
        <v>242372</v>
      </c>
      <c r="D154" t="s">
        <v>78</v>
      </c>
      <c r="E154">
        <v>93.6</v>
      </c>
      <c r="F154" t="s">
        <v>20</v>
      </c>
      <c r="G154">
        <v>1569118</v>
      </c>
      <c r="H154">
        <v>1569118</v>
      </c>
      <c r="I154" t="str">
        <f>IF(COUNTIF(BudgetAppropData[CFDA], MemberOrgsData[[#This Row],[CFDA]]), "Yes", "No")</f>
        <v>Yes</v>
      </c>
      <c r="J154">
        <f>(COUNTIF(D$2:D154,D154)=1)*1</f>
        <v>0</v>
      </c>
    </row>
    <row r="155" spans="1:10" x14ac:dyDescent="0.25">
      <c r="A155" t="s">
        <v>139</v>
      </c>
      <c r="B155">
        <v>2018</v>
      </c>
      <c r="C155">
        <v>242372</v>
      </c>
      <c r="D155" t="s">
        <v>78</v>
      </c>
      <c r="E155">
        <v>93.667000000000002</v>
      </c>
      <c r="F155" t="s">
        <v>22</v>
      </c>
      <c r="G155">
        <v>36730</v>
      </c>
      <c r="H155">
        <v>36730</v>
      </c>
      <c r="I155" t="str">
        <f>IF(COUNTIF(BudgetAppropData[CFDA], MemberOrgsData[[#This Row],[CFDA]]), "Yes", "No")</f>
        <v>Yes</v>
      </c>
      <c r="J155">
        <f>(COUNTIF(D$2:D155,D155)=1)*1</f>
        <v>0</v>
      </c>
    </row>
    <row r="156" spans="1:10" x14ac:dyDescent="0.25">
      <c r="A156" t="s">
        <v>130</v>
      </c>
      <c r="B156">
        <v>2018</v>
      </c>
      <c r="C156">
        <v>13905</v>
      </c>
      <c r="D156" t="s">
        <v>79</v>
      </c>
      <c r="E156">
        <v>14.266999999999999</v>
      </c>
      <c r="F156" t="s">
        <v>120</v>
      </c>
      <c r="G156">
        <v>1159895</v>
      </c>
      <c r="H156">
        <v>1159895</v>
      </c>
      <c r="I156" t="str">
        <f>IF(COUNTIF(BudgetAppropData[CFDA], MemberOrgsData[[#This Row],[CFDA]]), "Yes", "No")</f>
        <v>No</v>
      </c>
      <c r="J156">
        <f>(COUNTIF(D$2:D156,D156)=1)*1</f>
        <v>1</v>
      </c>
    </row>
    <row r="157" spans="1:10" x14ac:dyDescent="0.25">
      <c r="A157" t="s">
        <v>130</v>
      </c>
      <c r="B157">
        <v>2018</v>
      </c>
      <c r="C157">
        <v>13905</v>
      </c>
      <c r="D157" t="s">
        <v>79</v>
      </c>
      <c r="E157">
        <v>93.527000000000001</v>
      </c>
      <c r="F157" t="s">
        <v>102</v>
      </c>
      <c r="G157">
        <v>2082355</v>
      </c>
      <c r="H157">
        <v>2082355</v>
      </c>
      <c r="I157" t="str">
        <f>IF(COUNTIF(BudgetAppropData[CFDA], MemberOrgsData[[#This Row],[CFDA]]), "Yes", "No")</f>
        <v>No</v>
      </c>
      <c r="J157">
        <f>(COUNTIF(D$2:D157,D157)=1)*1</f>
        <v>0</v>
      </c>
    </row>
    <row r="158" spans="1:10" x14ac:dyDescent="0.25">
      <c r="A158" t="s">
        <v>130</v>
      </c>
      <c r="B158">
        <v>2018</v>
      </c>
      <c r="C158">
        <v>13905</v>
      </c>
      <c r="D158" t="s">
        <v>79</v>
      </c>
      <c r="E158">
        <v>93.924000000000007</v>
      </c>
      <c r="F158" t="s">
        <v>122</v>
      </c>
      <c r="G158">
        <v>141134</v>
      </c>
      <c r="H158">
        <v>141134</v>
      </c>
      <c r="I158" t="str">
        <f>IF(COUNTIF(BudgetAppropData[CFDA], MemberOrgsData[[#This Row],[CFDA]]), "Yes", "No")</f>
        <v>No</v>
      </c>
      <c r="J158">
        <f>(COUNTIF(D$2:D158,D158)=1)*1</f>
        <v>0</v>
      </c>
    </row>
    <row r="159" spans="1:10" x14ac:dyDescent="0.25">
      <c r="A159" t="s">
        <v>130</v>
      </c>
      <c r="B159">
        <v>2018</v>
      </c>
      <c r="C159">
        <v>13905</v>
      </c>
      <c r="D159" t="s">
        <v>79</v>
      </c>
      <c r="E159">
        <v>14.241</v>
      </c>
      <c r="F159" t="s">
        <v>15</v>
      </c>
      <c r="G159">
        <v>791983</v>
      </c>
      <c r="H159">
        <v>3917774</v>
      </c>
      <c r="I159" t="str">
        <f>IF(COUNTIF(BudgetAppropData[CFDA], MemberOrgsData[[#This Row],[CFDA]]), "Yes", "No")</f>
        <v>Yes</v>
      </c>
      <c r="J159">
        <f>(COUNTIF(D$2:D159,D159)=1)*1</f>
        <v>0</v>
      </c>
    </row>
    <row r="160" spans="1:10" x14ac:dyDescent="0.25">
      <c r="A160" t="s">
        <v>130</v>
      </c>
      <c r="B160">
        <v>2018</v>
      </c>
      <c r="C160">
        <v>13905</v>
      </c>
      <c r="D160" t="s">
        <v>79</v>
      </c>
      <c r="E160">
        <v>14.241</v>
      </c>
      <c r="F160" t="s">
        <v>15</v>
      </c>
      <c r="G160">
        <v>461540</v>
      </c>
      <c r="H160">
        <v>3917774</v>
      </c>
      <c r="I160" t="str">
        <f>IF(COUNTIF(BudgetAppropData[CFDA], MemberOrgsData[[#This Row],[CFDA]]), "Yes", "No")</f>
        <v>Yes</v>
      </c>
      <c r="J160">
        <f>(COUNTIF(D$2:D160,D160)=1)*1</f>
        <v>0</v>
      </c>
    </row>
    <row r="161" spans="1:10" x14ac:dyDescent="0.25">
      <c r="A161" t="s">
        <v>130</v>
      </c>
      <c r="B161">
        <v>2018</v>
      </c>
      <c r="C161">
        <v>13905</v>
      </c>
      <c r="D161" t="s">
        <v>79</v>
      </c>
      <c r="E161">
        <v>14.241</v>
      </c>
      <c r="F161" t="s">
        <v>15</v>
      </c>
      <c r="G161">
        <v>389639</v>
      </c>
      <c r="H161">
        <v>3917774</v>
      </c>
      <c r="I161" t="str">
        <f>IF(COUNTIF(BudgetAppropData[CFDA], MemberOrgsData[[#This Row],[CFDA]]), "Yes", "No")</f>
        <v>Yes</v>
      </c>
      <c r="J161">
        <f>(COUNTIF(D$2:D161,D161)=1)*1</f>
        <v>0</v>
      </c>
    </row>
    <row r="162" spans="1:10" x14ac:dyDescent="0.25">
      <c r="A162" t="s">
        <v>130</v>
      </c>
      <c r="B162">
        <v>2018</v>
      </c>
      <c r="C162">
        <v>13905</v>
      </c>
      <c r="D162" t="s">
        <v>79</v>
      </c>
      <c r="E162">
        <v>14.241</v>
      </c>
      <c r="F162" t="s">
        <v>15</v>
      </c>
      <c r="G162">
        <v>383702</v>
      </c>
      <c r="H162">
        <v>3917774</v>
      </c>
      <c r="I162" t="str">
        <f>IF(COUNTIF(BudgetAppropData[CFDA], MemberOrgsData[[#This Row],[CFDA]]), "Yes", "No")</f>
        <v>Yes</v>
      </c>
      <c r="J162">
        <f>(COUNTIF(D$2:D162,D162)=1)*1</f>
        <v>0</v>
      </c>
    </row>
    <row r="163" spans="1:10" x14ac:dyDescent="0.25">
      <c r="A163" t="s">
        <v>130</v>
      </c>
      <c r="B163">
        <v>2018</v>
      </c>
      <c r="C163">
        <v>13905</v>
      </c>
      <c r="D163" t="s">
        <v>79</v>
      </c>
      <c r="E163">
        <v>14.241</v>
      </c>
      <c r="F163" t="s">
        <v>15</v>
      </c>
      <c r="G163">
        <v>329772</v>
      </c>
      <c r="H163">
        <v>3917774</v>
      </c>
      <c r="I163" t="str">
        <f>IF(COUNTIF(BudgetAppropData[CFDA], MemberOrgsData[[#This Row],[CFDA]]), "Yes", "No")</f>
        <v>Yes</v>
      </c>
      <c r="J163">
        <f>(COUNTIF(D$2:D163,D163)=1)*1</f>
        <v>0</v>
      </c>
    </row>
    <row r="164" spans="1:10" x14ac:dyDescent="0.25">
      <c r="A164" t="s">
        <v>130</v>
      </c>
      <c r="B164">
        <v>2018</v>
      </c>
      <c r="C164">
        <v>13905</v>
      </c>
      <c r="D164" t="s">
        <v>79</v>
      </c>
      <c r="E164">
        <v>14.241</v>
      </c>
      <c r="F164" t="s">
        <v>15</v>
      </c>
      <c r="G164">
        <v>392675</v>
      </c>
      <c r="H164">
        <v>3917774</v>
      </c>
      <c r="I164" t="str">
        <f>IF(COUNTIF(BudgetAppropData[CFDA], MemberOrgsData[[#This Row],[CFDA]]), "Yes", "No")</f>
        <v>Yes</v>
      </c>
      <c r="J164">
        <f>(COUNTIF(D$2:D164,D164)=1)*1</f>
        <v>0</v>
      </c>
    </row>
    <row r="165" spans="1:10" x14ac:dyDescent="0.25">
      <c r="A165" t="s">
        <v>130</v>
      </c>
      <c r="B165">
        <v>2018</v>
      </c>
      <c r="C165">
        <v>13905</v>
      </c>
      <c r="D165" t="s">
        <v>79</v>
      </c>
      <c r="E165">
        <v>14.241</v>
      </c>
      <c r="F165" t="s">
        <v>15</v>
      </c>
      <c r="G165">
        <v>411849</v>
      </c>
      <c r="H165">
        <v>3917774</v>
      </c>
      <c r="I165" t="str">
        <f>IF(COUNTIF(BudgetAppropData[CFDA], MemberOrgsData[[#This Row],[CFDA]]), "Yes", "No")</f>
        <v>Yes</v>
      </c>
      <c r="J165">
        <f>(COUNTIF(D$2:D165,D165)=1)*1</f>
        <v>0</v>
      </c>
    </row>
    <row r="166" spans="1:10" x14ac:dyDescent="0.25">
      <c r="A166" t="s">
        <v>130</v>
      </c>
      <c r="B166">
        <v>2018</v>
      </c>
      <c r="C166">
        <v>13905</v>
      </c>
      <c r="D166" t="s">
        <v>79</v>
      </c>
      <c r="E166">
        <v>14.241</v>
      </c>
      <c r="F166" t="s">
        <v>15</v>
      </c>
      <c r="G166">
        <v>397201</v>
      </c>
      <c r="H166">
        <v>3917774</v>
      </c>
      <c r="I166" t="str">
        <f>IF(COUNTIF(BudgetAppropData[CFDA], MemberOrgsData[[#This Row],[CFDA]]), "Yes", "No")</f>
        <v>Yes</v>
      </c>
      <c r="J166">
        <f>(COUNTIF(D$2:D166,D166)=1)*1</f>
        <v>0</v>
      </c>
    </row>
    <row r="167" spans="1:10" x14ac:dyDescent="0.25">
      <c r="A167" t="s">
        <v>130</v>
      </c>
      <c r="B167">
        <v>2018</v>
      </c>
      <c r="C167">
        <v>13905</v>
      </c>
      <c r="D167" t="s">
        <v>79</v>
      </c>
      <c r="E167">
        <v>14.241</v>
      </c>
      <c r="F167" t="s">
        <v>15</v>
      </c>
      <c r="G167">
        <v>359413</v>
      </c>
      <c r="H167">
        <v>3917774</v>
      </c>
      <c r="I167" t="str">
        <f>IF(COUNTIF(BudgetAppropData[CFDA], MemberOrgsData[[#This Row],[CFDA]]), "Yes", "No")</f>
        <v>Yes</v>
      </c>
      <c r="J167">
        <f>(COUNTIF(D$2:D167,D167)=1)*1</f>
        <v>0</v>
      </c>
    </row>
    <row r="168" spans="1:10" x14ac:dyDescent="0.25">
      <c r="A168" t="s">
        <v>130</v>
      </c>
      <c r="B168">
        <v>2018</v>
      </c>
      <c r="C168">
        <v>13905</v>
      </c>
      <c r="D168" t="s">
        <v>79</v>
      </c>
      <c r="E168">
        <v>93.224000000000004</v>
      </c>
      <c r="F168" t="s">
        <v>101</v>
      </c>
      <c r="G168">
        <v>755503</v>
      </c>
      <c r="H168">
        <v>755503</v>
      </c>
      <c r="I168" t="str">
        <f>IF(COUNTIF(BudgetAppropData[CFDA], MemberOrgsData[[#This Row],[CFDA]]), "Yes", "No")</f>
        <v>Yes</v>
      </c>
      <c r="J168">
        <f>(COUNTIF(D$2:D168,D168)=1)*1</f>
        <v>0</v>
      </c>
    </row>
    <row r="169" spans="1:10" x14ac:dyDescent="0.25">
      <c r="A169" t="s">
        <v>130</v>
      </c>
      <c r="B169">
        <v>2018</v>
      </c>
      <c r="C169">
        <v>13905</v>
      </c>
      <c r="D169" t="s">
        <v>79</v>
      </c>
      <c r="E169">
        <v>93.242999999999995</v>
      </c>
      <c r="F169" t="s">
        <v>110</v>
      </c>
      <c r="G169">
        <v>195501</v>
      </c>
      <c r="H169">
        <v>195501</v>
      </c>
      <c r="I169" t="str">
        <f>IF(COUNTIF(BudgetAppropData[CFDA], MemberOrgsData[[#This Row],[CFDA]]), "Yes", "No")</f>
        <v>Yes</v>
      </c>
      <c r="J169">
        <f>(COUNTIF(D$2:D169,D169)=1)*1</f>
        <v>0</v>
      </c>
    </row>
    <row r="170" spans="1:10" x14ac:dyDescent="0.25">
      <c r="A170" t="s">
        <v>130</v>
      </c>
      <c r="B170">
        <v>2018</v>
      </c>
      <c r="C170">
        <v>13905</v>
      </c>
      <c r="D170" t="s">
        <v>79</v>
      </c>
      <c r="E170">
        <v>93.558000000000007</v>
      </c>
      <c r="F170" t="s">
        <v>30</v>
      </c>
      <c r="G170">
        <v>66296</v>
      </c>
      <c r="H170">
        <v>1720481</v>
      </c>
      <c r="I170" t="str">
        <f>IF(COUNTIF(BudgetAppropData[CFDA], MemberOrgsData[[#This Row],[CFDA]]), "Yes", "No")</f>
        <v>Yes</v>
      </c>
      <c r="J170">
        <f>(COUNTIF(D$2:D170,D170)=1)*1</f>
        <v>0</v>
      </c>
    </row>
    <row r="171" spans="1:10" x14ac:dyDescent="0.25">
      <c r="A171" t="s">
        <v>130</v>
      </c>
      <c r="B171">
        <v>2018</v>
      </c>
      <c r="C171">
        <v>13905</v>
      </c>
      <c r="D171" t="s">
        <v>79</v>
      </c>
      <c r="E171">
        <v>93.558000000000007</v>
      </c>
      <c r="F171" t="s">
        <v>30</v>
      </c>
      <c r="G171">
        <v>271224</v>
      </c>
      <c r="H171">
        <v>1720481</v>
      </c>
      <c r="I171" t="str">
        <f>IF(COUNTIF(BudgetAppropData[CFDA], MemberOrgsData[[#This Row],[CFDA]]), "Yes", "No")</f>
        <v>Yes</v>
      </c>
      <c r="J171">
        <f>(COUNTIF(D$2:D171,D171)=1)*1</f>
        <v>0</v>
      </c>
    </row>
    <row r="172" spans="1:10" x14ac:dyDescent="0.25">
      <c r="A172" t="s">
        <v>130</v>
      </c>
      <c r="B172">
        <v>2018</v>
      </c>
      <c r="C172">
        <v>13905</v>
      </c>
      <c r="D172" t="s">
        <v>79</v>
      </c>
      <c r="E172">
        <v>93.558000000000007</v>
      </c>
      <c r="F172" t="s">
        <v>30</v>
      </c>
      <c r="G172">
        <v>57811</v>
      </c>
      <c r="H172">
        <v>1720481</v>
      </c>
      <c r="I172" t="str">
        <f>IF(COUNTIF(BudgetAppropData[CFDA], MemberOrgsData[[#This Row],[CFDA]]), "Yes", "No")</f>
        <v>Yes</v>
      </c>
      <c r="J172">
        <f>(COUNTIF(D$2:D172,D172)=1)*1</f>
        <v>0</v>
      </c>
    </row>
    <row r="173" spans="1:10" x14ac:dyDescent="0.25">
      <c r="A173" t="s">
        <v>130</v>
      </c>
      <c r="B173">
        <v>2018</v>
      </c>
      <c r="C173">
        <v>13905</v>
      </c>
      <c r="D173" t="s">
        <v>79</v>
      </c>
      <c r="E173">
        <v>93.558000000000007</v>
      </c>
      <c r="F173" t="s">
        <v>30</v>
      </c>
      <c r="G173">
        <v>1325150</v>
      </c>
      <c r="H173">
        <v>1720481</v>
      </c>
      <c r="I173" t="str">
        <f>IF(COUNTIF(BudgetAppropData[CFDA], MemberOrgsData[[#This Row],[CFDA]]), "Yes", "No")</f>
        <v>Yes</v>
      </c>
      <c r="J173">
        <f>(COUNTIF(D$2:D173,D173)=1)*1</f>
        <v>0</v>
      </c>
    </row>
    <row r="174" spans="1:10" x14ac:dyDescent="0.25">
      <c r="A174" t="s">
        <v>130</v>
      </c>
      <c r="B174">
        <v>2018</v>
      </c>
      <c r="C174">
        <v>13905</v>
      </c>
      <c r="D174" t="s">
        <v>79</v>
      </c>
      <c r="E174">
        <v>93.914000000000001</v>
      </c>
      <c r="F174" t="s">
        <v>16</v>
      </c>
      <c r="G174">
        <v>714503</v>
      </c>
      <c r="H174">
        <v>1982679</v>
      </c>
      <c r="I174" t="str">
        <f>IF(COUNTIF(BudgetAppropData[CFDA], MemberOrgsData[[#This Row],[CFDA]]), "Yes", "No")</f>
        <v>Yes</v>
      </c>
      <c r="J174">
        <f>(COUNTIF(D$2:D174,D174)=1)*1</f>
        <v>0</v>
      </c>
    </row>
    <row r="175" spans="1:10" x14ac:dyDescent="0.25">
      <c r="A175" t="s">
        <v>130</v>
      </c>
      <c r="B175">
        <v>2018</v>
      </c>
      <c r="C175">
        <v>13905</v>
      </c>
      <c r="D175" t="s">
        <v>79</v>
      </c>
      <c r="E175">
        <v>93.914000000000001</v>
      </c>
      <c r="F175" t="s">
        <v>16</v>
      </c>
      <c r="G175">
        <v>709814</v>
      </c>
      <c r="H175">
        <v>1982679</v>
      </c>
      <c r="I175" t="str">
        <f>IF(COUNTIF(BudgetAppropData[CFDA], MemberOrgsData[[#This Row],[CFDA]]), "Yes", "No")</f>
        <v>Yes</v>
      </c>
      <c r="J175">
        <f>(COUNTIF(D$2:D175,D175)=1)*1</f>
        <v>0</v>
      </c>
    </row>
    <row r="176" spans="1:10" x14ac:dyDescent="0.25">
      <c r="A176" t="s">
        <v>130</v>
      </c>
      <c r="B176">
        <v>2018</v>
      </c>
      <c r="C176">
        <v>13905</v>
      </c>
      <c r="D176" t="s">
        <v>79</v>
      </c>
      <c r="E176">
        <v>93.914000000000001</v>
      </c>
      <c r="F176" t="s">
        <v>16</v>
      </c>
      <c r="G176">
        <v>99395</v>
      </c>
      <c r="H176">
        <v>1982679</v>
      </c>
      <c r="I176" t="str">
        <f>IF(COUNTIF(BudgetAppropData[CFDA], MemberOrgsData[[#This Row],[CFDA]]), "Yes", "No")</f>
        <v>Yes</v>
      </c>
      <c r="J176">
        <f>(COUNTIF(D$2:D176,D176)=1)*1</f>
        <v>0</v>
      </c>
    </row>
    <row r="177" spans="1:10" x14ac:dyDescent="0.25">
      <c r="A177" t="s">
        <v>130</v>
      </c>
      <c r="B177">
        <v>2018</v>
      </c>
      <c r="C177">
        <v>13905</v>
      </c>
      <c r="D177" t="s">
        <v>79</v>
      </c>
      <c r="E177">
        <v>93.914000000000001</v>
      </c>
      <c r="F177" t="s">
        <v>16</v>
      </c>
      <c r="G177">
        <v>382297</v>
      </c>
      <c r="H177">
        <v>1982679</v>
      </c>
      <c r="I177" t="str">
        <f>IF(COUNTIF(BudgetAppropData[CFDA], MemberOrgsData[[#This Row],[CFDA]]), "Yes", "No")</f>
        <v>Yes</v>
      </c>
      <c r="J177">
        <f>(COUNTIF(D$2:D177,D177)=1)*1</f>
        <v>0</v>
      </c>
    </row>
    <row r="178" spans="1:10" x14ac:dyDescent="0.25">
      <c r="A178" t="s">
        <v>130</v>
      </c>
      <c r="B178">
        <v>2018</v>
      </c>
      <c r="C178">
        <v>13905</v>
      </c>
      <c r="D178" t="s">
        <v>79</v>
      </c>
      <c r="E178">
        <v>93.914000000000001</v>
      </c>
      <c r="F178" t="s">
        <v>16</v>
      </c>
      <c r="G178">
        <v>76670</v>
      </c>
      <c r="H178">
        <v>1982679</v>
      </c>
      <c r="I178" t="str">
        <f>IF(COUNTIF(BudgetAppropData[CFDA], MemberOrgsData[[#This Row],[CFDA]]), "Yes", "No")</f>
        <v>Yes</v>
      </c>
      <c r="J178">
        <f>(COUNTIF(D$2:D178,D178)=1)*1</f>
        <v>0</v>
      </c>
    </row>
    <row r="179" spans="1:10" x14ac:dyDescent="0.25">
      <c r="A179" t="s">
        <v>136</v>
      </c>
      <c r="B179">
        <v>2018</v>
      </c>
      <c r="C179">
        <v>10512</v>
      </c>
      <c r="D179" t="s">
        <v>48</v>
      </c>
      <c r="E179">
        <v>10.561</v>
      </c>
      <c r="F179" t="s">
        <v>126</v>
      </c>
      <c r="G179">
        <v>10000</v>
      </c>
      <c r="H179">
        <v>10000</v>
      </c>
      <c r="I179" t="str">
        <f>IF(COUNTIF(BudgetAppropData[CFDA], MemberOrgsData[[#This Row],[CFDA]]), "Yes", "No")</f>
        <v>No</v>
      </c>
      <c r="J179">
        <f>(COUNTIF(D$2:D179,D179)=1)*1</f>
        <v>1</v>
      </c>
    </row>
    <row r="180" spans="1:10" x14ac:dyDescent="0.25">
      <c r="A180" t="s">
        <v>136</v>
      </c>
      <c r="B180">
        <v>2018</v>
      </c>
      <c r="C180">
        <v>10512</v>
      </c>
      <c r="D180" t="s">
        <v>48</v>
      </c>
      <c r="E180">
        <v>14.266999999999999</v>
      </c>
      <c r="F180" t="s">
        <v>120</v>
      </c>
      <c r="G180">
        <v>441984</v>
      </c>
      <c r="H180">
        <v>544935</v>
      </c>
      <c r="I180" t="str">
        <f>IF(COUNTIF(BudgetAppropData[CFDA], MemberOrgsData[[#This Row],[CFDA]]), "Yes", "No")</f>
        <v>No</v>
      </c>
      <c r="J180">
        <f>(COUNTIF(D$2:D180,D180)=1)*1</f>
        <v>0</v>
      </c>
    </row>
    <row r="181" spans="1:10" x14ac:dyDescent="0.25">
      <c r="A181" t="s">
        <v>136</v>
      </c>
      <c r="B181">
        <v>2018</v>
      </c>
      <c r="C181">
        <v>10512</v>
      </c>
      <c r="D181" t="s">
        <v>48</v>
      </c>
      <c r="E181">
        <v>14.266999999999999</v>
      </c>
      <c r="F181" t="s">
        <v>120</v>
      </c>
      <c r="G181">
        <v>102951</v>
      </c>
      <c r="H181">
        <v>544935</v>
      </c>
      <c r="I181" t="str">
        <f>IF(COUNTIF(BudgetAppropData[CFDA], MemberOrgsData[[#This Row],[CFDA]]), "Yes", "No")</f>
        <v>No</v>
      </c>
      <c r="J181">
        <f>(COUNTIF(D$2:D181,D181)=1)*1</f>
        <v>0</v>
      </c>
    </row>
    <row r="182" spans="1:10" x14ac:dyDescent="0.25">
      <c r="A182" t="s">
        <v>136</v>
      </c>
      <c r="B182">
        <v>2018</v>
      </c>
      <c r="C182">
        <v>10512</v>
      </c>
      <c r="D182" t="s">
        <v>48</v>
      </c>
      <c r="E182">
        <v>14.269</v>
      </c>
      <c r="F182" t="s">
        <v>128</v>
      </c>
      <c r="G182">
        <v>104649</v>
      </c>
      <c r="H182">
        <v>104649</v>
      </c>
      <c r="I182" t="str">
        <f>IF(COUNTIF(BudgetAppropData[CFDA], MemberOrgsData[[#This Row],[CFDA]]), "Yes", "No")</f>
        <v>No</v>
      </c>
      <c r="J182">
        <f>(COUNTIF(D$2:D182,D182)=1)*1</f>
        <v>0</v>
      </c>
    </row>
    <row r="183" spans="1:10" x14ac:dyDescent="0.25">
      <c r="A183" t="s">
        <v>136</v>
      </c>
      <c r="B183">
        <v>2018</v>
      </c>
      <c r="C183">
        <v>10512</v>
      </c>
      <c r="D183" t="s">
        <v>48</v>
      </c>
      <c r="E183">
        <v>45.164000000000001</v>
      </c>
      <c r="F183" t="s">
        <v>137</v>
      </c>
      <c r="G183">
        <v>72872</v>
      </c>
      <c r="H183">
        <v>72872</v>
      </c>
      <c r="I183" t="str">
        <f>IF(COUNTIF(BudgetAppropData[CFDA], MemberOrgsData[[#This Row],[CFDA]]), "Yes", "No")</f>
        <v>No</v>
      </c>
      <c r="J183">
        <f>(COUNTIF(D$2:D183,D183)=1)*1</f>
        <v>0</v>
      </c>
    </row>
    <row r="184" spans="1:10" x14ac:dyDescent="0.25">
      <c r="A184" t="s">
        <v>136</v>
      </c>
      <c r="B184">
        <v>2018</v>
      </c>
      <c r="C184">
        <v>10512</v>
      </c>
      <c r="D184" t="s">
        <v>48</v>
      </c>
      <c r="E184">
        <v>94.016000000000005</v>
      </c>
      <c r="F184" t="s">
        <v>50</v>
      </c>
      <c r="G184">
        <v>472441</v>
      </c>
      <c r="H184">
        <v>472441</v>
      </c>
      <c r="I184" t="str">
        <f>IF(COUNTIF(BudgetAppropData[CFDA], MemberOrgsData[[#This Row],[CFDA]]), "Yes", "No")</f>
        <v>No</v>
      </c>
      <c r="J184">
        <f>(COUNTIF(D$2:D184,D184)=1)*1</f>
        <v>0</v>
      </c>
    </row>
    <row r="185" spans="1:10" x14ac:dyDescent="0.25">
      <c r="A185" t="s">
        <v>136</v>
      </c>
      <c r="B185">
        <v>2018</v>
      </c>
      <c r="C185">
        <v>10512</v>
      </c>
      <c r="D185" t="s">
        <v>48</v>
      </c>
      <c r="E185">
        <v>10.558</v>
      </c>
      <c r="F185" t="s">
        <v>24</v>
      </c>
      <c r="G185">
        <v>160974</v>
      </c>
      <c r="H185">
        <v>160974</v>
      </c>
      <c r="I185" t="str">
        <f>IF(COUNTIF(BudgetAppropData[CFDA], MemberOrgsData[[#This Row],[CFDA]]), "Yes", "No")</f>
        <v>Yes</v>
      </c>
      <c r="J185">
        <f>(COUNTIF(D$2:D185,D185)=1)*1</f>
        <v>0</v>
      </c>
    </row>
    <row r="186" spans="1:10" x14ac:dyDescent="0.25">
      <c r="A186" t="s">
        <v>136</v>
      </c>
      <c r="B186">
        <v>2018</v>
      </c>
      <c r="C186">
        <v>10512</v>
      </c>
      <c r="D186" t="s">
        <v>48</v>
      </c>
      <c r="E186">
        <v>14.218</v>
      </c>
      <c r="F186" t="s">
        <v>25</v>
      </c>
      <c r="G186">
        <v>75119</v>
      </c>
      <c r="H186">
        <v>75119</v>
      </c>
      <c r="I186" t="str">
        <f>IF(COUNTIF(BudgetAppropData[CFDA], MemberOrgsData[[#This Row],[CFDA]]), "Yes", "No")</f>
        <v>No</v>
      </c>
      <c r="J186">
        <f>(COUNTIF(D$2:D186,D186)=1)*1</f>
        <v>0</v>
      </c>
    </row>
    <row r="187" spans="1:10" x14ac:dyDescent="0.25">
      <c r="A187" t="s">
        <v>136</v>
      </c>
      <c r="B187">
        <v>2018</v>
      </c>
      <c r="C187">
        <v>10512</v>
      </c>
      <c r="D187" t="s">
        <v>48</v>
      </c>
      <c r="E187">
        <v>14.239000000000001</v>
      </c>
      <c r="F187" t="s">
        <v>39</v>
      </c>
      <c r="G187">
        <v>5013173</v>
      </c>
      <c r="H187">
        <v>5013173</v>
      </c>
      <c r="I187" t="str">
        <f>IF(COUNTIF(BudgetAppropData[CFDA], MemberOrgsData[[#This Row],[CFDA]]), "Yes", "No")</f>
        <v>Yes</v>
      </c>
      <c r="J187">
        <f>(COUNTIF(D$2:D187,D187)=1)*1</f>
        <v>0</v>
      </c>
    </row>
    <row r="188" spans="1:10" x14ac:dyDescent="0.25">
      <c r="A188" t="s">
        <v>136</v>
      </c>
      <c r="B188">
        <v>2018</v>
      </c>
      <c r="C188">
        <v>10512</v>
      </c>
      <c r="D188" t="s">
        <v>48</v>
      </c>
      <c r="E188">
        <v>84.287000000000006</v>
      </c>
      <c r="F188" t="s">
        <v>41</v>
      </c>
      <c r="G188">
        <v>768000</v>
      </c>
      <c r="H188">
        <v>768000</v>
      </c>
      <c r="I188" t="str">
        <f>IF(COUNTIF(BudgetAppropData[CFDA], MemberOrgsData[[#This Row],[CFDA]]), "Yes", "No")</f>
        <v>Yes</v>
      </c>
      <c r="J188">
        <f>(COUNTIF(D$2:D188,D188)=1)*1</f>
        <v>0</v>
      </c>
    </row>
    <row r="189" spans="1:10" x14ac:dyDescent="0.25">
      <c r="A189" t="s">
        <v>136</v>
      </c>
      <c r="B189">
        <v>2018</v>
      </c>
      <c r="C189">
        <v>10512</v>
      </c>
      <c r="D189" t="s">
        <v>48</v>
      </c>
      <c r="E189">
        <v>93.043999999999997</v>
      </c>
      <c r="F189" t="s">
        <v>113</v>
      </c>
      <c r="G189">
        <v>19748</v>
      </c>
      <c r="H189">
        <v>19748</v>
      </c>
      <c r="I189" t="str">
        <f>IF(COUNTIF(BudgetAppropData[CFDA], MemberOrgsData[[#This Row],[CFDA]]), "Yes", "No")</f>
        <v>Yes</v>
      </c>
      <c r="J189">
        <f>(COUNTIF(D$2:D189,D189)=1)*1</f>
        <v>0</v>
      </c>
    </row>
    <row r="190" spans="1:10" x14ac:dyDescent="0.25">
      <c r="A190" t="s">
        <v>136</v>
      </c>
      <c r="B190">
        <v>2018</v>
      </c>
      <c r="C190">
        <v>10512</v>
      </c>
      <c r="D190" t="s">
        <v>48</v>
      </c>
      <c r="E190">
        <v>93.045000000000002</v>
      </c>
      <c r="F190" t="s">
        <v>64</v>
      </c>
      <c r="G190">
        <v>67781</v>
      </c>
      <c r="H190">
        <v>534262</v>
      </c>
      <c r="I190" t="str">
        <f>IF(COUNTIF(BudgetAppropData[CFDA], MemberOrgsData[[#This Row],[CFDA]]), "Yes", "No")</f>
        <v>Yes</v>
      </c>
      <c r="J190">
        <f>(COUNTIF(D$2:D190,D190)=1)*1</f>
        <v>0</v>
      </c>
    </row>
    <row r="191" spans="1:10" x14ac:dyDescent="0.25">
      <c r="A191" t="s">
        <v>136</v>
      </c>
      <c r="B191">
        <v>2018</v>
      </c>
      <c r="C191">
        <v>10512</v>
      </c>
      <c r="D191" t="s">
        <v>48</v>
      </c>
      <c r="E191">
        <v>93.045000000000002</v>
      </c>
      <c r="F191" t="s">
        <v>64</v>
      </c>
      <c r="G191">
        <v>466481</v>
      </c>
      <c r="H191">
        <v>534262</v>
      </c>
      <c r="I191" t="str">
        <f>IF(COUNTIF(BudgetAppropData[CFDA], MemberOrgsData[[#This Row],[CFDA]]), "Yes", "No")</f>
        <v>Yes</v>
      </c>
      <c r="J191">
        <f>(COUNTIF(D$2:D191,D191)=1)*1</f>
        <v>0</v>
      </c>
    </row>
    <row r="192" spans="1:10" x14ac:dyDescent="0.25">
      <c r="A192" t="s">
        <v>136</v>
      </c>
      <c r="B192">
        <v>2018</v>
      </c>
      <c r="C192">
        <v>10512</v>
      </c>
      <c r="D192" t="s">
        <v>48</v>
      </c>
      <c r="E192">
        <v>93.052999999999997</v>
      </c>
      <c r="F192" t="s">
        <v>28</v>
      </c>
      <c r="G192">
        <v>31722</v>
      </c>
      <c r="H192">
        <v>288445</v>
      </c>
      <c r="I192" t="str">
        <f>IF(COUNTIF(BudgetAppropData[CFDA], MemberOrgsData[[#This Row],[CFDA]]), "Yes", "No")</f>
        <v>Yes</v>
      </c>
      <c r="J192">
        <f>(COUNTIF(D$2:D192,D192)=1)*1</f>
        <v>0</v>
      </c>
    </row>
    <row r="193" spans="1:10" x14ac:dyDescent="0.25">
      <c r="A193" t="s">
        <v>136</v>
      </c>
      <c r="B193">
        <v>2018</v>
      </c>
      <c r="C193">
        <v>10512</v>
      </c>
      <c r="D193" t="s">
        <v>48</v>
      </c>
      <c r="E193">
        <v>93.052999999999997</v>
      </c>
      <c r="F193" t="s">
        <v>28</v>
      </c>
      <c r="G193">
        <v>256723</v>
      </c>
      <c r="H193">
        <v>288445</v>
      </c>
      <c r="I193" t="str">
        <f>IF(COUNTIF(BudgetAppropData[CFDA], MemberOrgsData[[#This Row],[CFDA]]), "Yes", "No")</f>
        <v>Yes</v>
      </c>
      <c r="J193">
        <f>(COUNTIF(D$2:D193,D193)=1)*1</f>
        <v>0</v>
      </c>
    </row>
    <row r="194" spans="1:10" x14ac:dyDescent="0.25">
      <c r="A194" t="s">
        <v>136</v>
      </c>
      <c r="B194">
        <v>2018</v>
      </c>
      <c r="C194">
        <v>10512</v>
      </c>
      <c r="D194" t="s">
        <v>48</v>
      </c>
      <c r="E194">
        <v>93.558000000000007</v>
      </c>
      <c r="F194" t="s">
        <v>30</v>
      </c>
      <c r="G194">
        <v>538569</v>
      </c>
      <c r="H194">
        <v>4172936</v>
      </c>
      <c r="I194" t="str">
        <f>IF(COUNTIF(BudgetAppropData[CFDA], MemberOrgsData[[#This Row],[CFDA]]), "Yes", "No")</f>
        <v>Yes</v>
      </c>
      <c r="J194">
        <f>(COUNTIF(D$2:D194,D194)=1)*1</f>
        <v>0</v>
      </c>
    </row>
    <row r="195" spans="1:10" x14ac:dyDescent="0.25">
      <c r="A195" t="s">
        <v>136</v>
      </c>
      <c r="B195">
        <v>2018</v>
      </c>
      <c r="C195">
        <v>10512</v>
      </c>
      <c r="D195" t="s">
        <v>48</v>
      </c>
      <c r="E195">
        <v>93.558000000000007</v>
      </c>
      <c r="F195" t="s">
        <v>30</v>
      </c>
      <c r="G195">
        <v>1843721</v>
      </c>
      <c r="H195">
        <v>4172936</v>
      </c>
      <c r="I195" t="str">
        <f>IF(COUNTIF(BudgetAppropData[CFDA], MemberOrgsData[[#This Row],[CFDA]]), "Yes", "No")</f>
        <v>Yes</v>
      </c>
      <c r="J195">
        <f>(COUNTIF(D$2:D195,D195)=1)*1</f>
        <v>0</v>
      </c>
    </row>
    <row r="196" spans="1:10" x14ac:dyDescent="0.25">
      <c r="A196" t="s">
        <v>136</v>
      </c>
      <c r="B196">
        <v>2018</v>
      </c>
      <c r="C196">
        <v>10512</v>
      </c>
      <c r="D196" t="s">
        <v>48</v>
      </c>
      <c r="E196">
        <v>93.558000000000007</v>
      </c>
      <c r="F196" t="s">
        <v>30</v>
      </c>
      <c r="G196">
        <v>1790646</v>
      </c>
      <c r="H196">
        <v>4172936</v>
      </c>
      <c r="I196" t="str">
        <f>IF(COUNTIF(BudgetAppropData[CFDA], MemberOrgsData[[#This Row],[CFDA]]), "Yes", "No")</f>
        <v>Yes</v>
      </c>
      <c r="J196">
        <f>(COUNTIF(D$2:D196,D196)=1)*1</f>
        <v>0</v>
      </c>
    </row>
    <row r="197" spans="1:10" x14ac:dyDescent="0.25">
      <c r="A197" t="s">
        <v>136</v>
      </c>
      <c r="B197">
        <v>2018</v>
      </c>
      <c r="C197">
        <v>10512</v>
      </c>
      <c r="D197" t="s">
        <v>48</v>
      </c>
      <c r="E197">
        <v>93.569000000000003</v>
      </c>
      <c r="F197" t="s">
        <v>31</v>
      </c>
      <c r="G197">
        <v>35248</v>
      </c>
      <c r="H197">
        <v>109115</v>
      </c>
      <c r="I197" t="str">
        <f>IF(COUNTIF(BudgetAppropData[CFDA], MemberOrgsData[[#This Row],[CFDA]]), "Yes", "No")</f>
        <v>Yes</v>
      </c>
      <c r="J197">
        <f>(COUNTIF(D$2:D197,D197)=1)*1</f>
        <v>0</v>
      </c>
    </row>
    <row r="198" spans="1:10" x14ac:dyDescent="0.25">
      <c r="A198" t="s">
        <v>136</v>
      </c>
      <c r="B198">
        <v>2018</v>
      </c>
      <c r="C198">
        <v>10512</v>
      </c>
      <c r="D198" t="s">
        <v>48</v>
      </c>
      <c r="E198">
        <v>93.569000000000003</v>
      </c>
      <c r="F198" t="s">
        <v>31</v>
      </c>
      <c r="G198">
        <v>73867</v>
      </c>
      <c r="H198">
        <v>109115</v>
      </c>
      <c r="I198" t="str">
        <f>IF(COUNTIF(BudgetAppropData[CFDA], MemberOrgsData[[#This Row],[CFDA]]), "Yes", "No")</f>
        <v>Yes</v>
      </c>
      <c r="J198">
        <f>(COUNTIF(D$2:D198,D198)=1)*1</f>
        <v>0</v>
      </c>
    </row>
    <row r="199" spans="1:10" x14ac:dyDescent="0.25">
      <c r="A199" t="s">
        <v>136</v>
      </c>
      <c r="B199">
        <v>2018</v>
      </c>
      <c r="C199">
        <v>10512</v>
      </c>
      <c r="D199" t="s">
        <v>48</v>
      </c>
      <c r="E199">
        <v>93.6</v>
      </c>
      <c r="F199" t="s">
        <v>20</v>
      </c>
      <c r="G199">
        <v>547410</v>
      </c>
      <c r="H199">
        <v>547410</v>
      </c>
      <c r="I199" t="str">
        <f>IF(COUNTIF(BudgetAppropData[CFDA], MemberOrgsData[[#This Row],[CFDA]]), "Yes", "No")</f>
        <v>Yes</v>
      </c>
      <c r="J199">
        <f>(COUNTIF(D$2:D199,D199)=1)*1</f>
        <v>0</v>
      </c>
    </row>
    <row r="200" spans="1:10" x14ac:dyDescent="0.25">
      <c r="A200" t="s">
        <v>136</v>
      </c>
      <c r="B200">
        <v>2018</v>
      </c>
      <c r="C200">
        <v>10512</v>
      </c>
      <c r="D200" t="s">
        <v>48</v>
      </c>
      <c r="E200">
        <v>93.667000000000002</v>
      </c>
      <c r="F200" t="s">
        <v>22</v>
      </c>
      <c r="G200">
        <v>65565</v>
      </c>
      <c r="H200">
        <v>830932</v>
      </c>
      <c r="I200" t="str">
        <f>IF(COUNTIF(BudgetAppropData[CFDA], MemberOrgsData[[#This Row],[CFDA]]), "Yes", "No")</f>
        <v>Yes</v>
      </c>
      <c r="J200">
        <f>(COUNTIF(D$2:D200,D200)=1)*1</f>
        <v>0</v>
      </c>
    </row>
    <row r="201" spans="1:10" x14ac:dyDescent="0.25">
      <c r="A201" t="s">
        <v>136</v>
      </c>
      <c r="B201">
        <v>2018</v>
      </c>
      <c r="C201">
        <v>10512</v>
      </c>
      <c r="D201" t="s">
        <v>48</v>
      </c>
      <c r="E201">
        <v>93.667000000000002</v>
      </c>
      <c r="F201" t="s">
        <v>22</v>
      </c>
      <c r="G201">
        <v>653507</v>
      </c>
      <c r="H201">
        <v>830932</v>
      </c>
      <c r="I201" t="str">
        <f>IF(COUNTIF(BudgetAppropData[CFDA], MemberOrgsData[[#This Row],[CFDA]]), "Yes", "No")</f>
        <v>Yes</v>
      </c>
      <c r="J201">
        <f>(COUNTIF(D$2:D201,D201)=1)*1</f>
        <v>0</v>
      </c>
    </row>
    <row r="202" spans="1:10" x14ac:dyDescent="0.25">
      <c r="A202" t="s">
        <v>136</v>
      </c>
      <c r="B202">
        <v>2018</v>
      </c>
      <c r="C202">
        <v>10512</v>
      </c>
      <c r="D202" t="s">
        <v>48</v>
      </c>
      <c r="E202">
        <v>93.667000000000002</v>
      </c>
      <c r="F202" t="s">
        <v>22</v>
      </c>
      <c r="G202">
        <v>111860</v>
      </c>
      <c r="H202">
        <v>830932</v>
      </c>
      <c r="I202" t="str">
        <f>IF(COUNTIF(BudgetAppropData[CFDA], MemberOrgsData[[#This Row],[CFDA]]), "Yes", "No")</f>
        <v>Yes</v>
      </c>
      <c r="J202">
        <f>(COUNTIF(D$2:D202,D202)=1)*1</f>
        <v>0</v>
      </c>
    </row>
    <row r="203" spans="1:10" x14ac:dyDescent="0.25">
      <c r="A203" t="s">
        <v>136</v>
      </c>
      <c r="B203">
        <v>2018</v>
      </c>
      <c r="C203">
        <v>10512</v>
      </c>
      <c r="D203" t="s">
        <v>48</v>
      </c>
      <c r="E203">
        <v>93.671000000000006</v>
      </c>
      <c r="F203" t="s">
        <v>108</v>
      </c>
      <c r="G203">
        <v>92235</v>
      </c>
      <c r="H203">
        <v>92235</v>
      </c>
      <c r="I203" t="str">
        <f>IF(COUNTIF(BudgetAppropData[CFDA], MemberOrgsData[[#This Row],[CFDA]]), "Yes", "No")</f>
        <v>Yes</v>
      </c>
      <c r="J203">
        <f>(COUNTIF(D$2:D203,D203)=1)*1</f>
        <v>0</v>
      </c>
    </row>
    <row r="204" spans="1:10" x14ac:dyDescent="0.25">
      <c r="A204" t="s">
        <v>136</v>
      </c>
      <c r="B204">
        <v>2018</v>
      </c>
      <c r="C204">
        <v>10512</v>
      </c>
      <c r="D204" t="s">
        <v>48</v>
      </c>
      <c r="E204">
        <v>97.024000000000001</v>
      </c>
      <c r="F204" t="s">
        <v>52</v>
      </c>
      <c r="G204">
        <v>22000</v>
      </c>
      <c r="H204">
        <v>22000</v>
      </c>
      <c r="I204" t="str">
        <f>IF(COUNTIF(BudgetAppropData[CFDA], MemberOrgsData[[#This Row],[CFDA]]), "Yes", "No")</f>
        <v>Yes</v>
      </c>
      <c r="J204">
        <f>(COUNTIF(D$2:D204,D204)=1)*1</f>
        <v>0</v>
      </c>
    </row>
    <row r="205" spans="1:10" x14ac:dyDescent="0.25">
      <c r="A205" t="s">
        <v>139</v>
      </c>
      <c r="B205">
        <v>2018</v>
      </c>
      <c r="C205">
        <v>190374</v>
      </c>
      <c r="D205" t="s">
        <v>53</v>
      </c>
      <c r="E205">
        <v>10.558</v>
      </c>
      <c r="F205" t="s">
        <v>24</v>
      </c>
      <c r="G205">
        <v>715783</v>
      </c>
      <c r="H205">
        <v>1032143</v>
      </c>
      <c r="I205" t="str">
        <f>IF(COUNTIF(BudgetAppropData[CFDA], MemberOrgsData[[#This Row],[CFDA]]), "Yes", "No")</f>
        <v>Yes</v>
      </c>
      <c r="J205">
        <f>(COUNTIF(D$2:D205,D205)=1)*1</f>
        <v>1</v>
      </c>
    </row>
    <row r="206" spans="1:10" x14ac:dyDescent="0.25">
      <c r="A206" t="s">
        <v>139</v>
      </c>
      <c r="B206">
        <v>2018</v>
      </c>
      <c r="C206">
        <v>190374</v>
      </c>
      <c r="D206" t="s">
        <v>53</v>
      </c>
      <c r="E206">
        <v>10.558</v>
      </c>
      <c r="F206" t="s">
        <v>24</v>
      </c>
      <c r="G206">
        <v>316360</v>
      </c>
      <c r="H206">
        <v>1032143</v>
      </c>
      <c r="I206" t="str">
        <f>IF(COUNTIF(BudgetAppropData[CFDA], MemberOrgsData[[#This Row],[CFDA]]), "Yes", "No")</f>
        <v>Yes</v>
      </c>
      <c r="J206">
        <f>(COUNTIF(D$2:D206,D206)=1)*1</f>
        <v>0</v>
      </c>
    </row>
    <row r="207" spans="1:10" x14ac:dyDescent="0.25">
      <c r="A207" t="s">
        <v>139</v>
      </c>
      <c r="B207">
        <v>2018</v>
      </c>
      <c r="C207">
        <v>190374</v>
      </c>
      <c r="D207" t="s">
        <v>53</v>
      </c>
      <c r="E207">
        <v>93.6</v>
      </c>
      <c r="F207" t="s">
        <v>20</v>
      </c>
      <c r="G207">
        <v>1366054</v>
      </c>
      <c r="H207">
        <v>1366054</v>
      </c>
      <c r="I207" t="str">
        <f>IF(COUNTIF(BudgetAppropData[CFDA], MemberOrgsData[[#This Row],[CFDA]]), "Yes", "No")</f>
        <v>Yes</v>
      </c>
      <c r="J207">
        <f>(COUNTIF(D$2:D207,D207)=1)*1</f>
        <v>0</v>
      </c>
    </row>
    <row r="208" spans="1:10" x14ac:dyDescent="0.25">
      <c r="A208" t="s">
        <v>139</v>
      </c>
      <c r="B208">
        <v>2018</v>
      </c>
      <c r="C208">
        <v>236052</v>
      </c>
      <c r="D208" t="s">
        <v>80</v>
      </c>
      <c r="E208">
        <v>14.234999999999999</v>
      </c>
      <c r="F208" t="s">
        <v>11</v>
      </c>
      <c r="G208">
        <v>2156669</v>
      </c>
      <c r="H208">
        <v>2156669</v>
      </c>
      <c r="I208" t="str">
        <f>IF(COUNTIF(BudgetAppropData[CFDA], MemberOrgsData[[#This Row],[CFDA]]), "Yes", "No")</f>
        <v>No</v>
      </c>
      <c r="J208">
        <f>(COUNTIF(D$2:D208,D208)=1)*1</f>
        <v>1</v>
      </c>
    </row>
    <row r="209" spans="1:10" x14ac:dyDescent="0.25">
      <c r="A209" t="s">
        <v>139</v>
      </c>
      <c r="B209">
        <v>2018</v>
      </c>
      <c r="C209">
        <v>236052</v>
      </c>
      <c r="D209" t="s">
        <v>80</v>
      </c>
      <c r="E209">
        <v>14.238</v>
      </c>
      <c r="F209" t="s">
        <v>49</v>
      </c>
      <c r="G209">
        <v>237465</v>
      </c>
      <c r="H209">
        <v>237465</v>
      </c>
      <c r="I209" t="str">
        <f>IF(COUNTIF(BudgetAppropData[CFDA], MemberOrgsData[[#This Row],[CFDA]]), "Yes", "No")</f>
        <v>No</v>
      </c>
      <c r="J209">
        <f>(COUNTIF(D$2:D209,D209)=1)*1</f>
        <v>0</v>
      </c>
    </row>
    <row r="210" spans="1:10" x14ac:dyDescent="0.25">
      <c r="A210" t="s">
        <v>8</v>
      </c>
      <c r="B210">
        <v>2018</v>
      </c>
      <c r="C210">
        <v>15209</v>
      </c>
      <c r="D210" t="s">
        <v>54</v>
      </c>
      <c r="E210">
        <v>94.019000000000005</v>
      </c>
      <c r="F210" t="s">
        <v>51</v>
      </c>
      <c r="G210">
        <v>93989</v>
      </c>
      <c r="H210">
        <v>93989</v>
      </c>
      <c r="I210" t="str">
        <f>IF(COUNTIF(BudgetAppropData[CFDA], MemberOrgsData[[#This Row],[CFDA]]), "Yes", "No")</f>
        <v>No</v>
      </c>
      <c r="J210">
        <f>(COUNTIF(D$2:D210,D210)=1)*1</f>
        <v>1</v>
      </c>
    </row>
    <row r="211" spans="1:10" x14ac:dyDescent="0.25">
      <c r="A211" t="s">
        <v>8</v>
      </c>
      <c r="B211">
        <v>2018</v>
      </c>
      <c r="C211">
        <v>15209</v>
      </c>
      <c r="D211" t="s">
        <v>54</v>
      </c>
      <c r="E211">
        <v>10.558</v>
      </c>
      <c r="F211" t="s">
        <v>24</v>
      </c>
      <c r="G211">
        <v>220131</v>
      </c>
      <c r="H211">
        <v>220131</v>
      </c>
      <c r="I211" t="str">
        <f>IF(COUNTIF(BudgetAppropData[CFDA], MemberOrgsData[[#This Row],[CFDA]]), "Yes", "No")</f>
        <v>Yes</v>
      </c>
      <c r="J211">
        <f>(COUNTIF(D$2:D211,D211)=1)*1</f>
        <v>0</v>
      </c>
    </row>
    <row r="212" spans="1:10" x14ac:dyDescent="0.25">
      <c r="A212" t="s">
        <v>8</v>
      </c>
      <c r="B212">
        <v>2018</v>
      </c>
      <c r="C212">
        <v>15209</v>
      </c>
      <c r="D212" t="s">
        <v>54</v>
      </c>
      <c r="E212">
        <v>84.287000000000006</v>
      </c>
      <c r="F212" t="s">
        <v>41</v>
      </c>
      <c r="G212">
        <v>40673</v>
      </c>
      <c r="H212">
        <v>40673</v>
      </c>
      <c r="I212" t="str">
        <f>IF(COUNTIF(BudgetAppropData[CFDA], MemberOrgsData[[#This Row],[CFDA]]), "Yes", "No")</f>
        <v>Yes</v>
      </c>
      <c r="J212">
        <f>(COUNTIF(D$2:D212,D212)=1)*1</f>
        <v>0</v>
      </c>
    </row>
    <row r="213" spans="1:10" x14ac:dyDescent="0.25">
      <c r="A213" t="s">
        <v>8</v>
      </c>
      <c r="B213">
        <v>2018</v>
      </c>
      <c r="C213">
        <v>15209</v>
      </c>
      <c r="D213" t="s">
        <v>54</v>
      </c>
      <c r="E213">
        <v>93.043000000000006</v>
      </c>
      <c r="F213" t="s">
        <v>105</v>
      </c>
      <c r="G213">
        <v>48325</v>
      </c>
      <c r="H213">
        <v>48325</v>
      </c>
      <c r="I213" t="str">
        <f>IF(COUNTIF(BudgetAppropData[CFDA], MemberOrgsData[[#This Row],[CFDA]]), "Yes", "No")</f>
        <v>Yes</v>
      </c>
      <c r="J213">
        <f>(COUNTIF(D$2:D213,D213)=1)*1</f>
        <v>0</v>
      </c>
    </row>
    <row r="214" spans="1:10" x14ac:dyDescent="0.25">
      <c r="A214" t="s">
        <v>8</v>
      </c>
      <c r="B214">
        <v>2018</v>
      </c>
      <c r="C214">
        <v>15209</v>
      </c>
      <c r="D214" t="s">
        <v>54</v>
      </c>
      <c r="E214">
        <v>93.043999999999997</v>
      </c>
      <c r="F214" t="s">
        <v>106</v>
      </c>
      <c r="G214">
        <v>16016</v>
      </c>
      <c r="H214">
        <v>16016</v>
      </c>
      <c r="I214" t="str">
        <f>IF(COUNTIF(BudgetAppropData[CFDA], MemberOrgsData[[#This Row],[CFDA]]), "Yes", "No")</f>
        <v>Yes</v>
      </c>
      <c r="J214">
        <f>(COUNTIF(D$2:D214,D214)=1)*1</f>
        <v>0</v>
      </c>
    </row>
    <row r="215" spans="1:10" x14ac:dyDescent="0.25">
      <c r="A215" t="s">
        <v>8</v>
      </c>
      <c r="B215">
        <v>2018</v>
      </c>
      <c r="C215">
        <v>15209</v>
      </c>
      <c r="D215" t="s">
        <v>54</v>
      </c>
      <c r="E215">
        <v>93.045000000000002</v>
      </c>
      <c r="F215" t="s">
        <v>64</v>
      </c>
      <c r="G215">
        <v>133411</v>
      </c>
      <c r="H215">
        <v>133411</v>
      </c>
      <c r="I215" t="str">
        <f>IF(COUNTIF(BudgetAppropData[CFDA], MemberOrgsData[[#This Row],[CFDA]]), "Yes", "No")</f>
        <v>Yes</v>
      </c>
      <c r="J215">
        <f>(COUNTIF(D$2:D215,D215)=1)*1</f>
        <v>0</v>
      </c>
    </row>
    <row r="216" spans="1:10" x14ac:dyDescent="0.25">
      <c r="A216" t="s">
        <v>8</v>
      </c>
      <c r="B216">
        <v>2018</v>
      </c>
      <c r="C216">
        <v>15209</v>
      </c>
      <c r="D216" t="s">
        <v>54</v>
      </c>
      <c r="E216">
        <v>93.052999999999997</v>
      </c>
      <c r="F216" t="s">
        <v>28</v>
      </c>
      <c r="G216">
        <v>21836</v>
      </c>
      <c r="H216">
        <v>21836</v>
      </c>
      <c r="I216" t="str">
        <f>IF(COUNTIF(BudgetAppropData[CFDA], MemberOrgsData[[#This Row],[CFDA]]), "Yes", "No")</f>
        <v>Yes</v>
      </c>
      <c r="J216">
        <f>(COUNTIF(D$2:D216,D216)=1)*1</f>
        <v>0</v>
      </c>
    </row>
    <row r="217" spans="1:10" x14ac:dyDescent="0.25">
      <c r="A217" t="s">
        <v>8</v>
      </c>
      <c r="B217">
        <v>2018</v>
      </c>
      <c r="C217">
        <v>15209</v>
      </c>
      <c r="D217" t="s">
        <v>54</v>
      </c>
      <c r="E217">
        <v>93.558000000000007</v>
      </c>
      <c r="F217" t="s">
        <v>30</v>
      </c>
      <c r="G217">
        <v>35244</v>
      </c>
      <c r="H217">
        <v>35244</v>
      </c>
      <c r="I217" t="str">
        <f>IF(COUNTIF(BudgetAppropData[CFDA], MemberOrgsData[[#This Row],[CFDA]]), "Yes", "No")</f>
        <v>Yes</v>
      </c>
      <c r="J217">
        <f>(COUNTIF(D$2:D217,D217)=1)*1</f>
        <v>0</v>
      </c>
    </row>
    <row r="218" spans="1:10" x14ac:dyDescent="0.25">
      <c r="A218" t="s">
        <v>8</v>
      </c>
      <c r="B218">
        <v>2018</v>
      </c>
      <c r="C218">
        <v>15209</v>
      </c>
      <c r="D218" t="s">
        <v>54</v>
      </c>
      <c r="E218">
        <v>93.6</v>
      </c>
      <c r="F218" t="s">
        <v>20</v>
      </c>
      <c r="G218">
        <v>566196</v>
      </c>
      <c r="H218">
        <v>1504652</v>
      </c>
      <c r="I218" t="str">
        <f>IF(COUNTIF(BudgetAppropData[CFDA], MemberOrgsData[[#This Row],[CFDA]]), "Yes", "No")</f>
        <v>Yes</v>
      </c>
      <c r="J218">
        <f>(COUNTIF(D$2:D218,D218)=1)*1</f>
        <v>0</v>
      </c>
    </row>
    <row r="219" spans="1:10" x14ac:dyDescent="0.25">
      <c r="A219" t="s">
        <v>8</v>
      </c>
      <c r="B219">
        <v>2018</v>
      </c>
      <c r="C219">
        <v>15209</v>
      </c>
      <c r="D219" t="s">
        <v>54</v>
      </c>
      <c r="E219">
        <v>93.6</v>
      </c>
      <c r="F219" t="s">
        <v>20</v>
      </c>
      <c r="G219">
        <v>938456</v>
      </c>
      <c r="H219">
        <v>1504652</v>
      </c>
      <c r="I219" t="str">
        <f>IF(COUNTIF(BudgetAppropData[CFDA], MemberOrgsData[[#This Row],[CFDA]]), "Yes", "No")</f>
        <v>Yes</v>
      </c>
      <c r="J219">
        <f>(COUNTIF(D$2:D219,D219)=1)*1</f>
        <v>0</v>
      </c>
    </row>
    <row r="220" spans="1:10" x14ac:dyDescent="0.25">
      <c r="A220" t="s">
        <v>8</v>
      </c>
      <c r="B220">
        <v>2018</v>
      </c>
      <c r="C220">
        <v>15209</v>
      </c>
      <c r="D220" t="s">
        <v>54</v>
      </c>
      <c r="E220">
        <v>93.667000000000002</v>
      </c>
      <c r="F220" t="s">
        <v>22</v>
      </c>
      <c r="G220">
        <v>123616</v>
      </c>
      <c r="H220">
        <v>123616</v>
      </c>
      <c r="I220" t="str">
        <f>IF(COUNTIF(BudgetAppropData[CFDA], MemberOrgsData[[#This Row],[CFDA]]), "Yes", "No")</f>
        <v>Yes</v>
      </c>
      <c r="J220">
        <f>(COUNTIF(D$2:D220,D220)=1)*1</f>
        <v>0</v>
      </c>
    </row>
    <row r="221" spans="1:10" x14ac:dyDescent="0.25">
      <c r="A221" t="s">
        <v>8</v>
      </c>
      <c r="B221">
        <v>2018</v>
      </c>
      <c r="C221">
        <v>72200</v>
      </c>
      <c r="D221" t="s">
        <v>55</v>
      </c>
      <c r="E221">
        <v>16.574999999999999</v>
      </c>
      <c r="F221" t="s">
        <v>56</v>
      </c>
      <c r="G221">
        <v>224790</v>
      </c>
      <c r="H221">
        <v>224790</v>
      </c>
      <c r="I221" t="str">
        <f>IF(COUNTIF(BudgetAppropData[CFDA], MemberOrgsData[[#This Row],[CFDA]]), "Yes", "No")</f>
        <v>No</v>
      </c>
      <c r="J221">
        <f>(COUNTIF(D$2:D221,D221)=1)*1</f>
        <v>1</v>
      </c>
    </row>
    <row r="222" spans="1:10" x14ac:dyDescent="0.25">
      <c r="A222" t="s">
        <v>8</v>
      </c>
      <c r="B222">
        <v>2018</v>
      </c>
      <c r="C222">
        <v>72200</v>
      </c>
      <c r="D222" t="s">
        <v>55</v>
      </c>
      <c r="E222">
        <v>17.234999999999999</v>
      </c>
      <c r="F222" t="s">
        <v>90</v>
      </c>
      <c r="G222">
        <v>586200</v>
      </c>
      <c r="H222">
        <v>586200</v>
      </c>
      <c r="I222" t="str">
        <f>IF(COUNTIF(BudgetAppropData[CFDA], MemberOrgsData[[#This Row],[CFDA]]), "Yes", "No")</f>
        <v>Yes</v>
      </c>
      <c r="J222">
        <f>(COUNTIF(D$2:D222,D222)=1)*1</f>
        <v>0</v>
      </c>
    </row>
    <row r="223" spans="1:10" x14ac:dyDescent="0.25">
      <c r="A223" t="s">
        <v>8</v>
      </c>
      <c r="B223">
        <v>2018</v>
      </c>
      <c r="C223">
        <v>72200</v>
      </c>
      <c r="D223" t="s">
        <v>55</v>
      </c>
      <c r="E223">
        <v>93.043999999999997</v>
      </c>
      <c r="F223" t="s">
        <v>106</v>
      </c>
      <c r="G223">
        <v>67408</v>
      </c>
      <c r="H223">
        <v>67408</v>
      </c>
      <c r="I223" t="str">
        <f>IF(COUNTIF(BudgetAppropData[CFDA], MemberOrgsData[[#This Row],[CFDA]]), "Yes", "No")</f>
        <v>Yes</v>
      </c>
      <c r="J223">
        <f>(COUNTIF(D$2:D223,D223)=1)*1</f>
        <v>0</v>
      </c>
    </row>
    <row r="224" spans="1:10" x14ac:dyDescent="0.25">
      <c r="A224" t="s">
        <v>8</v>
      </c>
      <c r="B224">
        <v>2018</v>
      </c>
      <c r="C224">
        <v>72200</v>
      </c>
      <c r="D224" t="s">
        <v>55</v>
      </c>
      <c r="E224">
        <v>93.045000000000002</v>
      </c>
      <c r="F224" t="s">
        <v>64</v>
      </c>
      <c r="G224">
        <v>148550</v>
      </c>
      <c r="H224">
        <v>148550</v>
      </c>
      <c r="I224" t="str">
        <f>IF(COUNTIF(BudgetAppropData[CFDA], MemberOrgsData[[#This Row],[CFDA]]), "Yes", "No")</f>
        <v>Yes</v>
      </c>
      <c r="J224">
        <f>(COUNTIF(D$2:D224,D224)=1)*1</f>
        <v>0</v>
      </c>
    </row>
    <row r="225" spans="1:10" x14ac:dyDescent="0.25">
      <c r="A225" t="s">
        <v>8</v>
      </c>
      <c r="B225">
        <v>2018</v>
      </c>
      <c r="C225">
        <v>72200</v>
      </c>
      <c r="D225" t="s">
        <v>55</v>
      </c>
      <c r="E225">
        <v>93.052999999999997</v>
      </c>
      <c r="F225" t="s">
        <v>28</v>
      </c>
      <c r="G225">
        <v>52532</v>
      </c>
      <c r="H225">
        <v>52532</v>
      </c>
      <c r="I225" t="str">
        <f>IF(COUNTIF(BudgetAppropData[CFDA], MemberOrgsData[[#This Row],[CFDA]]), "Yes", "No")</f>
        <v>Yes</v>
      </c>
      <c r="J225">
        <f>(COUNTIF(D$2:D225,D225)=1)*1</f>
        <v>0</v>
      </c>
    </row>
    <row r="226" spans="1:10" x14ac:dyDescent="0.25">
      <c r="A226" t="s">
        <v>8</v>
      </c>
      <c r="B226">
        <v>2018</v>
      </c>
      <c r="C226">
        <v>72200</v>
      </c>
      <c r="D226" t="s">
        <v>55</v>
      </c>
      <c r="E226">
        <v>93.667000000000002</v>
      </c>
      <c r="F226" t="s">
        <v>22</v>
      </c>
      <c r="G226">
        <v>365600</v>
      </c>
      <c r="H226">
        <v>365600</v>
      </c>
      <c r="I226" t="str">
        <f>IF(COUNTIF(BudgetAppropData[CFDA], MemberOrgsData[[#This Row],[CFDA]]), "Yes", "No")</f>
        <v>Yes</v>
      </c>
      <c r="J226">
        <f>(COUNTIF(D$2:D226,D226)=1)*1</f>
        <v>0</v>
      </c>
    </row>
    <row r="227" spans="1:10" x14ac:dyDescent="0.25">
      <c r="A227" t="s">
        <v>8</v>
      </c>
      <c r="B227">
        <v>2018</v>
      </c>
      <c r="C227">
        <v>72200</v>
      </c>
      <c r="D227" t="s">
        <v>55</v>
      </c>
      <c r="E227">
        <v>97.024000000000001</v>
      </c>
      <c r="F227" t="s">
        <v>52</v>
      </c>
      <c r="G227">
        <v>11295</v>
      </c>
      <c r="H227">
        <v>11295</v>
      </c>
      <c r="I227" t="str">
        <f>IF(COUNTIF(BudgetAppropData[CFDA], MemberOrgsData[[#This Row],[CFDA]]), "Yes", "No")</f>
        <v>Yes</v>
      </c>
      <c r="J227">
        <f>(COUNTIF(D$2:D227,D227)=1)*1</f>
        <v>0</v>
      </c>
    </row>
    <row r="228" spans="1:10" x14ac:dyDescent="0.25">
      <c r="A228" t="s">
        <v>139</v>
      </c>
      <c r="B228">
        <v>2018</v>
      </c>
      <c r="C228">
        <v>10636</v>
      </c>
      <c r="D228" t="s">
        <v>57</v>
      </c>
      <c r="E228">
        <v>10.553000000000001</v>
      </c>
      <c r="F228" t="s">
        <v>44</v>
      </c>
      <c r="G228">
        <v>132877</v>
      </c>
      <c r="H228">
        <v>132877</v>
      </c>
      <c r="I228" t="str">
        <f>IF(COUNTIF(BudgetAppropData[CFDA], MemberOrgsData[[#This Row],[CFDA]]), "Yes", "No")</f>
        <v>No</v>
      </c>
      <c r="J228">
        <f>(COUNTIF(D$2:D228,D228)=1)*1</f>
        <v>1</v>
      </c>
    </row>
    <row r="229" spans="1:10" x14ac:dyDescent="0.25">
      <c r="A229" t="s">
        <v>139</v>
      </c>
      <c r="B229">
        <v>2018</v>
      </c>
      <c r="C229">
        <v>10636</v>
      </c>
      <c r="D229" t="s">
        <v>57</v>
      </c>
      <c r="E229">
        <v>10.555</v>
      </c>
      <c r="F229" t="s">
        <v>45</v>
      </c>
      <c r="G229">
        <v>246886</v>
      </c>
      <c r="H229">
        <v>246886</v>
      </c>
      <c r="I229" t="str">
        <f>IF(COUNTIF(BudgetAppropData[CFDA], MemberOrgsData[[#This Row],[CFDA]]), "Yes", "No")</f>
        <v>No</v>
      </c>
      <c r="J229">
        <f>(COUNTIF(D$2:D229,D229)=1)*1</f>
        <v>0</v>
      </c>
    </row>
    <row r="230" spans="1:10" x14ac:dyDescent="0.25">
      <c r="A230" t="s">
        <v>139</v>
      </c>
      <c r="B230">
        <v>2018</v>
      </c>
      <c r="C230">
        <v>10636</v>
      </c>
      <c r="D230" t="s">
        <v>57</v>
      </c>
      <c r="E230">
        <v>93.296999999999997</v>
      </c>
      <c r="F230" t="s">
        <v>92</v>
      </c>
      <c r="G230">
        <v>20000</v>
      </c>
      <c r="H230">
        <v>20000</v>
      </c>
      <c r="I230" t="str">
        <f>IF(COUNTIF(BudgetAppropData[CFDA], MemberOrgsData[[#This Row],[CFDA]]), "Yes", "No")</f>
        <v>No</v>
      </c>
      <c r="J230">
        <f>(COUNTIF(D$2:D230,D230)=1)*1</f>
        <v>0</v>
      </c>
    </row>
    <row r="231" spans="1:10" x14ac:dyDescent="0.25">
      <c r="A231" t="s">
        <v>139</v>
      </c>
      <c r="B231">
        <v>2018</v>
      </c>
      <c r="C231">
        <v>10636</v>
      </c>
      <c r="D231" t="s">
        <v>57</v>
      </c>
      <c r="E231">
        <v>84.126000000000005</v>
      </c>
      <c r="F231" t="s">
        <v>114</v>
      </c>
      <c r="G231">
        <v>36582</v>
      </c>
      <c r="H231">
        <v>36582</v>
      </c>
      <c r="I231" t="str">
        <f>IF(COUNTIF(BudgetAppropData[CFDA], MemberOrgsData[[#This Row],[CFDA]]), "Yes", "No")</f>
        <v>Yes</v>
      </c>
      <c r="J231">
        <f>(COUNTIF(D$2:D231,D231)=1)*1</f>
        <v>0</v>
      </c>
    </row>
    <row r="232" spans="1:10" x14ac:dyDescent="0.25">
      <c r="A232" t="s">
        <v>139</v>
      </c>
      <c r="B232">
        <v>2018</v>
      </c>
      <c r="C232">
        <v>10636</v>
      </c>
      <c r="D232" t="s">
        <v>57</v>
      </c>
      <c r="E232">
        <v>93.268000000000001</v>
      </c>
      <c r="F232" t="s">
        <v>91</v>
      </c>
      <c r="G232">
        <v>57256</v>
      </c>
      <c r="H232">
        <v>57256</v>
      </c>
      <c r="I232" t="str">
        <f>IF(COUNTIF(BudgetAppropData[CFDA], MemberOrgsData[[#This Row],[CFDA]]), "Yes", "No")</f>
        <v>Yes</v>
      </c>
      <c r="J232">
        <f>(COUNTIF(D$2:D232,D232)=1)*1</f>
        <v>0</v>
      </c>
    </row>
    <row r="233" spans="1:10" x14ac:dyDescent="0.25">
      <c r="A233" t="s">
        <v>139</v>
      </c>
      <c r="B233">
        <v>2018</v>
      </c>
      <c r="C233">
        <v>10636</v>
      </c>
      <c r="D233" t="s">
        <v>57</v>
      </c>
      <c r="E233">
        <v>93.676000000000002</v>
      </c>
      <c r="F233" t="s">
        <v>67</v>
      </c>
      <c r="G233">
        <v>1608929</v>
      </c>
      <c r="H233">
        <v>1608929</v>
      </c>
      <c r="I233" t="str">
        <f>IF(COUNTIF(BudgetAppropData[CFDA], MemberOrgsData[[#This Row],[CFDA]]), "Yes", "No")</f>
        <v>Yes</v>
      </c>
      <c r="J233">
        <f>(COUNTIF(D$2:D233,D233)=1)*1</f>
        <v>0</v>
      </c>
    </row>
    <row r="234" spans="1:10" x14ac:dyDescent="0.25">
      <c r="A234" t="s">
        <v>139</v>
      </c>
      <c r="B234">
        <v>2018</v>
      </c>
      <c r="C234">
        <v>10636</v>
      </c>
      <c r="D234" t="s">
        <v>57</v>
      </c>
      <c r="E234">
        <v>93.778000000000006</v>
      </c>
      <c r="F234" t="s">
        <v>34</v>
      </c>
      <c r="G234">
        <v>61000</v>
      </c>
      <c r="H234">
        <v>61000</v>
      </c>
      <c r="I234" t="str">
        <f>IF(COUNTIF(BudgetAppropData[CFDA], MemberOrgsData[[#This Row],[CFDA]]), "Yes", "No")</f>
        <v>Yes</v>
      </c>
      <c r="J234">
        <f>(COUNTIF(D$2:D234,D234)=1)*1</f>
        <v>0</v>
      </c>
    </row>
    <row r="235" spans="1:10" x14ac:dyDescent="0.25">
      <c r="A235" t="s">
        <v>136</v>
      </c>
      <c r="B235">
        <v>2018</v>
      </c>
      <c r="C235">
        <v>11228</v>
      </c>
      <c r="D235" t="s">
        <v>81</v>
      </c>
      <c r="E235">
        <v>10.553000000000001</v>
      </c>
      <c r="F235" t="s">
        <v>44</v>
      </c>
      <c r="G235">
        <v>91468</v>
      </c>
      <c r="H235">
        <v>91468</v>
      </c>
      <c r="I235" t="str">
        <f>IF(COUNTIF(BudgetAppropData[CFDA], MemberOrgsData[[#This Row],[CFDA]]), "Yes", "No")</f>
        <v>No</v>
      </c>
      <c r="J235">
        <f>(COUNTIF(D$2:D235,D235)=1)*1</f>
        <v>1</v>
      </c>
    </row>
    <row r="236" spans="1:10" x14ac:dyDescent="0.25">
      <c r="A236" t="s">
        <v>136</v>
      </c>
      <c r="B236">
        <v>2018</v>
      </c>
      <c r="C236">
        <v>11228</v>
      </c>
      <c r="D236" t="s">
        <v>81</v>
      </c>
      <c r="E236">
        <v>10.555</v>
      </c>
      <c r="F236" t="s">
        <v>45</v>
      </c>
      <c r="G236">
        <v>159046</v>
      </c>
      <c r="H236">
        <v>159046</v>
      </c>
      <c r="I236" t="str">
        <f>IF(COUNTIF(BudgetAppropData[CFDA], MemberOrgsData[[#This Row],[CFDA]]), "Yes", "No")</f>
        <v>No</v>
      </c>
      <c r="J236">
        <f>(COUNTIF(D$2:D236,D236)=1)*1</f>
        <v>0</v>
      </c>
    </row>
    <row r="237" spans="1:10" x14ac:dyDescent="0.25">
      <c r="A237" t="s">
        <v>136</v>
      </c>
      <c r="B237">
        <v>2018</v>
      </c>
      <c r="C237">
        <v>11228</v>
      </c>
      <c r="D237" t="s">
        <v>81</v>
      </c>
      <c r="E237" t="s">
        <v>129</v>
      </c>
      <c r="F237" t="s">
        <v>138</v>
      </c>
      <c r="G237">
        <v>49000</v>
      </c>
      <c r="H237">
        <v>49000</v>
      </c>
      <c r="I237" t="str">
        <f>IF(COUNTIF(BudgetAppropData[CFDA], MemberOrgsData[[#This Row],[CFDA]]), "Yes", "No")</f>
        <v>No</v>
      </c>
      <c r="J237">
        <f>(COUNTIF(D$2:D237,D237)=1)*1</f>
        <v>0</v>
      </c>
    </row>
    <row r="238" spans="1:10" x14ac:dyDescent="0.25">
      <c r="A238" t="s">
        <v>136</v>
      </c>
      <c r="B238">
        <v>2018</v>
      </c>
      <c r="C238">
        <v>11228</v>
      </c>
      <c r="D238" t="s">
        <v>81</v>
      </c>
      <c r="E238">
        <v>10.558</v>
      </c>
      <c r="F238" t="s">
        <v>24</v>
      </c>
      <c r="G238">
        <v>163323</v>
      </c>
      <c r="H238">
        <v>163323</v>
      </c>
      <c r="I238" t="str">
        <f>IF(COUNTIF(BudgetAppropData[CFDA], MemberOrgsData[[#This Row],[CFDA]]), "Yes", "No")</f>
        <v>Yes</v>
      </c>
      <c r="J238">
        <f>(COUNTIF(D$2:D238,D238)=1)*1</f>
        <v>0</v>
      </c>
    </row>
    <row r="239" spans="1:10" x14ac:dyDescent="0.25">
      <c r="A239" t="s">
        <v>136</v>
      </c>
      <c r="B239">
        <v>2018</v>
      </c>
      <c r="C239">
        <v>11228</v>
      </c>
      <c r="D239" t="s">
        <v>81</v>
      </c>
      <c r="E239">
        <v>93.6</v>
      </c>
      <c r="F239" t="s">
        <v>20</v>
      </c>
      <c r="G239">
        <v>2685573</v>
      </c>
      <c r="H239">
        <v>2685573</v>
      </c>
      <c r="I239" t="str">
        <f>IF(COUNTIF(BudgetAppropData[CFDA], MemberOrgsData[[#This Row],[CFDA]]), "Yes", "No")</f>
        <v>Yes</v>
      </c>
      <c r="J239">
        <f>(COUNTIF(D$2:D239,D239)=1)*1</f>
        <v>0</v>
      </c>
    </row>
    <row r="240" spans="1:10" x14ac:dyDescent="0.25">
      <c r="A240" t="s">
        <v>136</v>
      </c>
      <c r="B240">
        <v>2018</v>
      </c>
      <c r="C240">
        <v>11228</v>
      </c>
      <c r="D240" t="s">
        <v>81</v>
      </c>
      <c r="E240">
        <v>93.676000000000002</v>
      </c>
      <c r="F240" t="s">
        <v>67</v>
      </c>
      <c r="G240">
        <v>10299002</v>
      </c>
      <c r="H240">
        <v>10299002</v>
      </c>
      <c r="I240" t="str">
        <f>IF(COUNTIF(BudgetAppropData[CFDA], MemberOrgsData[[#This Row],[CFDA]]), "Yes", "No")</f>
        <v>Yes</v>
      </c>
      <c r="J240">
        <f>(COUNTIF(D$2:D240,D240)=1)*1</f>
        <v>0</v>
      </c>
    </row>
    <row r="241" spans="1:10" x14ac:dyDescent="0.25">
      <c r="A241" t="s">
        <v>144</v>
      </c>
      <c r="B241">
        <v>2018</v>
      </c>
      <c r="C241">
        <v>236354</v>
      </c>
      <c r="D241" t="s">
        <v>82</v>
      </c>
      <c r="E241">
        <v>21.02</v>
      </c>
      <c r="F241" t="s">
        <v>107</v>
      </c>
      <c r="G241">
        <v>686500</v>
      </c>
      <c r="H241">
        <v>791750</v>
      </c>
      <c r="I241" t="str">
        <f>IF(COUNTIF(BudgetAppropData[CFDA], MemberOrgsData[[#This Row],[CFDA]]), "Yes", "No")</f>
        <v>No</v>
      </c>
      <c r="J241">
        <f>(COUNTIF(D$2:D241,D241)=1)*1</f>
        <v>1</v>
      </c>
    </row>
    <row r="242" spans="1:10" x14ac:dyDescent="0.25">
      <c r="A242" t="s">
        <v>144</v>
      </c>
      <c r="B242">
        <v>2018</v>
      </c>
      <c r="C242">
        <v>236354</v>
      </c>
      <c r="D242" t="s">
        <v>82</v>
      </c>
      <c r="E242">
        <v>21.02</v>
      </c>
      <c r="F242" t="s">
        <v>107</v>
      </c>
      <c r="G242">
        <v>105250</v>
      </c>
      <c r="H242">
        <v>791750</v>
      </c>
      <c r="I242" t="str">
        <f>IF(COUNTIF(BudgetAppropData[CFDA], MemberOrgsData[[#This Row],[CFDA]]), "Yes", "No")</f>
        <v>No</v>
      </c>
      <c r="J242">
        <f>(COUNTIF(D$2:D242,D242)=1)*1</f>
        <v>0</v>
      </c>
    </row>
    <row r="243" spans="1:10" x14ac:dyDescent="0.25">
      <c r="A243" t="s">
        <v>136</v>
      </c>
      <c r="B243">
        <v>2018</v>
      </c>
      <c r="C243">
        <v>206549</v>
      </c>
      <c r="D243" t="s">
        <v>83</v>
      </c>
      <c r="E243">
        <v>84.173000000000002</v>
      </c>
      <c r="F243" t="s">
        <v>47</v>
      </c>
      <c r="G243">
        <v>9355</v>
      </c>
      <c r="H243">
        <v>9355</v>
      </c>
      <c r="I243" t="str">
        <f>IF(COUNTIF(BudgetAppropData[CFDA], MemberOrgsData[[#This Row],[CFDA]]), "Yes", "No")</f>
        <v>No</v>
      </c>
      <c r="J243">
        <f>(COUNTIF(D$2:D243,D243)=1)*1</f>
        <v>1</v>
      </c>
    </row>
    <row r="244" spans="1:10" x14ac:dyDescent="0.25">
      <c r="A244" t="s">
        <v>136</v>
      </c>
      <c r="B244">
        <v>2018</v>
      </c>
      <c r="C244">
        <v>206549</v>
      </c>
      <c r="D244" t="s">
        <v>83</v>
      </c>
      <c r="E244">
        <v>10.558</v>
      </c>
      <c r="F244" t="s">
        <v>24</v>
      </c>
      <c r="G244">
        <v>315998</v>
      </c>
      <c r="H244">
        <v>315998</v>
      </c>
      <c r="I244" t="str">
        <f>IF(COUNTIF(BudgetAppropData[CFDA], MemberOrgsData[[#This Row],[CFDA]]), "Yes", "No")</f>
        <v>Yes</v>
      </c>
      <c r="J244">
        <f>(COUNTIF(D$2:D244,D244)=1)*1</f>
        <v>0</v>
      </c>
    </row>
    <row r="245" spans="1:10" x14ac:dyDescent="0.25">
      <c r="A245" t="s">
        <v>136</v>
      </c>
      <c r="B245">
        <v>2018</v>
      </c>
      <c r="C245">
        <v>206549</v>
      </c>
      <c r="D245" t="s">
        <v>83</v>
      </c>
      <c r="E245">
        <v>84.027000000000001</v>
      </c>
      <c r="F245" t="s">
        <v>46</v>
      </c>
      <c r="G245">
        <v>77533</v>
      </c>
      <c r="H245">
        <v>77533</v>
      </c>
      <c r="I245" t="str">
        <f>IF(COUNTIF(BudgetAppropData[CFDA], MemberOrgsData[[#This Row],[CFDA]]), "Yes", "No")</f>
        <v>Yes</v>
      </c>
      <c r="J245">
        <f>(COUNTIF(D$2:D245,D245)=1)*1</f>
        <v>0</v>
      </c>
    </row>
    <row r="246" spans="1:10" x14ac:dyDescent="0.25">
      <c r="A246" t="s">
        <v>136</v>
      </c>
      <c r="B246">
        <v>2018</v>
      </c>
      <c r="C246">
        <v>206549</v>
      </c>
      <c r="D246" t="s">
        <v>83</v>
      </c>
      <c r="E246">
        <v>93.6</v>
      </c>
      <c r="F246" t="s">
        <v>20</v>
      </c>
      <c r="G246">
        <v>5569033</v>
      </c>
      <c r="H246">
        <v>6366705</v>
      </c>
      <c r="I246" t="str">
        <f>IF(COUNTIF(BudgetAppropData[CFDA], MemberOrgsData[[#This Row],[CFDA]]), "Yes", "No")</f>
        <v>Yes</v>
      </c>
      <c r="J246">
        <f>(COUNTIF(D$2:D246,D246)=1)*1</f>
        <v>0</v>
      </c>
    </row>
    <row r="247" spans="1:10" x14ac:dyDescent="0.25">
      <c r="A247" t="s">
        <v>136</v>
      </c>
      <c r="B247">
        <v>2018</v>
      </c>
      <c r="C247">
        <v>206549</v>
      </c>
      <c r="D247" t="s">
        <v>83</v>
      </c>
      <c r="E247">
        <v>93.6</v>
      </c>
      <c r="F247" t="s">
        <v>20</v>
      </c>
      <c r="G247">
        <v>797672</v>
      </c>
      <c r="H247">
        <v>6366705</v>
      </c>
      <c r="I247" t="str">
        <f>IF(COUNTIF(BudgetAppropData[CFDA], MemberOrgsData[[#This Row],[CFDA]]), "Yes", "No")</f>
        <v>Yes</v>
      </c>
      <c r="J247">
        <f>(COUNTIF(D$2:D247,D247)=1)*1</f>
        <v>0</v>
      </c>
    </row>
    <row r="248" spans="1:10" x14ac:dyDescent="0.25">
      <c r="A248" t="s">
        <v>88</v>
      </c>
      <c r="B248">
        <v>2018</v>
      </c>
      <c r="C248">
        <v>240444</v>
      </c>
      <c r="D248" t="s">
        <v>99</v>
      </c>
      <c r="E248">
        <v>84.287000000000006</v>
      </c>
      <c r="F248" t="s">
        <v>41</v>
      </c>
      <c r="G248">
        <v>903220</v>
      </c>
      <c r="H248">
        <v>903220</v>
      </c>
      <c r="I248" t="str">
        <f>IF(COUNTIF(BudgetAppropData[CFDA], MemberOrgsData[[#This Row],[CFDA]]), "Yes", "No")</f>
        <v>Yes</v>
      </c>
      <c r="J248">
        <f>(COUNTIF(D$2:D248,D248)=1)*1</f>
        <v>1</v>
      </c>
    </row>
    <row r="249" spans="1:10" x14ac:dyDescent="0.25">
      <c r="A249" t="s">
        <v>8</v>
      </c>
      <c r="B249">
        <v>2018</v>
      </c>
      <c r="C249">
        <v>11921</v>
      </c>
      <c r="D249" t="s">
        <v>58</v>
      </c>
      <c r="E249">
        <v>10.558</v>
      </c>
      <c r="F249" t="s">
        <v>24</v>
      </c>
      <c r="G249">
        <v>4005</v>
      </c>
      <c r="H249">
        <v>50568</v>
      </c>
      <c r="I249" t="str">
        <f>IF(COUNTIF(BudgetAppropData[CFDA], MemberOrgsData[[#This Row],[CFDA]]), "Yes", "No")</f>
        <v>Yes</v>
      </c>
      <c r="J249">
        <f>(COUNTIF(D$2:D249,D249)=1)*1</f>
        <v>1</v>
      </c>
    </row>
    <row r="250" spans="1:10" x14ac:dyDescent="0.25">
      <c r="A250" t="s">
        <v>8</v>
      </c>
      <c r="B250">
        <v>2018</v>
      </c>
      <c r="C250">
        <v>11921</v>
      </c>
      <c r="D250" t="s">
        <v>58</v>
      </c>
      <c r="E250">
        <v>10.558</v>
      </c>
      <c r="F250" t="s">
        <v>24</v>
      </c>
      <c r="G250">
        <v>16294</v>
      </c>
      <c r="H250">
        <v>50568</v>
      </c>
      <c r="I250" t="str">
        <f>IF(COUNTIF(BudgetAppropData[CFDA], MemberOrgsData[[#This Row],[CFDA]]), "Yes", "No")</f>
        <v>Yes</v>
      </c>
      <c r="J250">
        <f>(COUNTIF(D$2:D250,D250)=1)*1</f>
        <v>0</v>
      </c>
    </row>
    <row r="251" spans="1:10" x14ac:dyDescent="0.25">
      <c r="A251" t="s">
        <v>8</v>
      </c>
      <c r="B251">
        <v>2018</v>
      </c>
      <c r="C251">
        <v>11921</v>
      </c>
      <c r="D251" t="s">
        <v>58</v>
      </c>
      <c r="E251">
        <v>10.558</v>
      </c>
      <c r="F251" t="s">
        <v>24</v>
      </c>
      <c r="G251">
        <v>30269</v>
      </c>
      <c r="H251">
        <v>50568</v>
      </c>
      <c r="I251" t="str">
        <f>IF(COUNTIF(BudgetAppropData[CFDA], MemberOrgsData[[#This Row],[CFDA]]), "Yes", "No")</f>
        <v>Yes</v>
      </c>
      <c r="J251">
        <f>(COUNTIF(D$2:D251,D251)=1)*1</f>
        <v>0</v>
      </c>
    </row>
    <row r="252" spans="1:10" x14ac:dyDescent="0.25">
      <c r="A252" t="s">
        <v>8</v>
      </c>
      <c r="B252">
        <v>2018</v>
      </c>
      <c r="C252">
        <v>11921</v>
      </c>
      <c r="D252" t="s">
        <v>58</v>
      </c>
      <c r="E252">
        <v>84.287000000000006</v>
      </c>
      <c r="F252" t="s">
        <v>41</v>
      </c>
      <c r="G252">
        <v>129</v>
      </c>
      <c r="H252">
        <v>129</v>
      </c>
      <c r="I252" t="str">
        <f>IF(COUNTIF(BudgetAppropData[CFDA], MemberOrgsData[[#This Row],[CFDA]]), "Yes", "No")</f>
        <v>Yes</v>
      </c>
      <c r="J252">
        <f>(COUNTIF(D$2:D252,D252)=1)*1</f>
        <v>0</v>
      </c>
    </row>
    <row r="253" spans="1:10" x14ac:dyDescent="0.25">
      <c r="A253" t="s">
        <v>8</v>
      </c>
      <c r="B253">
        <v>2018</v>
      </c>
      <c r="C253">
        <v>11921</v>
      </c>
      <c r="D253" t="s">
        <v>58</v>
      </c>
      <c r="E253">
        <v>93.558000000000007</v>
      </c>
      <c r="F253" t="s">
        <v>30</v>
      </c>
      <c r="G253">
        <v>2638806</v>
      </c>
      <c r="H253">
        <v>2638806</v>
      </c>
      <c r="I253" t="str">
        <f>IF(COUNTIF(BudgetAppropData[CFDA], MemberOrgsData[[#This Row],[CFDA]]), "Yes", "No")</f>
        <v>Yes</v>
      </c>
      <c r="J253">
        <f>(COUNTIF(D$2:D253,D253)=1)*1</f>
        <v>0</v>
      </c>
    </row>
    <row r="254" spans="1:10" x14ac:dyDescent="0.25">
      <c r="A254" t="s">
        <v>8</v>
      </c>
      <c r="B254">
        <v>2018</v>
      </c>
      <c r="C254">
        <v>11921</v>
      </c>
      <c r="D254" t="s">
        <v>58</v>
      </c>
      <c r="E254">
        <v>93.569000000000003</v>
      </c>
      <c r="F254" t="s">
        <v>31</v>
      </c>
      <c r="G254">
        <v>45686</v>
      </c>
      <c r="H254">
        <v>616452</v>
      </c>
      <c r="I254" t="str">
        <f>IF(COUNTIF(BudgetAppropData[CFDA], MemberOrgsData[[#This Row],[CFDA]]), "Yes", "No")</f>
        <v>Yes</v>
      </c>
      <c r="J254">
        <f>(COUNTIF(D$2:D254,D254)=1)*1</f>
        <v>0</v>
      </c>
    </row>
    <row r="255" spans="1:10" x14ac:dyDescent="0.25">
      <c r="A255" t="s">
        <v>8</v>
      </c>
      <c r="B255">
        <v>2018</v>
      </c>
      <c r="C255">
        <v>11921</v>
      </c>
      <c r="D255" t="s">
        <v>58</v>
      </c>
      <c r="E255">
        <v>93.569000000000003</v>
      </c>
      <c r="F255" t="s">
        <v>31</v>
      </c>
      <c r="G255">
        <v>60842</v>
      </c>
      <c r="H255">
        <v>616452</v>
      </c>
      <c r="I255" t="str">
        <f>IF(COUNTIF(BudgetAppropData[CFDA], MemberOrgsData[[#This Row],[CFDA]]), "Yes", "No")</f>
        <v>Yes</v>
      </c>
      <c r="J255">
        <f>(COUNTIF(D$2:D255,D255)=1)*1</f>
        <v>0</v>
      </c>
    </row>
    <row r="256" spans="1:10" x14ac:dyDescent="0.25">
      <c r="A256" t="s">
        <v>8</v>
      </c>
      <c r="B256">
        <v>2018</v>
      </c>
      <c r="C256">
        <v>11921</v>
      </c>
      <c r="D256" t="s">
        <v>58</v>
      </c>
      <c r="E256">
        <v>93.569000000000003</v>
      </c>
      <c r="F256" t="s">
        <v>31</v>
      </c>
      <c r="G256">
        <v>70060</v>
      </c>
      <c r="H256">
        <v>616452</v>
      </c>
      <c r="I256" t="str">
        <f>IF(COUNTIF(BudgetAppropData[CFDA], MemberOrgsData[[#This Row],[CFDA]]), "Yes", "No")</f>
        <v>Yes</v>
      </c>
      <c r="J256">
        <f>(COUNTIF(D$2:D256,D256)=1)*1</f>
        <v>0</v>
      </c>
    </row>
    <row r="257" spans="1:10" x14ac:dyDescent="0.25">
      <c r="A257" t="s">
        <v>8</v>
      </c>
      <c r="B257">
        <v>2018</v>
      </c>
      <c r="C257">
        <v>11921</v>
      </c>
      <c r="D257" t="s">
        <v>58</v>
      </c>
      <c r="E257">
        <v>93.569000000000003</v>
      </c>
      <c r="F257" t="s">
        <v>31</v>
      </c>
      <c r="G257">
        <v>27706</v>
      </c>
      <c r="H257">
        <v>616452</v>
      </c>
      <c r="I257" t="str">
        <f>IF(COUNTIF(BudgetAppropData[CFDA], MemberOrgsData[[#This Row],[CFDA]]), "Yes", "No")</f>
        <v>Yes</v>
      </c>
      <c r="J257">
        <f>(COUNTIF(D$2:D257,D257)=1)*1</f>
        <v>0</v>
      </c>
    </row>
    <row r="258" spans="1:10" x14ac:dyDescent="0.25">
      <c r="A258" t="s">
        <v>8</v>
      </c>
      <c r="B258">
        <v>2018</v>
      </c>
      <c r="C258">
        <v>11921</v>
      </c>
      <c r="D258" t="s">
        <v>58</v>
      </c>
      <c r="E258">
        <v>93.569000000000003</v>
      </c>
      <c r="F258" t="s">
        <v>31</v>
      </c>
      <c r="G258">
        <v>84829</v>
      </c>
      <c r="H258">
        <v>616452</v>
      </c>
      <c r="I258" t="str">
        <f>IF(COUNTIF(BudgetAppropData[CFDA], MemberOrgsData[[#This Row],[CFDA]]), "Yes", "No")</f>
        <v>Yes</v>
      </c>
      <c r="J258">
        <f>(COUNTIF(D$2:D258,D258)=1)*1</f>
        <v>0</v>
      </c>
    </row>
    <row r="259" spans="1:10" x14ac:dyDescent="0.25">
      <c r="A259" t="s">
        <v>8</v>
      </c>
      <c r="B259">
        <v>2018</v>
      </c>
      <c r="C259">
        <v>11921</v>
      </c>
      <c r="D259" t="s">
        <v>58</v>
      </c>
      <c r="E259">
        <v>93.569000000000003</v>
      </c>
      <c r="F259" t="s">
        <v>31</v>
      </c>
      <c r="G259">
        <v>83859</v>
      </c>
      <c r="H259">
        <v>616452</v>
      </c>
      <c r="I259" t="str">
        <f>IF(COUNTIF(BudgetAppropData[CFDA], MemberOrgsData[[#This Row],[CFDA]]), "Yes", "No")</f>
        <v>Yes</v>
      </c>
      <c r="J259">
        <f>(COUNTIF(D$2:D259,D259)=1)*1</f>
        <v>0</v>
      </c>
    </row>
    <row r="260" spans="1:10" x14ac:dyDescent="0.25">
      <c r="A260" t="s">
        <v>8</v>
      </c>
      <c r="B260">
        <v>2018</v>
      </c>
      <c r="C260">
        <v>11921</v>
      </c>
      <c r="D260" t="s">
        <v>58</v>
      </c>
      <c r="E260">
        <v>93.569000000000003</v>
      </c>
      <c r="F260" t="s">
        <v>31</v>
      </c>
      <c r="G260">
        <v>71972</v>
      </c>
      <c r="H260">
        <v>616452</v>
      </c>
      <c r="I260" t="str">
        <f>IF(COUNTIF(BudgetAppropData[CFDA], MemberOrgsData[[#This Row],[CFDA]]), "Yes", "No")</f>
        <v>Yes</v>
      </c>
      <c r="J260">
        <f>(COUNTIF(D$2:D260,D260)=1)*1</f>
        <v>0</v>
      </c>
    </row>
    <row r="261" spans="1:10" x14ac:dyDescent="0.25">
      <c r="A261" t="s">
        <v>8</v>
      </c>
      <c r="B261">
        <v>2018</v>
      </c>
      <c r="C261">
        <v>11921</v>
      </c>
      <c r="D261" t="s">
        <v>58</v>
      </c>
      <c r="E261">
        <v>93.569000000000003</v>
      </c>
      <c r="F261" t="s">
        <v>31</v>
      </c>
      <c r="G261">
        <v>57074</v>
      </c>
      <c r="H261">
        <v>616452</v>
      </c>
      <c r="I261" t="str">
        <f>IF(COUNTIF(BudgetAppropData[CFDA], MemberOrgsData[[#This Row],[CFDA]]), "Yes", "No")</f>
        <v>Yes</v>
      </c>
      <c r="J261">
        <f>(COUNTIF(D$2:D261,D261)=1)*1</f>
        <v>0</v>
      </c>
    </row>
    <row r="262" spans="1:10" x14ac:dyDescent="0.25">
      <c r="A262" t="s">
        <v>8</v>
      </c>
      <c r="B262">
        <v>2018</v>
      </c>
      <c r="C262">
        <v>11921</v>
      </c>
      <c r="D262" t="s">
        <v>58</v>
      </c>
      <c r="E262">
        <v>93.569000000000003</v>
      </c>
      <c r="F262" t="s">
        <v>31</v>
      </c>
      <c r="G262">
        <v>78891</v>
      </c>
      <c r="H262">
        <v>616452</v>
      </c>
      <c r="I262" t="str">
        <f>IF(COUNTIF(BudgetAppropData[CFDA], MemberOrgsData[[#This Row],[CFDA]]), "Yes", "No")</f>
        <v>Yes</v>
      </c>
      <c r="J262">
        <f>(COUNTIF(D$2:D262,D262)=1)*1</f>
        <v>0</v>
      </c>
    </row>
    <row r="263" spans="1:10" x14ac:dyDescent="0.25">
      <c r="A263" t="s">
        <v>8</v>
      </c>
      <c r="B263">
        <v>2018</v>
      </c>
      <c r="C263">
        <v>11921</v>
      </c>
      <c r="D263" t="s">
        <v>58</v>
      </c>
      <c r="E263">
        <v>93.569000000000003</v>
      </c>
      <c r="F263" t="s">
        <v>31</v>
      </c>
      <c r="G263">
        <v>35533</v>
      </c>
      <c r="H263">
        <v>616452</v>
      </c>
      <c r="I263" t="str">
        <f>IF(COUNTIF(BudgetAppropData[CFDA], MemberOrgsData[[#This Row],[CFDA]]), "Yes", "No")</f>
        <v>Yes</v>
      </c>
      <c r="J263">
        <f>(COUNTIF(D$2:D263,D263)=1)*1</f>
        <v>0</v>
      </c>
    </row>
    <row r="264" spans="1:10" x14ac:dyDescent="0.25">
      <c r="A264" t="s">
        <v>136</v>
      </c>
      <c r="B264">
        <v>2018</v>
      </c>
      <c r="C264">
        <v>215892</v>
      </c>
      <c r="D264" t="s">
        <v>84</v>
      </c>
      <c r="E264">
        <v>93.043999999999997</v>
      </c>
      <c r="F264" t="s">
        <v>106</v>
      </c>
      <c r="G264">
        <v>74509</v>
      </c>
      <c r="H264">
        <v>74509</v>
      </c>
      <c r="I264" t="str">
        <f>IF(COUNTIF(BudgetAppropData[CFDA], MemberOrgsData[[#This Row],[CFDA]]), "Yes", "No")</f>
        <v>Yes</v>
      </c>
      <c r="J264">
        <f>(COUNTIF(D$2:D264,D264)=1)*1</f>
        <v>1</v>
      </c>
    </row>
    <row r="265" spans="1:10" x14ac:dyDescent="0.25">
      <c r="A265" t="s">
        <v>136</v>
      </c>
      <c r="B265">
        <v>2018</v>
      </c>
      <c r="C265">
        <v>215892</v>
      </c>
      <c r="D265" t="s">
        <v>84</v>
      </c>
      <c r="E265">
        <v>93.045000000000002</v>
      </c>
      <c r="F265" t="s">
        <v>64</v>
      </c>
      <c r="G265">
        <v>143313</v>
      </c>
      <c r="H265">
        <v>143313</v>
      </c>
      <c r="I265" t="str">
        <f>IF(COUNTIF(BudgetAppropData[CFDA], MemberOrgsData[[#This Row],[CFDA]]), "Yes", "No")</f>
        <v>Yes</v>
      </c>
      <c r="J265">
        <f>(COUNTIF(D$2:D265,D265)=1)*1</f>
        <v>0</v>
      </c>
    </row>
    <row r="266" spans="1:10" x14ac:dyDescent="0.25">
      <c r="A266" t="s">
        <v>136</v>
      </c>
      <c r="B266">
        <v>2018</v>
      </c>
      <c r="C266">
        <v>215892</v>
      </c>
      <c r="D266" t="s">
        <v>84</v>
      </c>
      <c r="E266">
        <v>93.052000000000007</v>
      </c>
      <c r="F266" t="s">
        <v>85</v>
      </c>
      <c r="G266">
        <v>679589</v>
      </c>
      <c r="H266">
        <v>679589</v>
      </c>
      <c r="I266" t="str">
        <f>IF(COUNTIF(BudgetAppropData[CFDA], MemberOrgsData[[#This Row],[CFDA]]), "Yes", "No")</f>
        <v>Yes</v>
      </c>
      <c r="J266">
        <f>(COUNTIF(D$2:D266,D266)=1)*1</f>
        <v>0</v>
      </c>
    </row>
    <row r="267" spans="1:10" x14ac:dyDescent="0.25">
      <c r="A267" t="s">
        <v>136</v>
      </c>
      <c r="B267">
        <v>2018</v>
      </c>
      <c r="C267">
        <v>215892</v>
      </c>
      <c r="D267" t="s">
        <v>84</v>
      </c>
      <c r="E267">
        <v>93.052999999999997</v>
      </c>
      <c r="F267" t="s">
        <v>28</v>
      </c>
      <c r="G267">
        <v>93810</v>
      </c>
      <c r="H267">
        <v>93810</v>
      </c>
      <c r="I267" t="str">
        <f>IF(COUNTIF(BudgetAppropData[CFDA], MemberOrgsData[[#This Row],[CFDA]]), "Yes", "No")</f>
        <v>Yes</v>
      </c>
      <c r="J267">
        <f>(COUNTIF(D$2:D267,D267)=1)*1</f>
        <v>0</v>
      </c>
    </row>
    <row r="268" spans="1:10" x14ac:dyDescent="0.25">
      <c r="A268" t="s">
        <v>136</v>
      </c>
      <c r="B268">
        <v>2018</v>
      </c>
      <c r="C268">
        <v>215892</v>
      </c>
      <c r="D268" t="s">
        <v>84</v>
      </c>
      <c r="E268">
        <v>93.667000000000002</v>
      </c>
      <c r="F268" t="s">
        <v>22</v>
      </c>
      <c r="G268">
        <v>347153</v>
      </c>
      <c r="H268">
        <v>347153</v>
      </c>
      <c r="I268" t="str">
        <f>IF(COUNTIF(BudgetAppropData[CFDA], MemberOrgsData[[#This Row],[CFDA]]), "Yes", "No")</f>
        <v>Yes</v>
      </c>
      <c r="J268">
        <f>(COUNTIF(D$2:D268,D268)=1)*1</f>
        <v>0</v>
      </c>
    </row>
    <row r="269" spans="1:10" x14ac:dyDescent="0.25">
      <c r="A269" t="s">
        <v>144</v>
      </c>
      <c r="B269">
        <v>2018</v>
      </c>
      <c r="C269">
        <v>245981</v>
      </c>
      <c r="D269" t="s">
        <v>115</v>
      </c>
      <c r="E269">
        <v>10.558</v>
      </c>
      <c r="F269" t="s">
        <v>24</v>
      </c>
      <c r="G269">
        <v>93038</v>
      </c>
      <c r="H269">
        <v>858794</v>
      </c>
      <c r="I269" t="str">
        <f>IF(COUNTIF(BudgetAppropData[CFDA], MemberOrgsData[[#This Row],[CFDA]]), "Yes", "No")</f>
        <v>Yes</v>
      </c>
      <c r="J269">
        <f>(COUNTIF(D$2:D269,D269)=1)*1</f>
        <v>1</v>
      </c>
    </row>
    <row r="270" spans="1:10" x14ac:dyDescent="0.25">
      <c r="A270" t="s">
        <v>144</v>
      </c>
      <c r="B270">
        <v>2018</v>
      </c>
      <c r="C270">
        <v>245981</v>
      </c>
      <c r="D270" t="s">
        <v>115</v>
      </c>
      <c r="E270">
        <v>10.558</v>
      </c>
      <c r="F270" t="s">
        <v>24</v>
      </c>
      <c r="G270">
        <v>765756</v>
      </c>
      <c r="H270">
        <v>858794</v>
      </c>
      <c r="I270" t="str">
        <f>IF(COUNTIF(BudgetAppropData[CFDA], MemberOrgsData[[#This Row],[CFDA]]), "Yes", "No")</f>
        <v>Yes</v>
      </c>
      <c r="J270">
        <f>(COUNTIF(D$2:D270,D270)=1)*1</f>
        <v>0</v>
      </c>
    </row>
    <row r="271" spans="1:10" x14ac:dyDescent="0.25">
      <c r="A271" t="s">
        <v>144</v>
      </c>
      <c r="B271">
        <v>2018</v>
      </c>
      <c r="C271">
        <v>245981</v>
      </c>
      <c r="D271" t="s">
        <v>115</v>
      </c>
      <c r="E271">
        <v>14.218</v>
      </c>
      <c r="F271" t="s">
        <v>25</v>
      </c>
      <c r="G271">
        <v>764838</v>
      </c>
      <c r="H271">
        <v>764838</v>
      </c>
      <c r="I271" t="str">
        <f>IF(COUNTIF(BudgetAppropData[CFDA], MemberOrgsData[[#This Row],[CFDA]]), "Yes", "No")</f>
        <v>No</v>
      </c>
      <c r="J271">
        <f>(COUNTIF(D$2:D271,D271)=1)*1</f>
        <v>0</v>
      </c>
    </row>
    <row r="272" spans="1:10" x14ac:dyDescent="0.25">
      <c r="A272" t="s">
        <v>144</v>
      </c>
      <c r="B272">
        <v>2018</v>
      </c>
      <c r="C272">
        <v>245981</v>
      </c>
      <c r="D272" t="s">
        <v>115</v>
      </c>
      <c r="E272">
        <v>93.575000000000003</v>
      </c>
      <c r="F272" t="s">
        <v>32</v>
      </c>
      <c r="G272">
        <v>2329525</v>
      </c>
      <c r="H272">
        <v>2329525</v>
      </c>
      <c r="I272" t="str">
        <f>IF(COUNTIF(BudgetAppropData[CFDA], MemberOrgsData[[#This Row],[CFDA]]), "Yes", "No")</f>
        <v>Yes</v>
      </c>
      <c r="J272">
        <f>(COUNTIF(D$2:D272,D272)=1)*1</f>
        <v>0</v>
      </c>
    </row>
    <row r="273" spans="1:10" x14ac:dyDescent="0.25">
      <c r="A273" t="s">
        <v>139</v>
      </c>
      <c r="B273">
        <v>2018</v>
      </c>
      <c r="C273">
        <v>9652</v>
      </c>
      <c r="D273" t="s">
        <v>59</v>
      </c>
      <c r="E273">
        <v>10.553000000000001</v>
      </c>
      <c r="F273" t="s">
        <v>44</v>
      </c>
      <c r="G273">
        <v>251958</v>
      </c>
      <c r="H273">
        <v>251958</v>
      </c>
      <c r="I273" t="str">
        <f>IF(COUNTIF(BudgetAppropData[CFDA], MemberOrgsData[[#This Row],[CFDA]]), "Yes", "No")</f>
        <v>No</v>
      </c>
      <c r="J273">
        <f>(COUNTIF(D$2:D273,D273)=1)*1</f>
        <v>1</v>
      </c>
    </row>
    <row r="274" spans="1:10" x14ac:dyDescent="0.25">
      <c r="A274" t="s">
        <v>139</v>
      </c>
      <c r="B274">
        <v>2018</v>
      </c>
      <c r="C274">
        <v>9652</v>
      </c>
      <c r="D274" t="s">
        <v>59</v>
      </c>
      <c r="E274">
        <v>10.555</v>
      </c>
      <c r="F274" t="s">
        <v>45</v>
      </c>
      <c r="G274">
        <v>355056</v>
      </c>
      <c r="H274">
        <v>355056</v>
      </c>
      <c r="I274" t="str">
        <f>IF(COUNTIF(BudgetAppropData[CFDA], MemberOrgsData[[#This Row],[CFDA]]), "Yes", "No")</f>
        <v>No</v>
      </c>
      <c r="J274">
        <f>(COUNTIF(D$2:D274,D274)=1)*1</f>
        <v>0</v>
      </c>
    </row>
    <row r="275" spans="1:10" x14ac:dyDescent="0.25">
      <c r="A275" t="s">
        <v>139</v>
      </c>
      <c r="B275">
        <v>2018</v>
      </c>
      <c r="C275">
        <v>9652</v>
      </c>
      <c r="D275" t="s">
        <v>59</v>
      </c>
      <c r="E275">
        <v>10.569000000000001</v>
      </c>
      <c r="F275" t="s">
        <v>100</v>
      </c>
      <c r="G275">
        <v>2271</v>
      </c>
      <c r="H275">
        <v>13091</v>
      </c>
      <c r="I275" t="str">
        <f>IF(COUNTIF(BudgetAppropData[CFDA], MemberOrgsData[[#This Row],[CFDA]]), "Yes", "No")</f>
        <v>No</v>
      </c>
      <c r="J275">
        <f>(COUNTIF(D$2:D275,D275)=1)*1</f>
        <v>0</v>
      </c>
    </row>
    <row r="276" spans="1:10" x14ac:dyDescent="0.25">
      <c r="A276" t="s">
        <v>139</v>
      </c>
      <c r="B276">
        <v>2018</v>
      </c>
      <c r="C276">
        <v>9652</v>
      </c>
      <c r="D276" t="s">
        <v>59</v>
      </c>
      <c r="E276">
        <v>10.569000000000001</v>
      </c>
      <c r="F276" t="s">
        <v>100</v>
      </c>
      <c r="G276">
        <v>10820</v>
      </c>
      <c r="H276">
        <v>13091</v>
      </c>
      <c r="I276" t="str">
        <f>IF(COUNTIF(BudgetAppropData[CFDA], MemberOrgsData[[#This Row],[CFDA]]), "Yes", "No")</f>
        <v>No</v>
      </c>
      <c r="J276">
        <f>(COUNTIF(D$2:D276,D276)=1)*1</f>
        <v>0</v>
      </c>
    </row>
    <row r="277" spans="1:10" x14ac:dyDescent="0.25">
      <c r="A277" t="s">
        <v>139</v>
      </c>
      <c r="B277">
        <v>2018</v>
      </c>
      <c r="C277">
        <v>9652</v>
      </c>
      <c r="D277" t="s">
        <v>59</v>
      </c>
      <c r="E277">
        <v>93.504999999999995</v>
      </c>
      <c r="F277" t="s">
        <v>141</v>
      </c>
      <c r="G277">
        <v>163154</v>
      </c>
      <c r="H277">
        <v>163154</v>
      </c>
      <c r="I277" t="str">
        <f>IF(COUNTIF(BudgetAppropData[CFDA], MemberOrgsData[[#This Row],[CFDA]]), "Yes", "No")</f>
        <v>No</v>
      </c>
      <c r="J277">
        <f>(COUNTIF(D$2:D277,D277)=1)*1</f>
        <v>0</v>
      </c>
    </row>
    <row r="278" spans="1:10" x14ac:dyDescent="0.25">
      <c r="A278" t="s">
        <v>139</v>
      </c>
      <c r="B278">
        <v>2018</v>
      </c>
      <c r="C278">
        <v>9652</v>
      </c>
      <c r="D278" t="s">
        <v>59</v>
      </c>
      <c r="E278">
        <v>93.87</v>
      </c>
      <c r="F278" t="s">
        <v>142</v>
      </c>
      <c r="G278">
        <v>67557</v>
      </c>
      <c r="H278">
        <v>67557</v>
      </c>
      <c r="I278" t="str">
        <f>IF(COUNTIF(BudgetAppropData[CFDA], MemberOrgsData[[#This Row],[CFDA]]), "Yes", "No")</f>
        <v>No</v>
      </c>
      <c r="J278">
        <f>(COUNTIF(D$2:D278,D278)=1)*1</f>
        <v>0</v>
      </c>
    </row>
    <row r="279" spans="1:10" x14ac:dyDescent="0.25">
      <c r="A279" t="s">
        <v>139</v>
      </c>
      <c r="B279">
        <v>2018</v>
      </c>
      <c r="C279">
        <v>9652</v>
      </c>
      <c r="D279" t="s">
        <v>59</v>
      </c>
      <c r="E279">
        <v>94.006</v>
      </c>
      <c r="F279" t="s">
        <v>70</v>
      </c>
      <c r="G279">
        <v>22357</v>
      </c>
      <c r="H279">
        <v>236477</v>
      </c>
      <c r="I279" t="str">
        <f>IF(COUNTIF(BudgetAppropData[CFDA], MemberOrgsData[[#This Row],[CFDA]]), "Yes", "No")</f>
        <v>No</v>
      </c>
      <c r="J279">
        <f>(COUNTIF(D$2:D279,D279)=1)*1</f>
        <v>0</v>
      </c>
    </row>
    <row r="280" spans="1:10" x14ac:dyDescent="0.25">
      <c r="A280" t="s">
        <v>139</v>
      </c>
      <c r="B280">
        <v>2018</v>
      </c>
      <c r="C280">
        <v>9652</v>
      </c>
      <c r="D280" t="s">
        <v>59</v>
      </c>
      <c r="E280">
        <v>94.006</v>
      </c>
      <c r="F280" t="s">
        <v>70</v>
      </c>
      <c r="G280">
        <v>214120</v>
      </c>
      <c r="H280">
        <v>236477</v>
      </c>
      <c r="I280" t="str">
        <f>IF(COUNTIF(BudgetAppropData[CFDA], MemberOrgsData[[#This Row],[CFDA]]), "Yes", "No")</f>
        <v>No</v>
      </c>
      <c r="J280">
        <f>(COUNTIF(D$2:D280,D280)=1)*1</f>
        <v>0</v>
      </c>
    </row>
    <row r="281" spans="1:10" x14ac:dyDescent="0.25">
      <c r="A281" t="s">
        <v>139</v>
      </c>
      <c r="B281">
        <v>2018</v>
      </c>
      <c r="C281">
        <v>9652</v>
      </c>
      <c r="D281" t="s">
        <v>59</v>
      </c>
      <c r="E281">
        <v>10.558</v>
      </c>
      <c r="F281" t="s">
        <v>24</v>
      </c>
      <c r="G281">
        <v>398895</v>
      </c>
      <c r="H281">
        <v>1412102</v>
      </c>
      <c r="I281" t="str">
        <f>IF(COUNTIF(BudgetAppropData[CFDA], MemberOrgsData[[#This Row],[CFDA]]), "Yes", "No")</f>
        <v>Yes</v>
      </c>
      <c r="J281">
        <f>(COUNTIF(D$2:D281,D281)=1)*1</f>
        <v>0</v>
      </c>
    </row>
    <row r="282" spans="1:10" x14ac:dyDescent="0.25">
      <c r="A282" t="s">
        <v>139</v>
      </c>
      <c r="B282">
        <v>2018</v>
      </c>
      <c r="C282">
        <v>9652</v>
      </c>
      <c r="D282" t="s">
        <v>59</v>
      </c>
      <c r="E282">
        <v>10.558</v>
      </c>
      <c r="F282" t="s">
        <v>24</v>
      </c>
      <c r="G282">
        <v>1013207</v>
      </c>
      <c r="H282">
        <v>1412102</v>
      </c>
      <c r="I282" t="str">
        <f>IF(COUNTIF(BudgetAppropData[CFDA], MemberOrgsData[[#This Row],[CFDA]]), "Yes", "No")</f>
        <v>Yes</v>
      </c>
      <c r="J282">
        <f>(COUNTIF(D$2:D282,D282)=1)*1</f>
        <v>0</v>
      </c>
    </row>
    <row r="283" spans="1:10" x14ac:dyDescent="0.25">
      <c r="A283" t="s">
        <v>139</v>
      </c>
      <c r="B283">
        <v>2018</v>
      </c>
      <c r="C283">
        <v>9652</v>
      </c>
      <c r="D283" t="s">
        <v>59</v>
      </c>
      <c r="E283">
        <v>14.231</v>
      </c>
      <c r="F283" t="s">
        <v>97</v>
      </c>
      <c r="G283">
        <v>81148</v>
      </c>
      <c r="H283">
        <v>81148</v>
      </c>
      <c r="I283" t="str">
        <f>IF(COUNTIF(BudgetAppropData[CFDA], MemberOrgsData[[#This Row],[CFDA]]), "Yes", "No")</f>
        <v>Yes</v>
      </c>
      <c r="J283">
        <f>(COUNTIF(D$2:D283,D283)=1)*1</f>
        <v>0</v>
      </c>
    </row>
    <row r="284" spans="1:10" x14ac:dyDescent="0.25">
      <c r="A284" t="s">
        <v>139</v>
      </c>
      <c r="B284">
        <v>2018</v>
      </c>
      <c r="C284">
        <v>9652</v>
      </c>
      <c r="D284" t="s">
        <v>59</v>
      </c>
      <c r="E284">
        <v>17.259</v>
      </c>
      <c r="F284" t="s">
        <v>127</v>
      </c>
      <c r="G284">
        <v>7636</v>
      </c>
      <c r="H284">
        <v>223124</v>
      </c>
      <c r="I284" t="str">
        <f>IF(COUNTIF(BudgetAppropData[CFDA], MemberOrgsData[[#This Row],[CFDA]]), "Yes", "No")</f>
        <v>Yes</v>
      </c>
      <c r="J284">
        <f>(COUNTIF(D$2:D284,D284)=1)*1</f>
        <v>0</v>
      </c>
    </row>
    <row r="285" spans="1:10" x14ac:dyDescent="0.25">
      <c r="A285" t="s">
        <v>139</v>
      </c>
      <c r="B285">
        <v>2018</v>
      </c>
      <c r="C285">
        <v>9652</v>
      </c>
      <c r="D285" t="s">
        <v>59</v>
      </c>
      <c r="E285">
        <v>17.259</v>
      </c>
      <c r="F285" t="s">
        <v>27</v>
      </c>
      <c r="G285">
        <v>215488</v>
      </c>
      <c r="H285">
        <v>223124</v>
      </c>
      <c r="I285" t="str">
        <f>IF(COUNTIF(BudgetAppropData[CFDA], MemberOrgsData[[#This Row],[CFDA]]), "Yes", "No")</f>
        <v>Yes</v>
      </c>
      <c r="J285">
        <f>(COUNTIF(D$2:D285,D285)=1)*1</f>
        <v>0</v>
      </c>
    </row>
    <row r="286" spans="1:10" x14ac:dyDescent="0.25">
      <c r="A286" t="s">
        <v>139</v>
      </c>
      <c r="B286">
        <v>2018</v>
      </c>
      <c r="C286">
        <v>9652</v>
      </c>
      <c r="D286" t="s">
        <v>59</v>
      </c>
      <c r="E286">
        <v>84.027000000000001</v>
      </c>
      <c r="F286" t="s">
        <v>104</v>
      </c>
      <c r="G286">
        <v>86399</v>
      </c>
      <c r="H286">
        <v>86399</v>
      </c>
      <c r="I286" t="str">
        <f>IF(COUNTIF(BudgetAppropData[CFDA], MemberOrgsData[[#This Row],[CFDA]]), "Yes", "No")</f>
        <v>Yes</v>
      </c>
      <c r="J286">
        <f>(COUNTIF(D$2:D286,D286)=1)*1</f>
        <v>0</v>
      </c>
    </row>
    <row r="287" spans="1:10" x14ac:dyDescent="0.25">
      <c r="A287" t="s">
        <v>139</v>
      </c>
      <c r="B287">
        <v>2018</v>
      </c>
      <c r="C287">
        <v>9652</v>
      </c>
      <c r="D287" t="s">
        <v>59</v>
      </c>
      <c r="E287">
        <v>93.268000000000001</v>
      </c>
      <c r="F287" t="s">
        <v>91</v>
      </c>
      <c r="G287">
        <v>46294</v>
      </c>
      <c r="H287">
        <v>46294</v>
      </c>
      <c r="I287" t="str">
        <f>IF(COUNTIF(BudgetAppropData[CFDA], MemberOrgsData[[#This Row],[CFDA]]), "Yes", "No")</f>
        <v>Yes</v>
      </c>
      <c r="J287">
        <f>(COUNTIF(D$2:D287,D287)=1)*1</f>
        <v>0</v>
      </c>
    </row>
    <row r="288" spans="1:10" x14ac:dyDescent="0.25">
      <c r="A288" t="s">
        <v>139</v>
      </c>
      <c r="B288">
        <v>2018</v>
      </c>
      <c r="C288">
        <v>9652</v>
      </c>
      <c r="D288" t="s">
        <v>59</v>
      </c>
      <c r="E288">
        <v>93.558000000000007</v>
      </c>
      <c r="F288" t="s">
        <v>30</v>
      </c>
      <c r="G288">
        <v>592956</v>
      </c>
      <c r="H288">
        <v>6927079</v>
      </c>
      <c r="I288" t="str">
        <f>IF(COUNTIF(BudgetAppropData[CFDA], MemberOrgsData[[#This Row],[CFDA]]), "Yes", "No")</f>
        <v>Yes</v>
      </c>
      <c r="J288">
        <f>(COUNTIF(D$2:D288,D288)=1)*1</f>
        <v>0</v>
      </c>
    </row>
    <row r="289" spans="1:10" x14ac:dyDescent="0.25">
      <c r="A289" t="s">
        <v>139</v>
      </c>
      <c r="B289">
        <v>2018</v>
      </c>
      <c r="C289">
        <v>9652</v>
      </c>
      <c r="D289" t="s">
        <v>59</v>
      </c>
      <c r="E289">
        <v>93.558000000000007</v>
      </c>
      <c r="F289" t="s">
        <v>30</v>
      </c>
      <c r="G289">
        <v>3066310</v>
      </c>
      <c r="H289">
        <v>6927079</v>
      </c>
      <c r="I289" t="str">
        <f>IF(COUNTIF(BudgetAppropData[CFDA], MemberOrgsData[[#This Row],[CFDA]]), "Yes", "No")</f>
        <v>Yes</v>
      </c>
      <c r="J289">
        <f>(COUNTIF(D$2:D289,D289)=1)*1</f>
        <v>0</v>
      </c>
    </row>
    <row r="290" spans="1:10" x14ac:dyDescent="0.25">
      <c r="A290" t="s">
        <v>139</v>
      </c>
      <c r="B290">
        <v>2018</v>
      </c>
      <c r="C290">
        <v>9652</v>
      </c>
      <c r="D290" t="s">
        <v>59</v>
      </c>
      <c r="E290">
        <v>93.558000000000007</v>
      </c>
      <c r="F290" t="s">
        <v>30</v>
      </c>
      <c r="G290">
        <v>3267813</v>
      </c>
      <c r="H290">
        <v>6927079</v>
      </c>
      <c r="I290" t="str">
        <f>IF(COUNTIF(BudgetAppropData[CFDA], MemberOrgsData[[#This Row],[CFDA]]), "Yes", "No")</f>
        <v>Yes</v>
      </c>
      <c r="J290">
        <f>(COUNTIF(D$2:D290,D290)=1)*1</f>
        <v>0</v>
      </c>
    </row>
    <row r="291" spans="1:10" x14ac:dyDescent="0.25">
      <c r="A291" t="s">
        <v>139</v>
      </c>
      <c r="B291">
        <v>2018</v>
      </c>
      <c r="C291">
        <v>9652</v>
      </c>
      <c r="D291" t="s">
        <v>59</v>
      </c>
      <c r="E291">
        <v>93.569000000000003</v>
      </c>
      <c r="F291" t="s">
        <v>31</v>
      </c>
      <c r="G291">
        <v>330746</v>
      </c>
      <c r="H291">
        <v>503228</v>
      </c>
      <c r="I291" t="str">
        <f>IF(COUNTIF(BudgetAppropData[CFDA], MemberOrgsData[[#This Row],[CFDA]]), "Yes", "No")</f>
        <v>Yes</v>
      </c>
      <c r="J291">
        <f>(COUNTIF(D$2:D291,D291)=1)*1</f>
        <v>0</v>
      </c>
    </row>
    <row r="292" spans="1:10" x14ac:dyDescent="0.25">
      <c r="A292" t="s">
        <v>139</v>
      </c>
      <c r="B292">
        <v>2018</v>
      </c>
      <c r="C292">
        <v>9652</v>
      </c>
      <c r="D292" t="s">
        <v>59</v>
      </c>
      <c r="E292">
        <v>93.569000000000003</v>
      </c>
      <c r="F292" t="s">
        <v>31</v>
      </c>
      <c r="G292">
        <v>118560</v>
      </c>
      <c r="H292">
        <v>503228</v>
      </c>
      <c r="I292" t="str">
        <f>IF(COUNTIF(BudgetAppropData[CFDA], MemberOrgsData[[#This Row],[CFDA]]), "Yes", "No")</f>
        <v>Yes</v>
      </c>
      <c r="J292">
        <f>(COUNTIF(D$2:D292,D292)=1)*1</f>
        <v>0</v>
      </c>
    </row>
    <row r="293" spans="1:10" x14ac:dyDescent="0.25">
      <c r="A293" t="s">
        <v>139</v>
      </c>
      <c r="B293">
        <v>2018</v>
      </c>
      <c r="C293">
        <v>9652</v>
      </c>
      <c r="D293" t="s">
        <v>59</v>
      </c>
      <c r="E293">
        <v>93.569000000000003</v>
      </c>
      <c r="F293" t="s">
        <v>31</v>
      </c>
      <c r="G293">
        <v>53922</v>
      </c>
      <c r="H293">
        <v>503228</v>
      </c>
      <c r="I293" t="str">
        <f>IF(COUNTIF(BudgetAppropData[CFDA], MemberOrgsData[[#This Row],[CFDA]]), "Yes", "No")</f>
        <v>Yes</v>
      </c>
      <c r="J293">
        <f>(COUNTIF(D$2:D293,D293)=1)*1</f>
        <v>0</v>
      </c>
    </row>
    <row r="294" spans="1:10" x14ac:dyDescent="0.25">
      <c r="A294" t="s">
        <v>139</v>
      </c>
      <c r="B294">
        <v>2018</v>
      </c>
      <c r="C294">
        <v>9652</v>
      </c>
      <c r="D294" t="s">
        <v>59</v>
      </c>
      <c r="E294">
        <v>93.6</v>
      </c>
      <c r="F294" t="s">
        <v>20</v>
      </c>
      <c r="G294">
        <v>424481</v>
      </c>
      <c r="H294">
        <v>1899051</v>
      </c>
      <c r="I294" t="str">
        <f>IF(COUNTIF(BudgetAppropData[CFDA], MemberOrgsData[[#This Row],[CFDA]]), "Yes", "No")</f>
        <v>Yes</v>
      </c>
      <c r="J294">
        <f>(COUNTIF(D$2:D294,D294)=1)*1</f>
        <v>0</v>
      </c>
    </row>
    <row r="295" spans="1:10" x14ac:dyDescent="0.25">
      <c r="A295" t="s">
        <v>139</v>
      </c>
      <c r="B295">
        <v>2018</v>
      </c>
      <c r="C295">
        <v>9652</v>
      </c>
      <c r="D295" t="s">
        <v>59</v>
      </c>
      <c r="E295">
        <v>93.6</v>
      </c>
      <c r="F295" t="s">
        <v>20</v>
      </c>
      <c r="G295">
        <v>431984</v>
      </c>
      <c r="H295">
        <v>1899051</v>
      </c>
      <c r="I295" t="str">
        <f>IF(COUNTIF(BudgetAppropData[CFDA], MemberOrgsData[[#This Row],[CFDA]]), "Yes", "No")</f>
        <v>Yes</v>
      </c>
      <c r="J295">
        <f>(COUNTIF(D$2:D295,D295)=1)*1</f>
        <v>0</v>
      </c>
    </row>
    <row r="296" spans="1:10" x14ac:dyDescent="0.25">
      <c r="A296" t="s">
        <v>139</v>
      </c>
      <c r="B296">
        <v>2018</v>
      </c>
      <c r="C296">
        <v>9652</v>
      </c>
      <c r="D296" t="s">
        <v>59</v>
      </c>
      <c r="E296">
        <v>93.6</v>
      </c>
      <c r="F296" t="s">
        <v>20</v>
      </c>
      <c r="G296">
        <v>1042586</v>
      </c>
      <c r="H296">
        <v>1899051</v>
      </c>
      <c r="I296" t="str">
        <f>IF(COUNTIF(BudgetAppropData[CFDA], MemberOrgsData[[#This Row],[CFDA]]), "Yes", "No")</f>
        <v>Yes</v>
      </c>
      <c r="J296">
        <f>(COUNTIF(D$2:D296,D296)=1)*1</f>
        <v>0</v>
      </c>
    </row>
    <row r="297" spans="1:10" x14ac:dyDescent="0.25">
      <c r="A297" t="s">
        <v>139</v>
      </c>
      <c r="B297">
        <v>2018</v>
      </c>
      <c r="C297">
        <v>9652</v>
      </c>
      <c r="D297" t="s">
        <v>59</v>
      </c>
      <c r="E297">
        <v>93.667000000000002</v>
      </c>
      <c r="F297" t="s">
        <v>22</v>
      </c>
      <c r="G297">
        <v>187269</v>
      </c>
      <c r="H297">
        <v>187269</v>
      </c>
      <c r="I297" t="str">
        <f>IF(COUNTIF(BudgetAppropData[CFDA], MemberOrgsData[[#This Row],[CFDA]]), "Yes", "No")</f>
        <v>Yes</v>
      </c>
      <c r="J297">
        <f>(COUNTIF(D$2:D297,D297)=1)*1</f>
        <v>0</v>
      </c>
    </row>
    <row r="298" spans="1:10" x14ac:dyDescent="0.25">
      <c r="A298" t="s">
        <v>139</v>
      </c>
      <c r="B298">
        <v>2018</v>
      </c>
      <c r="C298">
        <v>9652</v>
      </c>
      <c r="D298" t="s">
        <v>59</v>
      </c>
      <c r="E298">
        <v>93.926000000000002</v>
      </c>
      <c r="F298" t="s">
        <v>60</v>
      </c>
      <c r="G298">
        <v>99051</v>
      </c>
      <c r="H298">
        <v>381189</v>
      </c>
      <c r="I298" t="str">
        <f>IF(COUNTIF(BudgetAppropData[CFDA], MemberOrgsData[[#This Row],[CFDA]]), "Yes", "No")</f>
        <v>Yes</v>
      </c>
      <c r="J298">
        <f>(COUNTIF(D$2:D298,D298)=1)*1</f>
        <v>0</v>
      </c>
    </row>
    <row r="299" spans="1:10" x14ac:dyDescent="0.25">
      <c r="A299" t="s">
        <v>139</v>
      </c>
      <c r="B299">
        <v>2018</v>
      </c>
      <c r="C299">
        <v>9652</v>
      </c>
      <c r="D299" t="s">
        <v>59</v>
      </c>
      <c r="E299">
        <v>93.926000000000002</v>
      </c>
      <c r="F299" t="s">
        <v>60</v>
      </c>
      <c r="G299">
        <v>282138</v>
      </c>
      <c r="H299">
        <v>381189</v>
      </c>
      <c r="I299" t="str">
        <f>IF(COUNTIF(BudgetAppropData[CFDA], MemberOrgsData[[#This Row],[CFDA]]), "Yes", "No")</f>
        <v>Yes</v>
      </c>
      <c r="J299">
        <f>(COUNTIF(D$2:D299,D299)=1)*1</f>
        <v>0</v>
      </c>
    </row>
    <row r="300" spans="1:10" x14ac:dyDescent="0.25">
      <c r="A300" t="s">
        <v>139</v>
      </c>
      <c r="B300">
        <v>2018</v>
      </c>
      <c r="C300">
        <v>9652</v>
      </c>
      <c r="D300" t="s">
        <v>59</v>
      </c>
      <c r="E300">
        <v>93.959000000000003</v>
      </c>
      <c r="F300" t="s">
        <v>61</v>
      </c>
      <c r="G300">
        <v>539542</v>
      </c>
      <c r="H300">
        <v>539542</v>
      </c>
      <c r="I300" t="str">
        <f>IF(COUNTIF(BudgetAppropData[CFDA], MemberOrgsData[[#This Row],[CFDA]]), "Yes", "No")</f>
        <v>Yes</v>
      </c>
      <c r="J300">
        <f>(COUNTIF(D$2:D300,D300)=1)*1</f>
        <v>0</v>
      </c>
    </row>
    <row r="301" spans="1:10" x14ac:dyDescent="0.25">
      <c r="A301" t="s">
        <v>139</v>
      </c>
      <c r="B301">
        <v>2018</v>
      </c>
      <c r="C301">
        <v>11847</v>
      </c>
      <c r="D301" t="s">
        <v>62</v>
      </c>
      <c r="E301">
        <v>10.558</v>
      </c>
      <c r="F301" t="s">
        <v>24</v>
      </c>
      <c r="G301">
        <v>302562</v>
      </c>
      <c r="H301">
        <v>2052963</v>
      </c>
      <c r="I301" t="str">
        <f>IF(COUNTIF(BudgetAppropData[CFDA], MemberOrgsData[[#This Row],[CFDA]]), "Yes", "No")</f>
        <v>Yes</v>
      </c>
      <c r="J301">
        <f>(COUNTIF(D$2:D301,D301)=1)*1</f>
        <v>1</v>
      </c>
    </row>
    <row r="302" spans="1:10" x14ac:dyDescent="0.25">
      <c r="A302" t="s">
        <v>139</v>
      </c>
      <c r="B302">
        <v>2018</v>
      </c>
      <c r="C302">
        <v>11847</v>
      </c>
      <c r="D302" t="s">
        <v>62</v>
      </c>
      <c r="E302">
        <v>10.558</v>
      </c>
      <c r="F302" t="s">
        <v>24</v>
      </c>
      <c r="G302">
        <v>1750401</v>
      </c>
      <c r="H302">
        <v>2052963</v>
      </c>
      <c r="I302" t="str">
        <f>IF(COUNTIF(BudgetAppropData[CFDA], MemberOrgsData[[#This Row],[CFDA]]), "Yes", "No")</f>
        <v>Yes</v>
      </c>
      <c r="J302">
        <f>(COUNTIF(D$2:D302,D302)=1)*1</f>
        <v>0</v>
      </c>
    </row>
    <row r="303" spans="1:10" x14ac:dyDescent="0.25">
      <c r="A303" t="s">
        <v>139</v>
      </c>
      <c r="B303">
        <v>2018</v>
      </c>
      <c r="C303">
        <v>11847</v>
      </c>
      <c r="D303" t="s">
        <v>62</v>
      </c>
      <c r="E303">
        <v>17.259</v>
      </c>
      <c r="F303" t="s">
        <v>27</v>
      </c>
      <c r="G303">
        <v>1120</v>
      </c>
      <c r="H303">
        <v>1120</v>
      </c>
      <c r="I303" t="str">
        <f>IF(COUNTIF(BudgetAppropData[CFDA], MemberOrgsData[[#This Row],[CFDA]]), "Yes", "No")</f>
        <v>Yes</v>
      </c>
      <c r="J303">
        <f>(COUNTIF(D$2:D303,D303)=1)*1</f>
        <v>0</v>
      </c>
    </row>
    <row r="304" spans="1:10" x14ac:dyDescent="0.25">
      <c r="A304" t="s">
        <v>139</v>
      </c>
      <c r="B304">
        <v>2018</v>
      </c>
      <c r="C304">
        <v>11847</v>
      </c>
      <c r="D304" t="s">
        <v>62</v>
      </c>
      <c r="E304">
        <v>93.558000000000007</v>
      </c>
      <c r="F304" t="s">
        <v>30</v>
      </c>
      <c r="G304">
        <v>43796</v>
      </c>
      <c r="H304">
        <v>43796</v>
      </c>
      <c r="I304" t="str">
        <f>IF(COUNTIF(BudgetAppropData[CFDA], MemberOrgsData[[#This Row],[CFDA]]), "Yes", "No")</f>
        <v>Yes</v>
      </c>
      <c r="J304">
        <f>(COUNTIF(D$2:D304,D304)=1)*1</f>
        <v>0</v>
      </c>
    </row>
    <row r="305" spans="1:10" x14ac:dyDescent="0.25">
      <c r="A305" t="s">
        <v>139</v>
      </c>
      <c r="B305">
        <v>2018</v>
      </c>
      <c r="C305">
        <v>11847</v>
      </c>
      <c r="D305" t="s">
        <v>62</v>
      </c>
      <c r="E305">
        <v>93.569000000000003</v>
      </c>
      <c r="F305" t="s">
        <v>31</v>
      </c>
      <c r="G305">
        <v>71963</v>
      </c>
      <c r="H305">
        <v>105422</v>
      </c>
      <c r="I305" t="str">
        <f>IF(COUNTIF(BudgetAppropData[CFDA], MemberOrgsData[[#This Row],[CFDA]]), "Yes", "No")</f>
        <v>Yes</v>
      </c>
      <c r="J305">
        <f>(COUNTIF(D$2:D305,D305)=1)*1</f>
        <v>0</v>
      </c>
    </row>
    <row r="306" spans="1:10" x14ac:dyDescent="0.25">
      <c r="A306" t="s">
        <v>139</v>
      </c>
      <c r="B306">
        <v>2018</v>
      </c>
      <c r="C306">
        <v>11847</v>
      </c>
      <c r="D306" t="s">
        <v>62</v>
      </c>
      <c r="E306">
        <v>93.569000000000003</v>
      </c>
      <c r="F306" t="s">
        <v>31</v>
      </c>
      <c r="G306">
        <v>33459</v>
      </c>
      <c r="H306">
        <v>105422</v>
      </c>
      <c r="I306" t="str">
        <f>IF(COUNTIF(BudgetAppropData[CFDA], MemberOrgsData[[#This Row],[CFDA]]), "Yes", "No")</f>
        <v>Yes</v>
      </c>
      <c r="J306">
        <f>(COUNTIF(D$2:D306,D306)=1)*1</f>
        <v>0</v>
      </c>
    </row>
    <row r="307" spans="1:10" x14ac:dyDescent="0.25">
      <c r="A307" t="s">
        <v>139</v>
      </c>
      <c r="B307">
        <v>2018</v>
      </c>
      <c r="C307">
        <v>11847</v>
      </c>
      <c r="D307" t="s">
        <v>62</v>
      </c>
      <c r="E307">
        <v>93.6</v>
      </c>
      <c r="F307" t="s">
        <v>20</v>
      </c>
      <c r="G307">
        <v>510136</v>
      </c>
      <c r="H307">
        <v>1839219</v>
      </c>
      <c r="I307" t="str">
        <f>IF(COUNTIF(BudgetAppropData[CFDA], MemberOrgsData[[#This Row],[CFDA]]), "Yes", "No")</f>
        <v>Yes</v>
      </c>
      <c r="J307">
        <f>(COUNTIF(D$2:D307,D307)=1)*1</f>
        <v>0</v>
      </c>
    </row>
    <row r="308" spans="1:10" x14ac:dyDescent="0.25">
      <c r="A308" t="s">
        <v>139</v>
      </c>
      <c r="B308">
        <v>2018</v>
      </c>
      <c r="C308">
        <v>11847</v>
      </c>
      <c r="D308" t="s">
        <v>62</v>
      </c>
      <c r="E308">
        <v>93.6</v>
      </c>
      <c r="F308" t="s">
        <v>20</v>
      </c>
      <c r="G308">
        <v>1329083</v>
      </c>
      <c r="H308">
        <v>1839219</v>
      </c>
      <c r="I308" t="str">
        <f>IF(COUNTIF(BudgetAppropData[CFDA], MemberOrgsData[[#This Row],[CFDA]]), "Yes", "No")</f>
        <v>Yes</v>
      </c>
      <c r="J308">
        <f>(COUNTIF(D$2:D308,D308)=1)*1</f>
        <v>0</v>
      </c>
    </row>
    <row r="309" spans="1:10" x14ac:dyDescent="0.25">
      <c r="A309" t="s">
        <v>136</v>
      </c>
      <c r="B309">
        <v>2018</v>
      </c>
      <c r="C309">
        <v>11595</v>
      </c>
      <c r="D309" t="s">
        <v>63</v>
      </c>
      <c r="E309">
        <v>10.558</v>
      </c>
      <c r="F309" t="s">
        <v>24</v>
      </c>
      <c r="G309">
        <v>5577</v>
      </c>
      <c r="H309">
        <v>5577</v>
      </c>
      <c r="I309" t="str">
        <f>IF(COUNTIF(BudgetAppropData[CFDA], MemberOrgsData[[#This Row],[CFDA]]), "Yes", "No")</f>
        <v>Yes</v>
      </c>
      <c r="J309">
        <f>(COUNTIF(D$2:D309,D309)=1)*1</f>
        <v>1</v>
      </c>
    </row>
    <row r="310" spans="1:10" x14ac:dyDescent="0.25">
      <c r="A310" t="s">
        <v>136</v>
      </c>
      <c r="B310">
        <v>2018</v>
      </c>
      <c r="C310">
        <v>11595</v>
      </c>
      <c r="D310" t="s">
        <v>63</v>
      </c>
      <c r="E310">
        <v>93.043999999999997</v>
      </c>
      <c r="F310" t="s">
        <v>106</v>
      </c>
      <c r="G310">
        <v>8765</v>
      </c>
      <c r="H310">
        <v>8765</v>
      </c>
      <c r="I310" t="str">
        <f>IF(COUNTIF(BudgetAppropData[CFDA], MemberOrgsData[[#This Row],[CFDA]]), "Yes", "No")</f>
        <v>Yes</v>
      </c>
      <c r="J310">
        <f>(COUNTIF(D$2:D310,D310)=1)*1</f>
        <v>0</v>
      </c>
    </row>
    <row r="311" spans="1:10" x14ac:dyDescent="0.25">
      <c r="A311" t="s">
        <v>136</v>
      </c>
      <c r="B311">
        <v>2018</v>
      </c>
      <c r="C311">
        <v>11595</v>
      </c>
      <c r="D311" t="s">
        <v>63</v>
      </c>
      <c r="E311">
        <v>93.045000000000002</v>
      </c>
      <c r="F311" t="s">
        <v>64</v>
      </c>
      <c r="G311">
        <v>26243</v>
      </c>
      <c r="H311">
        <v>194132</v>
      </c>
      <c r="I311" t="str">
        <f>IF(COUNTIF(BudgetAppropData[CFDA], MemberOrgsData[[#This Row],[CFDA]]), "Yes", "No")</f>
        <v>Yes</v>
      </c>
      <c r="J311">
        <f>(COUNTIF(D$2:D311,D311)=1)*1</f>
        <v>0</v>
      </c>
    </row>
    <row r="312" spans="1:10" x14ac:dyDescent="0.25">
      <c r="A312" t="s">
        <v>136</v>
      </c>
      <c r="B312">
        <v>2018</v>
      </c>
      <c r="C312">
        <v>11595</v>
      </c>
      <c r="D312" t="s">
        <v>63</v>
      </c>
      <c r="E312">
        <v>93.045000000000002</v>
      </c>
      <c r="F312" t="s">
        <v>64</v>
      </c>
      <c r="G312">
        <v>167889</v>
      </c>
      <c r="H312">
        <v>194132</v>
      </c>
      <c r="I312" t="str">
        <f>IF(COUNTIF(BudgetAppropData[CFDA], MemberOrgsData[[#This Row],[CFDA]]), "Yes", "No")</f>
        <v>Yes</v>
      </c>
      <c r="J312">
        <f>(COUNTIF(D$2:D312,D312)=1)*1</f>
        <v>0</v>
      </c>
    </row>
    <row r="313" spans="1:10" x14ac:dyDescent="0.25">
      <c r="A313" t="s">
        <v>136</v>
      </c>
      <c r="B313">
        <v>2018</v>
      </c>
      <c r="C313">
        <v>11595</v>
      </c>
      <c r="D313" t="s">
        <v>63</v>
      </c>
      <c r="E313">
        <v>93.052999999999997</v>
      </c>
      <c r="F313" t="s">
        <v>28</v>
      </c>
      <c r="G313">
        <v>19611</v>
      </c>
      <c r="H313">
        <v>211219</v>
      </c>
      <c r="I313" t="str">
        <f>IF(COUNTIF(BudgetAppropData[CFDA], MemberOrgsData[[#This Row],[CFDA]]), "Yes", "No")</f>
        <v>Yes</v>
      </c>
      <c r="J313">
        <f>(COUNTIF(D$2:D313,D313)=1)*1</f>
        <v>0</v>
      </c>
    </row>
    <row r="314" spans="1:10" x14ac:dyDescent="0.25">
      <c r="A314" t="s">
        <v>136</v>
      </c>
      <c r="B314">
        <v>2018</v>
      </c>
      <c r="C314">
        <v>11595</v>
      </c>
      <c r="D314" t="s">
        <v>63</v>
      </c>
      <c r="E314">
        <v>93.052999999999997</v>
      </c>
      <c r="F314" t="s">
        <v>28</v>
      </c>
      <c r="G314">
        <v>191608</v>
      </c>
      <c r="H314">
        <v>211219</v>
      </c>
      <c r="I314" t="str">
        <f>IF(COUNTIF(BudgetAppropData[CFDA], MemberOrgsData[[#This Row],[CFDA]]), "Yes", "No")</f>
        <v>Yes</v>
      </c>
      <c r="J314">
        <f>(COUNTIF(D$2:D314,D314)=1)*1</f>
        <v>0</v>
      </c>
    </row>
    <row r="315" spans="1:10" x14ac:dyDescent="0.25">
      <c r="A315" t="s">
        <v>136</v>
      </c>
      <c r="B315">
        <v>2018</v>
      </c>
      <c r="C315">
        <v>11595</v>
      </c>
      <c r="D315" t="s">
        <v>63</v>
      </c>
      <c r="E315">
        <v>93.558000000000007</v>
      </c>
      <c r="F315" t="s">
        <v>30</v>
      </c>
      <c r="G315">
        <v>111500</v>
      </c>
      <c r="H315">
        <v>111500</v>
      </c>
      <c r="I315" t="str">
        <f>IF(COUNTIF(BudgetAppropData[CFDA], MemberOrgsData[[#This Row],[CFDA]]), "Yes", "No")</f>
        <v>Yes</v>
      </c>
      <c r="J315">
        <f>(COUNTIF(D$2:D315,D315)=1)*1</f>
        <v>0</v>
      </c>
    </row>
    <row r="316" spans="1:10" x14ac:dyDescent="0.25">
      <c r="A316" t="s">
        <v>136</v>
      </c>
      <c r="B316">
        <v>2018</v>
      </c>
      <c r="C316">
        <v>11595</v>
      </c>
      <c r="D316" t="s">
        <v>63</v>
      </c>
      <c r="E316">
        <v>93.667000000000002</v>
      </c>
      <c r="F316" t="s">
        <v>22</v>
      </c>
      <c r="G316">
        <v>63068</v>
      </c>
      <c r="H316">
        <v>356748</v>
      </c>
      <c r="I316" t="str">
        <f>IF(COUNTIF(BudgetAppropData[CFDA], MemberOrgsData[[#This Row],[CFDA]]), "Yes", "No")</f>
        <v>Yes</v>
      </c>
      <c r="J316">
        <f>(COUNTIF(D$2:D316,D316)=1)*1</f>
        <v>0</v>
      </c>
    </row>
    <row r="317" spans="1:10" x14ac:dyDescent="0.25">
      <c r="A317" t="s">
        <v>136</v>
      </c>
      <c r="B317">
        <v>2018</v>
      </c>
      <c r="C317">
        <v>11595</v>
      </c>
      <c r="D317" t="s">
        <v>63</v>
      </c>
      <c r="E317">
        <v>93.667000000000002</v>
      </c>
      <c r="F317" t="s">
        <v>22</v>
      </c>
      <c r="G317">
        <v>293680</v>
      </c>
      <c r="H317">
        <v>356748</v>
      </c>
      <c r="I317" t="str">
        <f>IF(COUNTIF(BudgetAppropData[CFDA], MemberOrgsData[[#This Row],[CFDA]]), "Yes", "No")</f>
        <v>Yes</v>
      </c>
      <c r="J317">
        <f>(COUNTIF(D$2:D317,D317)=1)*1</f>
        <v>0</v>
      </c>
    </row>
    <row r="318" spans="1:10" x14ac:dyDescent="0.25">
      <c r="A318" t="s">
        <v>8</v>
      </c>
      <c r="B318">
        <v>2018</v>
      </c>
      <c r="C318">
        <v>244359</v>
      </c>
      <c r="D318" t="s">
        <v>103</v>
      </c>
      <c r="E318">
        <v>93.043000000000006</v>
      </c>
      <c r="F318" t="s">
        <v>105</v>
      </c>
      <c r="G318">
        <v>6122</v>
      </c>
      <c r="H318">
        <v>6122</v>
      </c>
      <c r="I318" t="str">
        <f>IF(COUNTIF(BudgetAppropData[CFDA], MemberOrgsData[[#This Row],[CFDA]]), "Yes", "No")</f>
        <v>Yes</v>
      </c>
      <c r="J318">
        <f>(COUNTIF(D$2:D318,D318)=1)*1</f>
        <v>1</v>
      </c>
    </row>
    <row r="319" spans="1:10" x14ac:dyDescent="0.25">
      <c r="A319" t="s">
        <v>8</v>
      </c>
      <c r="B319">
        <v>2018</v>
      </c>
      <c r="C319">
        <v>244359</v>
      </c>
      <c r="D319" t="s">
        <v>103</v>
      </c>
      <c r="E319">
        <v>93.043999999999997</v>
      </c>
      <c r="F319" t="s">
        <v>113</v>
      </c>
      <c r="G319">
        <v>181409</v>
      </c>
      <c r="H319">
        <v>181409</v>
      </c>
      <c r="I319" t="str">
        <f>IF(COUNTIF(BudgetAppropData[CFDA], MemberOrgsData[[#This Row],[CFDA]]), "Yes", "No")</f>
        <v>Yes</v>
      </c>
      <c r="J319">
        <f>(COUNTIF(D$2:D319,D319)=1)*1</f>
        <v>0</v>
      </c>
    </row>
    <row r="320" spans="1:10" x14ac:dyDescent="0.25">
      <c r="A320" t="s">
        <v>8</v>
      </c>
      <c r="B320">
        <v>2018</v>
      </c>
      <c r="C320">
        <v>244359</v>
      </c>
      <c r="D320" t="s">
        <v>103</v>
      </c>
      <c r="E320">
        <v>93.045000000000002</v>
      </c>
      <c r="F320" t="s">
        <v>64</v>
      </c>
      <c r="G320">
        <v>218674</v>
      </c>
      <c r="H320">
        <v>218674</v>
      </c>
      <c r="I320" t="str">
        <f>IF(COUNTIF(BudgetAppropData[CFDA], MemberOrgsData[[#This Row],[CFDA]]), "Yes", "No")</f>
        <v>Yes</v>
      </c>
      <c r="J320">
        <f>(COUNTIF(D$2:D320,D320)=1)*1</f>
        <v>0</v>
      </c>
    </row>
    <row r="321" spans="1:10" x14ac:dyDescent="0.25">
      <c r="A321" t="s">
        <v>8</v>
      </c>
      <c r="B321">
        <v>2018</v>
      </c>
      <c r="C321">
        <v>244359</v>
      </c>
      <c r="D321" t="s">
        <v>103</v>
      </c>
      <c r="E321">
        <v>93.052999999999997</v>
      </c>
      <c r="F321" t="s">
        <v>28</v>
      </c>
      <c r="G321">
        <v>80416</v>
      </c>
      <c r="H321">
        <v>80416</v>
      </c>
      <c r="I321" t="str">
        <f>IF(COUNTIF(BudgetAppropData[CFDA], MemberOrgsData[[#This Row],[CFDA]]), "Yes", "No")</f>
        <v>Yes</v>
      </c>
      <c r="J321">
        <f>(COUNTIF(D$2:D321,D321)=1)*1</f>
        <v>0</v>
      </c>
    </row>
    <row r="322" spans="1:10" x14ac:dyDescent="0.25">
      <c r="A322" t="s">
        <v>8</v>
      </c>
      <c r="B322">
        <v>2018</v>
      </c>
      <c r="C322">
        <v>244359</v>
      </c>
      <c r="D322" t="s">
        <v>103</v>
      </c>
      <c r="E322">
        <v>93.667000000000002</v>
      </c>
      <c r="F322" t="s">
        <v>22</v>
      </c>
      <c r="G322">
        <v>445951</v>
      </c>
      <c r="H322">
        <v>445951</v>
      </c>
      <c r="I322" t="str">
        <f>IF(COUNTIF(BudgetAppropData[CFDA], MemberOrgsData[[#This Row],[CFDA]]), "Yes", "No")</f>
        <v>Yes</v>
      </c>
      <c r="J322">
        <f>(COUNTIF(D$2:D322,D322)=1)*1</f>
        <v>0</v>
      </c>
    </row>
    <row r="323" spans="1:10" x14ac:dyDescent="0.25">
      <c r="A323" t="s">
        <v>136</v>
      </c>
      <c r="B323">
        <v>2018</v>
      </c>
      <c r="C323">
        <v>10976</v>
      </c>
      <c r="D323" t="s">
        <v>65</v>
      </c>
      <c r="E323">
        <v>10.553000000000001</v>
      </c>
      <c r="F323" t="s">
        <v>44</v>
      </c>
      <c r="G323">
        <v>97121</v>
      </c>
      <c r="H323">
        <v>97121</v>
      </c>
      <c r="I323" t="str">
        <f>IF(COUNTIF(BudgetAppropData[CFDA], MemberOrgsData[[#This Row],[CFDA]]), "Yes", "No")</f>
        <v>No</v>
      </c>
      <c r="J323">
        <f>(COUNTIF(D$2:D323,D323)=1)*1</f>
        <v>1</v>
      </c>
    </row>
    <row r="324" spans="1:10" x14ac:dyDescent="0.25">
      <c r="A324" t="s">
        <v>136</v>
      </c>
      <c r="B324">
        <v>2018</v>
      </c>
      <c r="C324">
        <v>10976</v>
      </c>
      <c r="D324" t="s">
        <v>65</v>
      </c>
      <c r="E324">
        <v>10.555</v>
      </c>
      <c r="F324" t="s">
        <v>45</v>
      </c>
      <c r="G324">
        <v>154166</v>
      </c>
      <c r="H324">
        <v>154166</v>
      </c>
      <c r="I324" t="str">
        <f>IF(COUNTIF(BudgetAppropData[CFDA], MemberOrgsData[[#This Row],[CFDA]]), "Yes", "No")</f>
        <v>No</v>
      </c>
      <c r="J324">
        <f>(COUNTIF(D$2:D324,D324)=1)*1</f>
        <v>0</v>
      </c>
    </row>
    <row r="325" spans="1:10" x14ac:dyDescent="0.25">
      <c r="A325" t="s">
        <v>136</v>
      </c>
      <c r="B325">
        <v>2018</v>
      </c>
      <c r="C325">
        <v>10976</v>
      </c>
      <c r="D325" t="s">
        <v>65</v>
      </c>
      <c r="E325">
        <v>14.234999999999999</v>
      </c>
      <c r="F325" t="s">
        <v>11</v>
      </c>
      <c r="G325">
        <v>50182</v>
      </c>
      <c r="H325">
        <v>391156</v>
      </c>
      <c r="I325" t="str">
        <f>IF(COUNTIF(BudgetAppropData[CFDA], MemberOrgsData[[#This Row],[CFDA]]), "Yes", "No")</f>
        <v>No</v>
      </c>
      <c r="J325">
        <f>(COUNTIF(D$2:D325,D325)=1)*1</f>
        <v>0</v>
      </c>
    </row>
    <row r="326" spans="1:10" x14ac:dyDescent="0.25">
      <c r="A326" t="s">
        <v>136</v>
      </c>
      <c r="B326">
        <v>2018</v>
      </c>
      <c r="C326">
        <v>10976</v>
      </c>
      <c r="D326" t="s">
        <v>65</v>
      </c>
      <c r="E326">
        <v>14.234999999999999</v>
      </c>
      <c r="F326" t="s">
        <v>11</v>
      </c>
      <c r="G326">
        <v>340974</v>
      </c>
      <c r="H326">
        <v>391156</v>
      </c>
      <c r="I326" t="str">
        <f>IF(COUNTIF(BudgetAppropData[CFDA], MemberOrgsData[[#This Row],[CFDA]]), "Yes", "No")</f>
        <v>No</v>
      </c>
      <c r="J326">
        <f>(COUNTIF(D$2:D326,D326)=1)*1</f>
        <v>0</v>
      </c>
    </row>
    <row r="327" spans="1:10" x14ac:dyDescent="0.25">
      <c r="A327" t="s">
        <v>136</v>
      </c>
      <c r="B327">
        <v>2018</v>
      </c>
      <c r="C327">
        <v>10976</v>
      </c>
      <c r="D327" t="s">
        <v>65</v>
      </c>
      <c r="E327">
        <v>93.296999999999997</v>
      </c>
      <c r="F327" t="s">
        <v>92</v>
      </c>
      <c r="G327">
        <v>20000</v>
      </c>
      <c r="H327">
        <v>20000</v>
      </c>
      <c r="I327" t="str">
        <f>IF(COUNTIF(BudgetAppropData[CFDA], MemberOrgsData[[#This Row],[CFDA]]), "Yes", "No")</f>
        <v>No</v>
      </c>
      <c r="J327">
        <f>(COUNTIF(D$2:D327,D327)=1)*1</f>
        <v>0</v>
      </c>
    </row>
    <row r="328" spans="1:10" x14ac:dyDescent="0.25">
      <c r="A328" t="s">
        <v>136</v>
      </c>
      <c r="B328">
        <v>2018</v>
      </c>
      <c r="C328">
        <v>10976</v>
      </c>
      <c r="D328" t="s">
        <v>65</v>
      </c>
      <c r="E328">
        <v>17.259</v>
      </c>
      <c r="F328" t="s">
        <v>27</v>
      </c>
      <c r="G328">
        <v>137423</v>
      </c>
      <c r="H328">
        <v>179548</v>
      </c>
      <c r="I328" t="str">
        <f>IF(COUNTIF(BudgetAppropData[CFDA], MemberOrgsData[[#This Row],[CFDA]]), "Yes", "No")</f>
        <v>Yes</v>
      </c>
      <c r="J328">
        <f>(COUNTIF(D$2:D328,D328)=1)*1</f>
        <v>0</v>
      </c>
    </row>
    <row r="329" spans="1:10" x14ac:dyDescent="0.25">
      <c r="A329" t="s">
        <v>136</v>
      </c>
      <c r="B329">
        <v>2018</v>
      </c>
      <c r="C329">
        <v>10976</v>
      </c>
      <c r="D329" t="s">
        <v>65</v>
      </c>
      <c r="E329">
        <v>17.259</v>
      </c>
      <c r="F329" t="s">
        <v>27</v>
      </c>
      <c r="G329">
        <v>42125</v>
      </c>
      <c r="H329">
        <v>179548</v>
      </c>
      <c r="I329" t="str">
        <f>IF(COUNTIF(BudgetAppropData[CFDA], MemberOrgsData[[#This Row],[CFDA]]), "Yes", "No")</f>
        <v>Yes</v>
      </c>
      <c r="J329">
        <f>(COUNTIF(D$2:D329,D329)=1)*1</f>
        <v>0</v>
      </c>
    </row>
    <row r="330" spans="1:10" x14ac:dyDescent="0.25">
      <c r="A330" t="s">
        <v>136</v>
      </c>
      <c r="B330">
        <v>2018</v>
      </c>
      <c r="C330">
        <v>10976</v>
      </c>
      <c r="D330" t="s">
        <v>65</v>
      </c>
      <c r="E330">
        <v>93.623000000000005</v>
      </c>
      <c r="F330" t="s">
        <v>66</v>
      </c>
      <c r="G330">
        <v>93353</v>
      </c>
      <c r="H330">
        <v>93353</v>
      </c>
      <c r="I330" t="str">
        <f>IF(COUNTIF(BudgetAppropData[CFDA], MemberOrgsData[[#This Row],[CFDA]]), "Yes", "No")</f>
        <v>Yes</v>
      </c>
      <c r="J330">
        <f>(COUNTIF(D$2:D330,D330)=1)*1</f>
        <v>0</v>
      </c>
    </row>
    <row r="331" spans="1:10" x14ac:dyDescent="0.25">
      <c r="A331" t="s">
        <v>136</v>
      </c>
      <c r="B331">
        <v>2018</v>
      </c>
      <c r="C331">
        <v>10976</v>
      </c>
      <c r="D331" t="s">
        <v>65</v>
      </c>
      <c r="E331">
        <v>93.667000000000002</v>
      </c>
      <c r="F331" t="s">
        <v>22</v>
      </c>
      <c r="G331">
        <v>39280</v>
      </c>
      <c r="H331">
        <v>39280</v>
      </c>
      <c r="I331" t="str">
        <f>IF(COUNTIF(BudgetAppropData[CFDA], MemberOrgsData[[#This Row],[CFDA]]), "Yes", "No")</f>
        <v>Yes</v>
      </c>
      <c r="J331">
        <f>(COUNTIF(D$2:D331,D331)=1)*1</f>
        <v>0</v>
      </c>
    </row>
    <row r="332" spans="1:10" x14ac:dyDescent="0.25">
      <c r="A332" t="s">
        <v>136</v>
      </c>
      <c r="B332">
        <v>2018</v>
      </c>
      <c r="C332">
        <v>10976</v>
      </c>
      <c r="D332" t="s">
        <v>65</v>
      </c>
      <c r="E332">
        <v>93.676000000000002</v>
      </c>
      <c r="F332" t="s">
        <v>67</v>
      </c>
      <c r="G332">
        <v>17762029</v>
      </c>
      <c r="H332">
        <v>17762029</v>
      </c>
      <c r="I332" t="str">
        <f>IF(COUNTIF(BudgetAppropData[CFDA], MemberOrgsData[[#This Row],[CFDA]]), "Yes", "No")</f>
        <v>Yes</v>
      </c>
      <c r="J332">
        <f>(COUNTIF(D$2:D332,D332)=1)*1</f>
        <v>0</v>
      </c>
    </row>
    <row r="333" spans="1:10" x14ac:dyDescent="0.25">
      <c r="A333" t="s">
        <v>136</v>
      </c>
      <c r="B333">
        <v>2018</v>
      </c>
      <c r="C333">
        <v>10976</v>
      </c>
      <c r="D333" t="s">
        <v>65</v>
      </c>
      <c r="E333">
        <v>93.778000000000006</v>
      </c>
      <c r="F333" t="s">
        <v>34</v>
      </c>
      <c r="G333">
        <v>205274</v>
      </c>
      <c r="H333">
        <v>205274</v>
      </c>
      <c r="I333" t="str">
        <f>IF(COUNTIF(BudgetAppropData[CFDA], MemberOrgsData[[#This Row],[CFDA]]), "Yes", "No")</f>
        <v>Yes</v>
      </c>
      <c r="J333">
        <f>(COUNTIF(D$2:D333,D333)=1)*1</f>
        <v>0</v>
      </c>
    </row>
    <row r="334" spans="1:10" x14ac:dyDescent="0.25">
      <c r="A334" t="s">
        <v>136</v>
      </c>
      <c r="B334">
        <v>2018</v>
      </c>
      <c r="C334">
        <v>10976</v>
      </c>
      <c r="D334" t="s">
        <v>65</v>
      </c>
      <c r="E334">
        <v>93.994</v>
      </c>
      <c r="F334" t="s">
        <v>36</v>
      </c>
      <c r="G334">
        <v>24687</v>
      </c>
      <c r="H334">
        <v>24687</v>
      </c>
      <c r="I334" t="str">
        <f>IF(COUNTIF(BudgetAppropData[CFDA], MemberOrgsData[[#This Row],[CFDA]]), "Yes", "No")</f>
        <v>Yes</v>
      </c>
      <c r="J334">
        <f>(COUNTIF(D$2:D334,D334)=1)*1</f>
        <v>0</v>
      </c>
    </row>
    <row r="335" spans="1:10" x14ac:dyDescent="0.25">
      <c r="A335" t="s">
        <v>71</v>
      </c>
      <c r="B335">
        <v>2018</v>
      </c>
      <c r="C335">
        <v>201953</v>
      </c>
      <c r="D335" t="s">
        <v>86</v>
      </c>
      <c r="E335">
        <v>93.242999999999995</v>
      </c>
      <c r="F335" t="s">
        <v>110</v>
      </c>
      <c r="G335">
        <v>988074</v>
      </c>
      <c r="H335">
        <v>988074</v>
      </c>
      <c r="I335" t="str">
        <f>IF(COUNTIF(BudgetAppropData[CFDA], MemberOrgsData[[#This Row],[CFDA]]), "Yes", "No")</f>
        <v>Yes</v>
      </c>
      <c r="J335">
        <f>(COUNTIF(D$2:D335,D335)=1)*1</f>
        <v>1</v>
      </c>
    </row>
    <row r="336" spans="1:10" x14ac:dyDescent="0.25">
      <c r="A336" t="s">
        <v>71</v>
      </c>
      <c r="B336">
        <v>2018</v>
      </c>
      <c r="C336">
        <v>201953</v>
      </c>
      <c r="D336" t="s">
        <v>86</v>
      </c>
      <c r="E336">
        <v>93.558000000000007</v>
      </c>
      <c r="F336" t="s">
        <v>30</v>
      </c>
      <c r="G336">
        <v>103334</v>
      </c>
      <c r="H336">
        <v>103334</v>
      </c>
      <c r="I336" t="str">
        <f>IF(COUNTIF(BudgetAppropData[CFDA], MemberOrgsData[[#This Row],[CFDA]]), "Yes", "No")</f>
        <v>Yes</v>
      </c>
      <c r="J336">
        <f>(COUNTIF(D$2:D336,D336)=1)*1</f>
        <v>0</v>
      </c>
    </row>
    <row r="337" spans="1:10" x14ac:dyDescent="0.25">
      <c r="A337" t="s">
        <v>71</v>
      </c>
      <c r="B337">
        <v>2018</v>
      </c>
      <c r="C337">
        <v>201953</v>
      </c>
      <c r="D337" t="s">
        <v>86</v>
      </c>
      <c r="E337">
        <v>93.59</v>
      </c>
      <c r="F337" t="s">
        <v>33</v>
      </c>
      <c r="G337">
        <v>32452</v>
      </c>
      <c r="H337">
        <v>32452</v>
      </c>
      <c r="I337" t="str">
        <f>IF(COUNTIF(BudgetAppropData[CFDA], MemberOrgsData[[#This Row],[CFDA]]), "Yes", "No")</f>
        <v>Yes</v>
      </c>
      <c r="J337">
        <f>(COUNTIF(D$2:D337,D337)=1)*1</f>
        <v>0</v>
      </c>
    </row>
    <row r="338" spans="1:10" x14ac:dyDescent="0.25">
      <c r="A338" t="s">
        <v>71</v>
      </c>
      <c r="B338">
        <v>2018</v>
      </c>
      <c r="C338">
        <v>201953</v>
      </c>
      <c r="D338" t="s">
        <v>86</v>
      </c>
      <c r="E338">
        <v>93.914000000000001</v>
      </c>
      <c r="F338" t="s">
        <v>16</v>
      </c>
      <c r="G338">
        <v>144015</v>
      </c>
      <c r="H338">
        <v>779342</v>
      </c>
      <c r="I338" t="str">
        <f>IF(COUNTIF(BudgetAppropData[CFDA], MemberOrgsData[[#This Row],[CFDA]]), "Yes", "No")</f>
        <v>Yes</v>
      </c>
      <c r="J338">
        <f>(COUNTIF(D$2:D338,D338)=1)*1</f>
        <v>0</v>
      </c>
    </row>
    <row r="339" spans="1:10" x14ac:dyDescent="0.25">
      <c r="A339" t="s">
        <v>71</v>
      </c>
      <c r="B339">
        <v>2018</v>
      </c>
      <c r="C339">
        <v>201953</v>
      </c>
      <c r="D339" t="s">
        <v>86</v>
      </c>
      <c r="E339">
        <v>93.914000000000001</v>
      </c>
      <c r="F339" t="s">
        <v>16</v>
      </c>
      <c r="G339">
        <v>343404</v>
      </c>
      <c r="H339">
        <v>779342</v>
      </c>
      <c r="I339" t="str">
        <f>IF(COUNTIF(BudgetAppropData[CFDA], MemberOrgsData[[#This Row],[CFDA]]), "Yes", "No")</f>
        <v>Yes</v>
      </c>
      <c r="J339">
        <f>(COUNTIF(D$2:D339,D339)=1)*1</f>
        <v>0</v>
      </c>
    </row>
    <row r="340" spans="1:10" x14ac:dyDescent="0.25">
      <c r="A340" t="s">
        <v>71</v>
      </c>
      <c r="B340">
        <v>2018</v>
      </c>
      <c r="C340">
        <v>201953</v>
      </c>
      <c r="D340" t="s">
        <v>86</v>
      </c>
      <c r="E340">
        <v>93.914000000000001</v>
      </c>
      <c r="F340" t="s">
        <v>16</v>
      </c>
      <c r="G340">
        <v>291923</v>
      </c>
      <c r="H340">
        <v>779342</v>
      </c>
      <c r="I340" t="str">
        <f>IF(COUNTIF(BudgetAppropData[CFDA], MemberOrgsData[[#This Row],[CFDA]]), "Yes", "No")</f>
        <v>Yes</v>
      </c>
      <c r="J340">
        <f>(COUNTIF(D$2:D340,D340)=1)*1</f>
        <v>0</v>
      </c>
    </row>
    <row r="341" spans="1:10" x14ac:dyDescent="0.25">
      <c r="A341" t="s">
        <v>8</v>
      </c>
      <c r="B341">
        <v>2018</v>
      </c>
      <c r="C341">
        <v>211372</v>
      </c>
      <c r="D341" t="s">
        <v>68</v>
      </c>
      <c r="E341">
        <v>10.558</v>
      </c>
      <c r="F341" t="s">
        <v>24</v>
      </c>
      <c r="G341">
        <v>12522691</v>
      </c>
      <c r="H341">
        <v>12522691</v>
      </c>
      <c r="I341" t="str">
        <f>IF(COUNTIF(BudgetAppropData[CFDA], MemberOrgsData[[#This Row],[CFDA]]), "Yes", "No")</f>
        <v>Yes</v>
      </c>
      <c r="J341">
        <f>(COUNTIF(D$2:D341,D341)=1)*1</f>
        <v>1</v>
      </c>
    </row>
    <row r="342" spans="1:10" x14ac:dyDescent="0.25">
      <c r="A342" t="s">
        <v>8</v>
      </c>
      <c r="B342">
        <v>2018</v>
      </c>
      <c r="C342">
        <v>211372</v>
      </c>
      <c r="D342" t="s">
        <v>68</v>
      </c>
      <c r="E342">
        <v>93.575000000000003</v>
      </c>
      <c r="F342" t="s">
        <v>32</v>
      </c>
      <c r="G342">
        <v>271962</v>
      </c>
      <c r="H342">
        <v>271962</v>
      </c>
      <c r="I342" t="str">
        <f>IF(COUNTIF(BudgetAppropData[CFDA], MemberOrgsData[[#This Row],[CFDA]]), "Yes", "No")</f>
        <v>Yes</v>
      </c>
      <c r="J342">
        <f>(COUNTIF(D$2:D342,D342)=1)*1</f>
        <v>0</v>
      </c>
    </row>
    <row r="343" spans="1:10" x14ac:dyDescent="0.25">
      <c r="A343" t="s">
        <v>139</v>
      </c>
      <c r="B343">
        <v>2018</v>
      </c>
      <c r="C343">
        <v>248138</v>
      </c>
      <c r="D343" t="s">
        <v>143</v>
      </c>
      <c r="E343">
        <v>10.558</v>
      </c>
      <c r="F343" t="s">
        <v>24</v>
      </c>
      <c r="G343">
        <v>715607</v>
      </c>
      <c r="H343">
        <v>715607</v>
      </c>
      <c r="I343" t="str">
        <f>IF(COUNTIF(BudgetAppropData[CFDA], MemberOrgsData[[#This Row],[CFDA]]), "Yes", "No")</f>
        <v>Yes</v>
      </c>
      <c r="J343">
        <f>(COUNTIF(D$2:D343,D343)=1)*1</f>
        <v>1</v>
      </c>
    </row>
    <row r="344" spans="1:10" x14ac:dyDescent="0.25">
      <c r="A344" t="s">
        <v>139</v>
      </c>
      <c r="B344">
        <v>2018</v>
      </c>
      <c r="C344">
        <v>248138</v>
      </c>
      <c r="D344" t="s">
        <v>143</v>
      </c>
      <c r="E344">
        <v>84.001999999999995</v>
      </c>
      <c r="F344" t="s">
        <v>40</v>
      </c>
      <c r="G344">
        <v>279959</v>
      </c>
      <c r="H344">
        <v>279959</v>
      </c>
      <c r="I344" t="str">
        <f>IF(COUNTIF(BudgetAppropData[CFDA], MemberOrgsData[[#This Row],[CFDA]]), "Yes", "No")</f>
        <v>Yes</v>
      </c>
      <c r="J344">
        <f>(COUNTIF(D$2:D344,D344)=1)*1</f>
        <v>0</v>
      </c>
    </row>
    <row r="345" spans="1:10" x14ac:dyDescent="0.25">
      <c r="A345" t="s">
        <v>139</v>
      </c>
      <c r="B345">
        <v>2018</v>
      </c>
      <c r="C345">
        <v>248138</v>
      </c>
      <c r="D345" t="s">
        <v>143</v>
      </c>
      <c r="E345">
        <v>93.043000000000006</v>
      </c>
      <c r="F345" t="s">
        <v>105</v>
      </c>
      <c r="G345">
        <v>6562</v>
      </c>
      <c r="H345">
        <v>6562</v>
      </c>
      <c r="I345" t="str">
        <f>IF(COUNTIF(BudgetAppropData[CFDA], MemberOrgsData[[#This Row],[CFDA]]), "Yes", "No")</f>
        <v>Yes</v>
      </c>
      <c r="J345">
        <f>(COUNTIF(D$2:D345,D345)=1)*1</f>
        <v>0</v>
      </c>
    </row>
    <row r="346" spans="1:10" x14ac:dyDescent="0.25">
      <c r="A346" t="s">
        <v>139</v>
      </c>
      <c r="B346">
        <v>2018</v>
      </c>
      <c r="C346">
        <v>248138</v>
      </c>
      <c r="D346" t="s">
        <v>143</v>
      </c>
      <c r="E346">
        <v>93.043999999999997</v>
      </c>
      <c r="F346" t="s">
        <v>106</v>
      </c>
      <c r="G346">
        <v>33140</v>
      </c>
      <c r="H346">
        <v>33140</v>
      </c>
      <c r="I346" t="str">
        <f>IF(COUNTIF(BudgetAppropData[CFDA], MemberOrgsData[[#This Row],[CFDA]]), "Yes", "No")</f>
        <v>Yes</v>
      </c>
      <c r="J346">
        <f>(COUNTIF(D$2:D346,D346)=1)*1</f>
        <v>0</v>
      </c>
    </row>
    <row r="347" spans="1:10" x14ac:dyDescent="0.25">
      <c r="A347" t="s">
        <v>139</v>
      </c>
      <c r="B347">
        <v>2018</v>
      </c>
      <c r="C347">
        <v>248138</v>
      </c>
      <c r="D347" t="s">
        <v>143</v>
      </c>
      <c r="E347">
        <v>93.045000000000002</v>
      </c>
      <c r="F347" t="s">
        <v>64</v>
      </c>
      <c r="G347">
        <v>111187</v>
      </c>
      <c r="H347">
        <v>111187</v>
      </c>
      <c r="I347" t="str">
        <f>IF(COUNTIF(BudgetAppropData[CFDA], MemberOrgsData[[#This Row],[CFDA]]), "Yes", "No")</f>
        <v>Yes</v>
      </c>
      <c r="J347">
        <f>(COUNTIF(D$2:D347,D347)=1)*1</f>
        <v>0</v>
      </c>
    </row>
    <row r="348" spans="1:10" x14ac:dyDescent="0.25">
      <c r="A348" t="s">
        <v>139</v>
      </c>
      <c r="B348">
        <v>2018</v>
      </c>
      <c r="C348">
        <v>248138</v>
      </c>
      <c r="D348" t="s">
        <v>143</v>
      </c>
      <c r="E348">
        <v>93.052999999999997</v>
      </c>
      <c r="F348" t="s">
        <v>28</v>
      </c>
      <c r="G348">
        <v>160655</v>
      </c>
      <c r="H348">
        <v>160655</v>
      </c>
      <c r="I348" t="str">
        <f>IF(COUNTIF(BudgetAppropData[CFDA], MemberOrgsData[[#This Row],[CFDA]]), "Yes", "No")</f>
        <v>Yes</v>
      </c>
      <c r="J348">
        <f>(COUNTIF(D$2:D348,D348)=1)*1</f>
        <v>0</v>
      </c>
    </row>
    <row r="349" spans="1:10" x14ac:dyDescent="0.25">
      <c r="A349" t="s">
        <v>139</v>
      </c>
      <c r="B349">
        <v>2018</v>
      </c>
      <c r="C349">
        <v>248138</v>
      </c>
      <c r="D349" t="s">
        <v>143</v>
      </c>
      <c r="E349">
        <v>93.569000000000003</v>
      </c>
      <c r="F349" t="s">
        <v>31</v>
      </c>
      <c r="G349">
        <v>63632</v>
      </c>
      <c r="H349">
        <v>63632</v>
      </c>
      <c r="I349" t="str">
        <f>IF(COUNTIF(BudgetAppropData[CFDA], MemberOrgsData[[#This Row],[CFDA]]), "Yes", "No")</f>
        <v>Yes</v>
      </c>
      <c r="J349">
        <f>(COUNTIF(D$2:D349,D349)=1)*1</f>
        <v>0</v>
      </c>
    </row>
    <row r="350" spans="1:10" x14ac:dyDescent="0.25">
      <c r="A350" t="s">
        <v>139</v>
      </c>
      <c r="B350">
        <v>2018</v>
      </c>
      <c r="C350">
        <v>248138</v>
      </c>
      <c r="D350" t="s">
        <v>143</v>
      </c>
      <c r="E350">
        <v>93.6</v>
      </c>
      <c r="F350" t="s">
        <v>20</v>
      </c>
      <c r="G350">
        <v>2313188</v>
      </c>
      <c r="H350">
        <v>2313188</v>
      </c>
      <c r="I350" t="str">
        <f>IF(COUNTIF(BudgetAppropData[CFDA], MemberOrgsData[[#This Row],[CFDA]]), "Yes", "No")</f>
        <v>Yes</v>
      </c>
      <c r="J350">
        <f>(COUNTIF(D$2:D350,D350)=1)*1</f>
        <v>0</v>
      </c>
    </row>
    <row r="351" spans="1:10" x14ac:dyDescent="0.25">
      <c r="A351" t="s">
        <v>139</v>
      </c>
      <c r="B351">
        <v>2018</v>
      </c>
      <c r="C351">
        <v>248138</v>
      </c>
      <c r="D351" t="s">
        <v>143</v>
      </c>
      <c r="E351">
        <v>93.667000000000002</v>
      </c>
      <c r="F351" t="s">
        <v>22</v>
      </c>
      <c r="G351">
        <v>235815</v>
      </c>
      <c r="H351">
        <v>235815</v>
      </c>
      <c r="I351" t="str">
        <f>IF(COUNTIF(BudgetAppropData[CFDA], MemberOrgsData[[#This Row],[CFDA]]), "Yes", "No")</f>
        <v>Yes</v>
      </c>
      <c r="J351">
        <f>(COUNTIF(D$2:D351,D351)=1)*1</f>
        <v>0</v>
      </c>
    </row>
    <row r="352" spans="1:10" x14ac:dyDescent="0.25">
      <c r="A352" t="s">
        <v>8</v>
      </c>
      <c r="B352">
        <v>2018</v>
      </c>
      <c r="C352">
        <v>15188</v>
      </c>
      <c r="D352" t="s">
        <v>69</v>
      </c>
      <c r="E352">
        <v>14.269</v>
      </c>
      <c r="F352" t="s">
        <v>116</v>
      </c>
      <c r="G352">
        <v>464484</v>
      </c>
      <c r="H352">
        <v>464484</v>
      </c>
      <c r="I352" t="str">
        <f>IF(COUNTIF(BudgetAppropData[CFDA], MemberOrgsData[[#This Row],[CFDA]]), "Yes", "No")</f>
        <v>No</v>
      </c>
      <c r="J352">
        <f>(COUNTIF(D$2:D352,D352)=1)*1</f>
        <v>1</v>
      </c>
    </row>
    <row r="353" spans="1:13" x14ac:dyDescent="0.25">
      <c r="A353" t="s">
        <v>8</v>
      </c>
      <c r="B353">
        <v>2018</v>
      </c>
      <c r="C353">
        <v>15188</v>
      </c>
      <c r="D353" t="s">
        <v>69</v>
      </c>
      <c r="E353">
        <v>45.024000000000001</v>
      </c>
      <c r="F353" t="s">
        <v>95</v>
      </c>
      <c r="G353">
        <v>15000</v>
      </c>
      <c r="H353">
        <v>15000</v>
      </c>
      <c r="I353" t="str">
        <f>IF(COUNTIF(BudgetAppropData[CFDA], MemberOrgsData[[#This Row],[CFDA]]), "Yes", "No")</f>
        <v>No</v>
      </c>
      <c r="J353">
        <f>(COUNTIF(D$2:D353,D353)=1)*1</f>
        <v>0</v>
      </c>
    </row>
    <row r="354" spans="1:13" x14ac:dyDescent="0.25">
      <c r="A354" t="s">
        <v>8</v>
      </c>
      <c r="B354">
        <v>2018</v>
      </c>
      <c r="C354">
        <v>15188</v>
      </c>
      <c r="D354" t="s">
        <v>69</v>
      </c>
      <c r="E354">
        <v>84.043999999999997</v>
      </c>
      <c r="F354" t="s">
        <v>109</v>
      </c>
      <c r="G354">
        <v>570294</v>
      </c>
      <c r="H354">
        <v>570294</v>
      </c>
      <c r="I354" t="str">
        <f>IF(COUNTIF(BudgetAppropData[CFDA], MemberOrgsData[[#This Row],[CFDA]]), "Yes", "No")</f>
        <v>No</v>
      </c>
      <c r="J354">
        <f>(COUNTIF(D$2:D354,D354)=1)*1</f>
        <v>0</v>
      </c>
    </row>
    <row r="355" spans="1:13" x14ac:dyDescent="0.25">
      <c r="A355" t="s">
        <v>8</v>
      </c>
      <c r="B355">
        <v>2018</v>
      </c>
      <c r="C355">
        <v>15188</v>
      </c>
      <c r="D355" t="s">
        <v>69</v>
      </c>
      <c r="E355">
        <v>94.019000000000005</v>
      </c>
      <c r="F355" t="s">
        <v>51</v>
      </c>
      <c r="G355">
        <v>24672</v>
      </c>
      <c r="H355">
        <v>24672</v>
      </c>
      <c r="I355" t="str">
        <f>IF(COUNTIF(BudgetAppropData[CFDA], MemberOrgsData[[#This Row],[CFDA]]), "Yes", "No")</f>
        <v>No</v>
      </c>
      <c r="J355">
        <f>(COUNTIF(D$2:D355,D355)=1)*1</f>
        <v>0</v>
      </c>
    </row>
    <row r="356" spans="1:13" x14ac:dyDescent="0.25">
      <c r="A356" t="s">
        <v>8</v>
      </c>
      <c r="B356">
        <v>2018</v>
      </c>
      <c r="C356">
        <v>15188</v>
      </c>
      <c r="D356" t="s">
        <v>69</v>
      </c>
      <c r="E356">
        <v>10.558</v>
      </c>
      <c r="F356" t="s">
        <v>24</v>
      </c>
      <c r="G356">
        <v>813939</v>
      </c>
      <c r="H356">
        <v>813939</v>
      </c>
      <c r="I356" t="str">
        <f>IF(COUNTIF(BudgetAppropData[CFDA], MemberOrgsData[[#This Row],[CFDA]]), "Yes", "No")</f>
        <v>Yes</v>
      </c>
      <c r="J356">
        <f>(COUNTIF(D$2:D356,D356)=1)*1</f>
        <v>0</v>
      </c>
    </row>
    <row r="357" spans="1:13" x14ac:dyDescent="0.25">
      <c r="A357" t="s">
        <v>8</v>
      </c>
      <c r="B357">
        <v>2018</v>
      </c>
      <c r="C357">
        <v>15188</v>
      </c>
      <c r="D357" t="s">
        <v>69</v>
      </c>
      <c r="E357">
        <v>14.228</v>
      </c>
      <c r="F357" t="s">
        <v>267</v>
      </c>
      <c r="G357">
        <v>256789</v>
      </c>
      <c r="H357">
        <v>256789</v>
      </c>
      <c r="I357" t="str">
        <f>IF(COUNTIF(BudgetAppropData[CFDA], MemberOrgsData[[#This Row],[CFDA]]), "Yes", "No")</f>
        <v>Yes</v>
      </c>
      <c r="J357">
        <f>(COUNTIF(D$2:D357,D357)=1)*1</f>
        <v>0</v>
      </c>
      <c r="M357" t="s">
        <v>268</v>
      </c>
    </row>
    <row r="358" spans="1:13" x14ac:dyDescent="0.25">
      <c r="A358" t="s">
        <v>8</v>
      </c>
      <c r="B358">
        <v>2018</v>
      </c>
      <c r="C358">
        <v>15188</v>
      </c>
      <c r="D358" t="s">
        <v>69</v>
      </c>
      <c r="E358">
        <v>84.001999999999995</v>
      </c>
      <c r="F358" t="s">
        <v>40</v>
      </c>
      <c r="G358">
        <v>549687</v>
      </c>
      <c r="H358">
        <v>549687</v>
      </c>
      <c r="I358" t="str">
        <f>IF(COUNTIF(BudgetAppropData[CFDA], MemberOrgsData[[#This Row],[CFDA]]), "Yes", "No")</f>
        <v>Yes</v>
      </c>
      <c r="J358">
        <f>(COUNTIF(D$2:D358,D358)=1)*1</f>
        <v>0</v>
      </c>
    </row>
    <row r="359" spans="1:13" x14ac:dyDescent="0.25">
      <c r="A359" t="s">
        <v>8</v>
      </c>
      <c r="B359">
        <v>2018</v>
      </c>
      <c r="C359">
        <v>15188</v>
      </c>
      <c r="D359" t="s">
        <v>69</v>
      </c>
      <c r="E359">
        <v>93.045000000000002</v>
      </c>
      <c r="F359" t="s">
        <v>64</v>
      </c>
      <c r="G359">
        <v>38752</v>
      </c>
      <c r="H359">
        <v>38752</v>
      </c>
      <c r="I359" t="str">
        <f>IF(COUNTIF(BudgetAppropData[CFDA], MemberOrgsData[[#This Row],[CFDA]]), "Yes", "No")</f>
        <v>Yes</v>
      </c>
      <c r="J359">
        <f>(COUNTIF(D$2:D359,D359)=1)*1</f>
        <v>0</v>
      </c>
    </row>
    <row r="360" spans="1:13" x14ac:dyDescent="0.25">
      <c r="A360" t="s">
        <v>8</v>
      </c>
      <c r="B360">
        <v>2018</v>
      </c>
      <c r="C360">
        <v>15188</v>
      </c>
      <c r="D360" t="s">
        <v>69</v>
      </c>
      <c r="E360">
        <v>93.052999999999997</v>
      </c>
      <c r="F360" t="s">
        <v>28</v>
      </c>
      <c r="G360">
        <v>27481</v>
      </c>
      <c r="H360">
        <v>27481</v>
      </c>
      <c r="I360" t="str">
        <f>IF(COUNTIF(BudgetAppropData[CFDA], MemberOrgsData[[#This Row],[CFDA]]), "Yes", "No")</f>
        <v>Yes</v>
      </c>
      <c r="J360">
        <f>(COUNTIF(D$2:D360,D360)=1)*1</f>
        <v>0</v>
      </c>
    </row>
    <row r="361" spans="1:13" x14ac:dyDescent="0.25">
      <c r="A361" t="s">
        <v>8</v>
      </c>
      <c r="B361">
        <v>2018</v>
      </c>
      <c r="C361">
        <v>15188</v>
      </c>
      <c r="D361" t="s">
        <v>69</v>
      </c>
      <c r="E361">
        <v>93.558000000000007</v>
      </c>
      <c r="F361" t="s">
        <v>30</v>
      </c>
      <c r="G361">
        <v>64769</v>
      </c>
      <c r="H361">
        <v>64769</v>
      </c>
      <c r="I361" t="str">
        <f>IF(COUNTIF(BudgetAppropData[CFDA], MemberOrgsData[[#This Row],[CFDA]]), "Yes", "No")</f>
        <v>Yes</v>
      </c>
      <c r="J361">
        <f>(COUNTIF(D$2:D361,D361)=1)*1</f>
        <v>0</v>
      </c>
    </row>
    <row r="362" spans="1:13" x14ac:dyDescent="0.25">
      <c r="A362" t="s">
        <v>8</v>
      </c>
      <c r="B362">
        <v>2018</v>
      </c>
      <c r="C362">
        <v>15188</v>
      </c>
      <c r="D362" t="s">
        <v>69</v>
      </c>
      <c r="E362">
        <v>93.569000000000003</v>
      </c>
      <c r="F362" t="s">
        <v>31</v>
      </c>
      <c r="G362">
        <v>130300</v>
      </c>
      <c r="H362">
        <v>130300</v>
      </c>
      <c r="I362" t="str">
        <f>IF(COUNTIF(BudgetAppropData[CFDA], MemberOrgsData[[#This Row],[CFDA]]), "Yes", "No")</f>
        <v>Yes</v>
      </c>
      <c r="J362">
        <f>(COUNTIF(D$2:D362,D362)=1)*1</f>
        <v>0</v>
      </c>
    </row>
    <row r="363" spans="1:13" x14ac:dyDescent="0.25">
      <c r="A363" t="s">
        <v>8</v>
      </c>
      <c r="B363">
        <v>2018</v>
      </c>
      <c r="C363">
        <v>15188</v>
      </c>
      <c r="D363" t="s">
        <v>69</v>
      </c>
      <c r="E363">
        <v>93.6</v>
      </c>
      <c r="F363" t="s">
        <v>20</v>
      </c>
      <c r="G363">
        <v>3411802</v>
      </c>
      <c r="H363">
        <v>5043590</v>
      </c>
      <c r="I363" t="str">
        <f>IF(COUNTIF(BudgetAppropData[CFDA], MemberOrgsData[[#This Row],[CFDA]]), "Yes", "No")</f>
        <v>Yes</v>
      </c>
      <c r="J363">
        <f>(COUNTIF(D$2:D363,D363)=1)*1</f>
        <v>0</v>
      </c>
    </row>
    <row r="364" spans="1:13" x14ac:dyDescent="0.25">
      <c r="A364" t="s">
        <v>8</v>
      </c>
      <c r="B364">
        <v>2018</v>
      </c>
      <c r="C364">
        <v>15188</v>
      </c>
      <c r="D364" t="s">
        <v>69</v>
      </c>
      <c r="E364">
        <v>93.6</v>
      </c>
      <c r="F364" t="s">
        <v>20</v>
      </c>
      <c r="G364">
        <v>1631788</v>
      </c>
      <c r="H364">
        <v>5043590</v>
      </c>
      <c r="I364" t="str">
        <f>IF(COUNTIF(BudgetAppropData[CFDA], MemberOrgsData[[#This Row],[CFDA]]), "Yes", "No")</f>
        <v>Yes</v>
      </c>
      <c r="J364">
        <f>(COUNTIF(D$2:D364,D364)=1)*1</f>
        <v>0</v>
      </c>
    </row>
    <row r="365" spans="1:13" x14ac:dyDescent="0.25">
      <c r="A365" t="s">
        <v>8</v>
      </c>
      <c r="B365">
        <v>2018</v>
      </c>
      <c r="C365">
        <v>15188</v>
      </c>
      <c r="D365" t="s">
        <v>69</v>
      </c>
      <c r="E365">
        <v>93.667000000000002</v>
      </c>
      <c r="F365" t="s">
        <v>22</v>
      </c>
      <c r="G365">
        <v>64519</v>
      </c>
      <c r="H365">
        <v>64519</v>
      </c>
      <c r="I365" t="str">
        <f>IF(COUNTIF(BudgetAppropData[CFDA], MemberOrgsData[[#This Row],[CFDA]]), "Yes", "No")</f>
        <v>Yes</v>
      </c>
      <c r="J365">
        <f>(COUNTIF(D$2:D365,D365)=1)*1</f>
        <v>0</v>
      </c>
    </row>
    <row r="366" spans="1:13" x14ac:dyDescent="0.25">
      <c r="A366" t="s">
        <v>8</v>
      </c>
      <c r="B366">
        <v>2018</v>
      </c>
      <c r="C366">
        <v>15188</v>
      </c>
      <c r="D366" t="s">
        <v>69</v>
      </c>
      <c r="E366">
        <v>97.024000000000001</v>
      </c>
      <c r="F366" t="s">
        <v>52</v>
      </c>
      <c r="G366">
        <v>29394</v>
      </c>
      <c r="H366">
        <v>29394</v>
      </c>
      <c r="I366" t="str">
        <f>IF(COUNTIF(BudgetAppropData[CFDA], MemberOrgsData[[#This Row],[CFDA]]), "Yes", "No")</f>
        <v>Yes</v>
      </c>
      <c r="J366">
        <f>(COUNTIF(D$2:D366,D366)=1)*1</f>
        <v>0</v>
      </c>
    </row>
    <row r="367" spans="1:13" x14ac:dyDescent="0.25">
      <c r="A367" t="s">
        <v>139</v>
      </c>
      <c r="B367">
        <v>2018</v>
      </c>
      <c r="C367">
        <v>15312</v>
      </c>
      <c r="D367" t="s">
        <v>87</v>
      </c>
      <c r="E367">
        <v>93.938999999999993</v>
      </c>
      <c r="F367" t="s">
        <v>123</v>
      </c>
      <c r="G367">
        <v>333781</v>
      </c>
      <c r="H367">
        <v>333781</v>
      </c>
      <c r="I367" t="str">
        <f>IF(COUNTIF(BudgetAppropData[CFDA], MemberOrgsData[[#This Row],[CFDA]]), "Yes", "No")</f>
        <v>No</v>
      </c>
      <c r="J367">
        <f>(COUNTIF(D$2:D367,D367)=1)*1</f>
        <v>1</v>
      </c>
    </row>
    <row r="368" spans="1:13" x14ac:dyDescent="0.25">
      <c r="A368" t="s">
        <v>139</v>
      </c>
      <c r="B368">
        <v>2018</v>
      </c>
      <c r="C368">
        <v>15312</v>
      </c>
      <c r="D368" t="s">
        <v>87</v>
      </c>
      <c r="E368">
        <v>93.558000000000007</v>
      </c>
      <c r="F368" t="s">
        <v>30</v>
      </c>
      <c r="G368">
        <v>663443</v>
      </c>
      <c r="H368">
        <v>663443</v>
      </c>
      <c r="I368" t="str">
        <f>IF(COUNTIF(BudgetAppropData[CFDA], MemberOrgsData[[#This Row],[CFDA]]), "Yes", "No")</f>
        <v>Yes</v>
      </c>
      <c r="J368">
        <f>(COUNTIF(D$2:D368,D368)=1)*1</f>
        <v>0</v>
      </c>
    </row>
    <row r="369" spans="1:10" x14ac:dyDescent="0.25">
      <c r="A369" t="s">
        <v>139</v>
      </c>
      <c r="B369">
        <v>2018</v>
      </c>
      <c r="C369">
        <v>15312</v>
      </c>
      <c r="D369" t="s">
        <v>87</v>
      </c>
      <c r="E369">
        <v>97.024000000000001</v>
      </c>
      <c r="F369" t="s">
        <v>52</v>
      </c>
      <c r="G369">
        <v>22702</v>
      </c>
      <c r="H369">
        <v>22702</v>
      </c>
      <c r="I369" t="str">
        <f>IF(COUNTIF(BudgetAppropData[CFDA], MemberOrgsData[[#This Row],[CFDA]]), "Yes", "No")</f>
        <v>Yes</v>
      </c>
      <c r="J369">
        <f>(COUNTIF(D$2:D369,D369)=1)*1</f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0AA73-F6D7-47BD-BB76-A11B95D1C81E}">
  <dimension ref="B2:E58"/>
  <sheetViews>
    <sheetView workbookViewId="0">
      <selection activeCell="R57" sqref="R57"/>
    </sheetView>
  </sheetViews>
  <sheetFormatPr defaultRowHeight="15" x14ac:dyDescent="0.25"/>
  <cols>
    <col min="4" max="4" width="16.85546875" bestFit="1" customWidth="1"/>
    <col min="5" max="5" width="13.5703125" bestFit="1" customWidth="1"/>
  </cols>
  <sheetData>
    <row r="2" spans="2:5" x14ac:dyDescent="0.25">
      <c r="B2" s="6" t="s">
        <v>4</v>
      </c>
      <c r="C2" s="6" t="s">
        <v>226</v>
      </c>
      <c r="D2" s="6" t="s">
        <v>276</v>
      </c>
      <c r="E2" s="6" t="s">
        <v>277</v>
      </c>
    </row>
    <row r="3" spans="2:5" x14ac:dyDescent="0.25">
      <c r="B3" s="60">
        <v>93.659000000000006</v>
      </c>
      <c r="C3" s="61" t="s">
        <v>218</v>
      </c>
      <c r="D3" s="25">
        <v>92303969</v>
      </c>
    </row>
    <row r="4" spans="2:5" x14ac:dyDescent="0.25">
      <c r="B4" s="60">
        <v>93.957999999999998</v>
      </c>
      <c r="C4" s="61" t="s">
        <v>199</v>
      </c>
      <c r="D4" s="25">
        <v>18163436</v>
      </c>
    </row>
    <row r="5" spans="2:5" x14ac:dyDescent="0.25">
      <c r="B5" s="60">
        <v>93.959000000000003</v>
      </c>
      <c r="C5" s="61" t="s">
        <v>200</v>
      </c>
      <c r="D5" s="25">
        <v>30598933</v>
      </c>
    </row>
    <row r="6" spans="2:5" x14ac:dyDescent="0.25">
      <c r="B6" s="60">
        <v>84.048000000000002</v>
      </c>
      <c r="C6" s="61" t="s">
        <v>194</v>
      </c>
      <c r="D6" s="25">
        <v>13115610</v>
      </c>
    </row>
    <row r="7" spans="2:5" x14ac:dyDescent="0.25">
      <c r="B7" s="60">
        <v>93.575000000000003</v>
      </c>
      <c r="C7" s="61" t="s">
        <v>198</v>
      </c>
      <c r="D7" s="25">
        <v>481577439</v>
      </c>
    </row>
    <row r="8" spans="2:5" x14ac:dyDescent="0.25">
      <c r="B8" s="60">
        <v>93.563000000000002</v>
      </c>
      <c r="C8" s="61" t="s">
        <v>188</v>
      </c>
      <c r="D8" s="25">
        <v>58085706</v>
      </c>
    </row>
    <row r="9" spans="2:5" x14ac:dyDescent="0.25">
      <c r="B9" s="60">
        <v>14.218</v>
      </c>
      <c r="C9" s="61" t="s">
        <v>278</v>
      </c>
      <c r="D9" s="25">
        <v>125870794</v>
      </c>
    </row>
    <row r="10" spans="2:5" x14ac:dyDescent="0.25">
      <c r="B10" s="60">
        <v>14.228</v>
      </c>
      <c r="C10" s="61" t="s">
        <v>159</v>
      </c>
      <c r="D10" s="25">
        <v>2739137</v>
      </c>
    </row>
    <row r="11" spans="2:5" x14ac:dyDescent="0.25">
      <c r="B11" s="60">
        <v>93.569000000000003</v>
      </c>
      <c r="C11" s="61" t="s">
        <v>165</v>
      </c>
      <c r="D11" s="25">
        <v>32670715</v>
      </c>
    </row>
    <row r="12" spans="2:5" x14ac:dyDescent="0.25">
      <c r="B12" s="60">
        <v>93.57</v>
      </c>
      <c r="C12" s="61" t="s">
        <v>170</v>
      </c>
      <c r="D12" s="25">
        <v>10030380</v>
      </c>
    </row>
    <row r="13" spans="2:5" x14ac:dyDescent="0.25">
      <c r="B13" s="60">
        <v>16.738</v>
      </c>
      <c r="C13" s="61" t="s">
        <v>179</v>
      </c>
      <c r="D13" s="25">
        <v>3137291</v>
      </c>
    </row>
    <row r="14" spans="2:5" x14ac:dyDescent="0.25">
      <c r="B14" s="60">
        <v>97.024000000000001</v>
      </c>
      <c r="C14" s="61" t="s">
        <v>167</v>
      </c>
      <c r="D14" s="25">
        <v>104580</v>
      </c>
    </row>
    <row r="15" spans="2:5" x14ac:dyDescent="0.25">
      <c r="B15" s="60">
        <v>97.042000000000002</v>
      </c>
      <c r="C15" s="61" t="s">
        <v>175</v>
      </c>
      <c r="D15" s="25">
        <v>3037181</v>
      </c>
    </row>
    <row r="16" spans="2:5" x14ac:dyDescent="0.25">
      <c r="B16" s="60">
        <v>93.126999999999995</v>
      </c>
      <c r="C16" s="61" t="s">
        <v>169</v>
      </c>
      <c r="D16" s="25">
        <v>6513</v>
      </c>
    </row>
    <row r="17" spans="2:4" x14ac:dyDescent="0.25">
      <c r="B17" s="60">
        <v>14.231</v>
      </c>
      <c r="C17" s="61" t="s">
        <v>187</v>
      </c>
      <c r="D17" s="25">
        <v>14874878</v>
      </c>
    </row>
    <row r="18" spans="2:4" x14ac:dyDescent="0.25">
      <c r="B18" s="60">
        <v>84.364999999999995</v>
      </c>
      <c r="C18" s="61" t="s">
        <v>195</v>
      </c>
      <c r="D18" s="25">
        <v>36580718</v>
      </c>
    </row>
    <row r="19" spans="2:4" x14ac:dyDescent="0.25">
      <c r="B19" s="60">
        <v>93.658000000000001</v>
      </c>
      <c r="C19" s="61" t="s">
        <v>217</v>
      </c>
      <c r="D19" s="25">
        <v>265910784</v>
      </c>
    </row>
    <row r="20" spans="2:4" x14ac:dyDescent="0.25">
      <c r="B20" s="60">
        <v>93.6</v>
      </c>
      <c r="C20" s="61" t="s">
        <v>19</v>
      </c>
      <c r="D20" s="25">
        <v>118052109</v>
      </c>
    </row>
    <row r="21" spans="2:4" x14ac:dyDescent="0.25">
      <c r="B21" s="60">
        <v>93.926000000000002</v>
      </c>
      <c r="C21" s="61" t="s">
        <v>209</v>
      </c>
      <c r="D21" s="25">
        <v>684299</v>
      </c>
    </row>
    <row r="22" spans="2:4" x14ac:dyDescent="0.25">
      <c r="B22" s="60">
        <v>20.204999999999998</v>
      </c>
      <c r="C22" s="61" t="s">
        <v>213</v>
      </c>
      <c r="D22" s="25">
        <v>72163649</v>
      </c>
    </row>
    <row r="23" spans="2:4" x14ac:dyDescent="0.25">
      <c r="B23" s="60">
        <v>93.914000000000001</v>
      </c>
      <c r="C23" s="61" t="s">
        <v>207</v>
      </c>
      <c r="D23" s="25">
        <v>96418108</v>
      </c>
    </row>
    <row r="24" spans="2:4" x14ac:dyDescent="0.25">
      <c r="B24" s="60">
        <v>93.94</v>
      </c>
      <c r="C24" s="61" t="s">
        <v>279</v>
      </c>
      <c r="D24" s="25">
        <v>42522354</v>
      </c>
    </row>
    <row r="25" spans="2:4" x14ac:dyDescent="0.25">
      <c r="B25" s="60">
        <v>14.239000000000001</v>
      </c>
      <c r="C25" s="61" t="s">
        <v>160</v>
      </c>
      <c r="D25" s="25">
        <v>5326221</v>
      </c>
    </row>
    <row r="26" spans="2:4" x14ac:dyDescent="0.25">
      <c r="B26" s="60">
        <v>97.066999999999993</v>
      </c>
      <c r="C26" s="61" t="s">
        <v>174</v>
      </c>
      <c r="D26" s="25">
        <v>149910542</v>
      </c>
    </row>
    <row r="27" spans="2:4" x14ac:dyDescent="0.25">
      <c r="B27" s="60">
        <v>93.073999999999998</v>
      </c>
      <c r="C27" s="61" t="s">
        <v>182</v>
      </c>
      <c r="D27" s="25">
        <v>14892942</v>
      </c>
    </row>
    <row r="28" spans="2:4" x14ac:dyDescent="0.25">
      <c r="B28" s="60">
        <v>14.241</v>
      </c>
      <c r="C28" s="61" t="s">
        <v>177</v>
      </c>
      <c r="D28" s="25">
        <v>49923543</v>
      </c>
    </row>
    <row r="29" spans="2:4" x14ac:dyDescent="0.25">
      <c r="B29" s="60">
        <v>93.268000000000001</v>
      </c>
      <c r="C29" s="61" t="s">
        <v>222</v>
      </c>
      <c r="D29" s="25">
        <v>3905270</v>
      </c>
    </row>
    <row r="30" spans="2:4" x14ac:dyDescent="0.25">
      <c r="B30" s="60">
        <v>84.040999999999997</v>
      </c>
      <c r="C30" s="61" t="s">
        <v>180</v>
      </c>
      <c r="D30" s="25">
        <v>9495625</v>
      </c>
    </row>
    <row r="31" spans="2:4" x14ac:dyDescent="0.25">
      <c r="B31" s="60">
        <v>93.135999999999996</v>
      </c>
      <c r="C31" s="61" t="s">
        <v>202</v>
      </c>
      <c r="D31" s="25">
        <v>183522</v>
      </c>
    </row>
    <row r="32" spans="2:4" x14ac:dyDescent="0.25">
      <c r="B32" s="60">
        <v>14.856</v>
      </c>
      <c r="C32" s="61" t="s">
        <v>212</v>
      </c>
      <c r="D32" s="25">
        <v>6749230</v>
      </c>
    </row>
    <row r="33" spans="2:4" x14ac:dyDescent="0.25">
      <c r="B33" s="60">
        <v>93.567999999999998</v>
      </c>
      <c r="C33" s="61" t="s">
        <v>164</v>
      </c>
      <c r="D33" s="25">
        <v>41883835</v>
      </c>
    </row>
    <row r="34" spans="2:4" x14ac:dyDescent="0.25">
      <c r="B34" s="60">
        <v>93.994</v>
      </c>
      <c r="C34" s="61" t="s">
        <v>183</v>
      </c>
      <c r="D34" s="25">
        <v>3166107</v>
      </c>
    </row>
    <row r="35" spans="2:4" x14ac:dyDescent="0.25">
      <c r="B35" s="60">
        <v>93.778000000000006</v>
      </c>
      <c r="C35" s="61" t="s">
        <v>214</v>
      </c>
      <c r="D35" s="25">
        <v>320319006</v>
      </c>
    </row>
    <row r="36" spans="2:4" x14ac:dyDescent="0.25">
      <c r="B36" s="60">
        <v>93.052000000000007</v>
      </c>
      <c r="C36" s="61" t="s">
        <v>176</v>
      </c>
      <c r="D36" s="25">
        <v>3567817</v>
      </c>
    </row>
    <row r="37" spans="2:4" x14ac:dyDescent="0.25">
      <c r="B37" s="60">
        <v>93.052999999999997</v>
      </c>
      <c r="C37" s="61" t="s">
        <v>189</v>
      </c>
      <c r="D37" s="25">
        <v>11495056</v>
      </c>
    </row>
    <row r="38" spans="2:4" x14ac:dyDescent="0.25">
      <c r="B38" s="60">
        <v>93.116</v>
      </c>
      <c r="C38" s="61" t="s">
        <v>181</v>
      </c>
      <c r="D38" s="25">
        <v>4189869</v>
      </c>
    </row>
    <row r="39" spans="2:4" x14ac:dyDescent="0.25">
      <c r="B39" s="60">
        <v>93.15</v>
      </c>
      <c r="C39" s="61" t="s">
        <v>203</v>
      </c>
      <c r="D39" s="25">
        <v>2627352</v>
      </c>
    </row>
    <row r="40" spans="2:4" x14ac:dyDescent="0.25">
      <c r="B40" s="60">
        <v>93.555999999999997</v>
      </c>
      <c r="C40" s="61" t="s">
        <v>220</v>
      </c>
      <c r="D40" s="25">
        <v>16500000</v>
      </c>
    </row>
    <row r="41" spans="2:4" x14ac:dyDescent="0.25">
      <c r="B41" s="60">
        <v>14.871</v>
      </c>
      <c r="C41" s="61" t="s">
        <v>186</v>
      </c>
      <c r="D41" s="25">
        <v>465676891</v>
      </c>
    </row>
    <row r="42" spans="2:4" x14ac:dyDescent="0.25">
      <c r="B42" s="60">
        <v>93.977000000000004</v>
      </c>
      <c r="C42" s="61" t="s">
        <v>210</v>
      </c>
      <c r="D42" s="25">
        <v>5494027</v>
      </c>
    </row>
    <row r="43" spans="2:4" x14ac:dyDescent="0.25">
      <c r="B43" s="60">
        <v>93.667000000000002</v>
      </c>
      <c r="C43" s="61" t="s">
        <v>166</v>
      </c>
      <c r="D43" s="25">
        <v>205216596</v>
      </c>
    </row>
    <row r="44" spans="2:4" x14ac:dyDescent="0.25">
      <c r="B44" s="60">
        <v>84.027000000000001</v>
      </c>
      <c r="C44" s="61" t="s">
        <v>193</v>
      </c>
      <c r="D44" s="25">
        <v>290584801</v>
      </c>
    </row>
    <row r="45" spans="2:4" x14ac:dyDescent="0.25">
      <c r="B45" s="60">
        <v>93.043999999999997</v>
      </c>
      <c r="C45" s="61" t="s">
        <v>184</v>
      </c>
      <c r="D45" s="25">
        <v>9924437</v>
      </c>
    </row>
    <row r="46" spans="2:4" x14ac:dyDescent="0.25">
      <c r="B46" s="60">
        <v>93.045000000000002</v>
      </c>
      <c r="C46" s="61" t="s">
        <v>185</v>
      </c>
      <c r="D46" s="25">
        <v>18955836</v>
      </c>
    </row>
    <row r="47" spans="2:4" x14ac:dyDescent="0.25">
      <c r="B47" s="60">
        <v>93.043000000000006</v>
      </c>
      <c r="C47" s="61" t="s">
        <v>201</v>
      </c>
      <c r="D47" s="25">
        <v>1325529</v>
      </c>
    </row>
    <row r="48" spans="2:4" x14ac:dyDescent="0.25">
      <c r="B48" s="60">
        <v>10.561</v>
      </c>
      <c r="C48" s="61" t="s">
        <v>280</v>
      </c>
      <c r="D48" s="25">
        <v>195927683</v>
      </c>
    </row>
    <row r="49" spans="2:4" x14ac:dyDescent="0.25">
      <c r="B49" s="60">
        <v>93.242999999999995</v>
      </c>
      <c r="C49" s="61" t="s">
        <v>223</v>
      </c>
      <c r="D49" s="25">
        <v>111746</v>
      </c>
    </row>
    <row r="50" spans="2:4" x14ac:dyDescent="0.25">
      <c r="B50" s="60">
        <v>84.367000000000004</v>
      </c>
      <c r="C50" s="61" t="s">
        <v>163</v>
      </c>
      <c r="D50" s="25">
        <v>77564074</v>
      </c>
    </row>
    <row r="51" spans="2:4" x14ac:dyDescent="0.25">
      <c r="B51" s="60">
        <v>84.373999999999995</v>
      </c>
      <c r="C51" s="61" t="s">
        <v>196</v>
      </c>
      <c r="D51" s="25">
        <v>3710771</v>
      </c>
    </row>
    <row r="52" spans="2:4" x14ac:dyDescent="0.25">
      <c r="B52" s="60">
        <v>93.558000000000007</v>
      </c>
      <c r="C52" s="61" t="s">
        <v>178</v>
      </c>
      <c r="D52" s="25">
        <v>1760389105</v>
      </c>
    </row>
    <row r="53" spans="2:4" x14ac:dyDescent="0.25">
      <c r="B53" s="60">
        <v>93.521000000000001</v>
      </c>
      <c r="C53" s="61" t="s">
        <v>281</v>
      </c>
      <c r="D53" s="25">
        <v>1818967</v>
      </c>
    </row>
    <row r="54" spans="2:4" x14ac:dyDescent="0.25">
      <c r="B54" s="60">
        <v>84.287000000000006</v>
      </c>
      <c r="C54" s="61" t="s">
        <v>162</v>
      </c>
      <c r="D54" s="25">
        <v>26018273</v>
      </c>
    </row>
    <row r="55" spans="2:4" x14ac:dyDescent="0.25">
      <c r="B55" s="60">
        <v>16.588000000000001</v>
      </c>
      <c r="C55" s="61" t="s">
        <v>190</v>
      </c>
      <c r="D55" s="25">
        <v>670604</v>
      </c>
    </row>
    <row r="56" spans="2:4" x14ac:dyDescent="0.25">
      <c r="B56" s="60">
        <v>17.257999999999999</v>
      </c>
      <c r="C56" s="61" t="s">
        <v>191</v>
      </c>
      <c r="D56" s="25">
        <v>23401560</v>
      </c>
    </row>
    <row r="57" spans="2:4" x14ac:dyDescent="0.25">
      <c r="B57" s="60">
        <v>17.277999999999999</v>
      </c>
      <c r="C57" s="61" t="s">
        <v>192</v>
      </c>
      <c r="D57" s="25">
        <v>9355570</v>
      </c>
    </row>
    <row r="58" spans="2:4" x14ac:dyDescent="0.25">
      <c r="B58" s="60">
        <v>17.259</v>
      </c>
      <c r="C58" s="61" t="s">
        <v>26</v>
      </c>
      <c r="D58" s="25">
        <v>26145170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A9AAD-461F-4307-8345-B8EFF3260F37}">
  <sheetPr codeName="Sheet4"/>
  <dimension ref="A1:K66"/>
  <sheetViews>
    <sheetView workbookViewId="0">
      <selection activeCell="S7" sqref="S7"/>
    </sheetView>
  </sheetViews>
  <sheetFormatPr defaultRowHeight="12" x14ac:dyDescent="0.2"/>
  <cols>
    <col min="1" max="3" width="9.140625" style="7"/>
    <col min="4" max="4" width="22.5703125" style="7" bestFit="1" customWidth="1"/>
    <col min="5" max="5" width="87.140625" style="7" customWidth="1"/>
    <col min="6" max="7" width="17.85546875" style="7" bestFit="1" customWidth="1"/>
    <col min="8" max="8" width="35.5703125" style="7" bestFit="1" customWidth="1"/>
    <col min="9" max="9" width="17.85546875" style="7" bestFit="1" customWidth="1"/>
    <col min="10" max="10" width="17.85546875" style="7" customWidth="1"/>
    <col min="11" max="11" width="17" style="7" bestFit="1" customWidth="1"/>
    <col min="12" max="16384" width="9.140625" style="7"/>
  </cols>
  <sheetData>
    <row r="1" spans="1:11" x14ac:dyDescent="0.2">
      <c r="A1" s="5" t="s">
        <v>4</v>
      </c>
      <c r="B1" s="5" t="s">
        <v>251</v>
      </c>
      <c r="C1" s="7" t="s">
        <v>153</v>
      </c>
      <c r="D1" s="7" t="s">
        <v>154</v>
      </c>
      <c r="E1" s="7" t="s">
        <v>155</v>
      </c>
      <c r="F1" s="8" t="s">
        <v>156</v>
      </c>
      <c r="G1" s="8" t="s">
        <v>228</v>
      </c>
      <c r="H1" s="8" t="s">
        <v>239</v>
      </c>
      <c r="I1" s="8" t="s">
        <v>229</v>
      </c>
      <c r="J1" s="8" t="s">
        <v>257</v>
      </c>
      <c r="K1" s="8" t="s">
        <v>157</v>
      </c>
    </row>
    <row r="2" spans="1:11" x14ac:dyDescent="0.2">
      <c r="A2" s="12">
        <v>93.242999999999995</v>
      </c>
      <c r="B2" s="9">
        <v>2020</v>
      </c>
      <c r="C2" s="7" t="s">
        <v>10</v>
      </c>
      <c r="D2" s="7" t="s">
        <v>168</v>
      </c>
      <c r="E2" s="7" t="s">
        <v>223</v>
      </c>
      <c r="F2" s="11">
        <v>71001</v>
      </c>
      <c r="G2" s="11">
        <v>81001</v>
      </c>
      <c r="H2" s="10">
        <f>(BudgetAppropData[[#This Row],[President $ Change]]-BudgetAppropData[[#This Row],[FY 2019]])/BudgetAppropData[[#This Row],[FY 2019]]</f>
        <v>0.14084308671708848</v>
      </c>
      <c r="I2" s="11">
        <v>84001</v>
      </c>
      <c r="J2" s="10">
        <f>IFERROR((BudgetAppropData[[#This Row],[House $ Change]]-BudgetAppropData[[#This Row],[FY 2019]])/BudgetAppropData[[#This Row],[FY 2019]], "")</f>
        <v>0.18309601273221504</v>
      </c>
      <c r="K2" s="8"/>
    </row>
    <row r="3" spans="1:11" x14ac:dyDescent="0.2">
      <c r="A3" s="12">
        <v>93.268000000000001</v>
      </c>
      <c r="B3" s="9">
        <v>2020</v>
      </c>
      <c r="C3" s="7" t="s">
        <v>10</v>
      </c>
      <c r="D3" s="7" t="s">
        <v>158</v>
      </c>
      <c r="E3" s="7" t="s">
        <v>222</v>
      </c>
      <c r="F3" s="7">
        <v>4176</v>
      </c>
      <c r="G3" s="7">
        <v>4761</v>
      </c>
      <c r="H3" s="10">
        <f>(BudgetAppropData[[#This Row],[President $ Change]]-BudgetAppropData[[#This Row],[FY 2019]])/BudgetAppropData[[#This Row],[FY 2019]]</f>
        <v>0.14008620689655171</v>
      </c>
      <c r="I3" s="7">
        <v>4761</v>
      </c>
      <c r="J3" s="10">
        <f>IFERROR((BudgetAppropData[[#This Row],[House $ Change]]-BudgetAppropData[[#This Row],[FY 2019]])/BudgetAppropData[[#This Row],[FY 2019]], "")</f>
        <v>0.14008620689655171</v>
      </c>
      <c r="K3" s="8"/>
    </row>
    <row r="4" spans="1:11" x14ac:dyDescent="0.2">
      <c r="A4" s="12">
        <v>93.623000000000005</v>
      </c>
      <c r="B4" s="9">
        <v>2020</v>
      </c>
      <c r="C4" s="7" t="s">
        <v>10</v>
      </c>
      <c r="D4" s="7" t="s">
        <v>168</v>
      </c>
      <c r="E4" s="7" t="s">
        <v>221</v>
      </c>
      <c r="F4" s="11">
        <v>110280</v>
      </c>
      <c r="G4" s="11">
        <v>119121</v>
      </c>
      <c r="H4" s="10">
        <f>(BudgetAppropData[[#This Row],[President $ Change]]-BudgetAppropData[[#This Row],[FY 2019]])/BudgetAppropData[[#This Row],[FY 2019]]</f>
        <v>8.0168661588683354E-2</v>
      </c>
      <c r="I4" s="11">
        <v>125280</v>
      </c>
      <c r="J4" s="10">
        <f>IFERROR((BudgetAppropData[[#This Row],[House $ Change]]-BudgetAppropData[[#This Row],[FY 2019]])/BudgetAppropData[[#This Row],[FY 2019]], "")</f>
        <v>0.13601741022850924</v>
      </c>
      <c r="K4" s="8"/>
    </row>
    <row r="5" spans="1:11" x14ac:dyDescent="0.2">
      <c r="A5" s="12">
        <v>93.555999999999997</v>
      </c>
      <c r="B5" s="9">
        <v>2020</v>
      </c>
      <c r="C5" s="7" t="s">
        <v>13</v>
      </c>
      <c r="D5" s="7" t="s">
        <v>158</v>
      </c>
      <c r="E5" s="7" t="s">
        <v>220</v>
      </c>
      <c r="F5" s="7">
        <v>423</v>
      </c>
      <c r="G5" s="7">
        <v>454</v>
      </c>
      <c r="H5" s="13">
        <f>(BudgetAppropData[[#This Row],[President $ Change]]-BudgetAppropData[[#This Row],[FY 2019]])/BudgetAppropData[[#This Row],[FY 2019]]</f>
        <v>7.328605200945626E-2</v>
      </c>
      <c r="I5" s="7">
        <v>404</v>
      </c>
      <c r="J5" s="13">
        <f>IFERROR((BudgetAppropData[[#This Row],[House $ Change]]-BudgetAppropData[[#This Row],[FY 2019]])/BudgetAppropData[[#This Row],[FY 2019]], "")</f>
        <v>-4.4917257683215132E-2</v>
      </c>
      <c r="K5" s="14"/>
    </row>
    <row r="6" spans="1:11" x14ac:dyDescent="0.2">
      <c r="A6" s="12">
        <v>93.070999999999998</v>
      </c>
      <c r="B6" s="9">
        <v>2020</v>
      </c>
      <c r="C6" s="7" t="s">
        <v>13</v>
      </c>
      <c r="E6" s="7" t="s">
        <v>219</v>
      </c>
      <c r="F6" s="11" t="s">
        <v>172</v>
      </c>
      <c r="G6" s="11" t="s">
        <v>172</v>
      </c>
      <c r="H6" s="10">
        <v>6.6000000000000003E-2</v>
      </c>
      <c r="I6" s="11" t="s">
        <v>172</v>
      </c>
      <c r="J6" s="10" t="str">
        <f>IFERROR((BudgetAppropData[[#This Row],[House $ Change]]-BudgetAppropData[[#This Row],[FY 2019]])/BudgetAppropData[[#This Row],[FY 2019]], "")</f>
        <v/>
      </c>
      <c r="K6" s="8"/>
    </row>
    <row r="7" spans="1:11" x14ac:dyDescent="0.2">
      <c r="A7" s="12">
        <v>93.659000000000006</v>
      </c>
      <c r="B7" s="9">
        <v>2020</v>
      </c>
      <c r="C7" s="7" t="s">
        <v>13</v>
      </c>
      <c r="D7" s="7" t="s">
        <v>158</v>
      </c>
      <c r="E7" s="7" t="s">
        <v>218</v>
      </c>
      <c r="F7" s="7">
        <v>2842</v>
      </c>
      <c r="G7" s="7">
        <v>2942</v>
      </c>
      <c r="H7" s="13">
        <f>(BudgetAppropData[[#This Row],[President $ Change]]-BudgetAppropData[[#This Row],[FY 2019]])/BudgetAppropData[[#This Row],[FY 2019]]</f>
        <v>3.5186488388458829E-2</v>
      </c>
      <c r="I7" s="7">
        <v>2931</v>
      </c>
      <c r="J7" s="13">
        <f>IFERROR((BudgetAppropData[[#This Row],[House $ Change]]-BudgetAppropData[[#This Row],[FY 2019]])/BudgetAppropData[[#This Row],[FY 2019]], "")</f>
        <v>3.1315974665728358E-2</v>
      </c>
      <c r="K7" s="14"/>
    </row>
    <row r="8" spans="1:11" x14ac:dyDescent="0.2">
      <c r="A8" s="12">
        <v>93.658000000000001</v>
      </c>
      <c r="B8" s="9">
        <v>2020</v>
      </c>
      <c r="C8" s="7" t="s">
        <v>13</v>
      </c>
      <c r="D8" s="7" t="s">
        <v>158</v>
      </c>
      <c r="E8" s="7" t="s">
        <v>217</v>
      </c>
      <c r="F8" s="7">
        <v>5117</v>
      </c>
      <c r="G8" s="7">
        <v>5268</v>
      </c>
      <c r="H8" s="13">
        <f>(BudgetAppropData[[#This Row],[President $ Change]]-BudgetAppropData[[#This Row],[FY 2019]])/BudgetAppropData[[#This Row],[FY 2019]]</f>
        <v>2.9509478209888605E-2</v>
      </c>
      <c r="I8" s="7">
        <v>5253</v>
      </c>
      <c r="J8" s="13">
        <f>IFERROR((BudgetAppropData[[#This Row],[House $ Change]]-BudgetAppropData[[#This Row],[FY 2019]])/BudgetAppropData[[#This Row],[FY 2019]], "")</f>
        <v>2.6578073089700997E-2</v>
      </c>
      <c r="K8" s="14"/>
    </row>
    <row r="9" spans="1:11" x14ac:dyDescent="0.2">
      <c r="A9" s="12">
        <v>84.126000000000005</v>
      </c>
      <c r="B9" s="9">
        <v>2020</v>
      </c>
      <c r="C9" s="7" t="s">
        <v>10</v>
      </c>
      <c r="D9" s="7" t="s">
        <v>158</v>
      </c>
      <c r="E9" s="7" t="s">
        <v>216</v>
      </c>
      <c r="F9" s="7">
        <v>3304</v>
      </c>
      <c r="G9" s="7">
        <v>3397</v>
      </c>
      <c r="H9" s="10">
        <f>(BudgetAppropData[[#This Row],[President $ Change]]-BudgetAppropData[[#This Row],[FY 2019]])/BudgetAppropData[[#This Row],[FY 2019]]</f>
        <v>2.8147699757869248E-2</v>
      </c>
      <c r="I9" s="7">
        <v>3397</v>
      </c>
      <c r="J9" s="10">
        <f>IFERROR((BudgetAppropData[[#This Row],[House $ Change]]-BudgetAppropData[[#This Row],[FY 2019]])/BudgetAppropData[[#This Row],[FY 2019]], "")</f>
        <v>2.8147699757869248E-2</v>
      </c>
      <c r="K9" s="8"/>
    </row>
    <row r="10" spans="1:11" x14ac:dyDescent="0.2">
      <c r="A10" s="12">
        <v>93.766999999999996</v>
      </c>
      <c r="B10" s="9">
        <v>2020</v>
      </c>
      <c r="C10" s="7" t="s">
        <v>10</v>
      </c>
      <c r="D10" s="7" t="s">
        <v>158</v>
      </c>
      <c r="E10" s="7" t="s">
        <v>215</v>
      </c>
      <c r="F10" s="7">
        <v>17881</v>
      </c>
      <c r="G10" s="7">
        <v>18366</v>
      </c>
      <c r="H10" s="10">
        <f>(BudgetAppropData[[#This Row],[President $ Change]]-BudgetAppropData[[#This Row],[FY 2019]])/BudgetAppropData[[#This Row],[FY 2019]]</f>
        <v>2.7123762653095466E-2</v>
      </c>
      <c r="I10" s="7">
        <v>18366</v>
      </c>
      <c r="J10" s="10">
        <f>IFERROR((BudgetAppropData[[#This Row],[House $ Change]]-BudgetAppropData[[#This Row],[FY 2019]])/BudgetAppropData[[#This Row],[FY 2019]], "")</f>
        <v>2.7123762653095466E-2</v>
      </c>
      <c r="K10" s="8"/>
    </row>
    <row r="11" spans="1:11" x14ac:dyDescent="0.2">
      <c r="A11" s="12">
        <v>93.778000000000006</v>
      </c>
      <c r="B11" s="9">
        <v>2020</v>
      </c>
      <c r="C11" s="7" t="s">
        <v>13</v>
      </c>
      <c r="D11" s="7" t="s">
        <v>158</v>
      </c>
      <c r="E11" s="7" t="s">
        <v>214</v>
      </c>
      <c r="F11" s="7">
        <v>420268</v>
      </c>
      <c r="G11" s="7">
        <v>431009</v>
      </c>
      <c r="H11" s="10">
        <f>(BudgetAppropData[[#This Row],[President $ Change]]-BudgetAppropData[[#This Row],[FY 2019]])/BudgetAppropData[[#This Row],[FY 2019]]</f>
        <v>2.5557501403866104E-2</v>
      </c>
      <c r="I11" s="7">
        <v>438844</v>
      </c>
      <c r="J11" s="10">
        <f>IFERROR((BudgetAppropData[[#This Row],[House $ Change]]-BudgetAppropData[[#This Row],[FY 2019]])/BudgetAppropData[[#This Row],[FY 2019]], "")</f>
        <v>4.4200367384621242E-2</v>
      </c>
      <c r="K11" s="8"/>
    </row>
    <row r="12" spans="1:11" x14ac:dyDescent="0.2">
      <c r="A12" s="12">
        <v>20.204999999999998</v>
      </c>
      <c r="B12" s="9">
        <v>2020</v>
      </c>
      <c r="C12" s="7" t="s">
        <v>10</v>
      </c>
      <c r="D12" s="7" t="s">
        <v>158</v>
      </c>
      <c r="E12" s="7" t="s">
        <v>213</v>
      </c>
      <c r="F12" s="7">
        <v>45269</v>
      </c>
      <c r="G12" s="7">
        <v>46365</v>
      </c>
      <c r="H12" s="13">
        <f>(BudgetAppropData[[#This Row],[President $ Change]]-BudgetAppropData[[#This Row],[FY 2019]])/BudgetAppropData[[#This Row],[FY 2019]]</f>
        <v>2.4210828602354812E-2</v>
      </c>
      <c r="I12" s="7">
        <v>46365</v>
      </c>
      <c r="J12" s="13">
        <f>IFERROR((BudgetAppropData[[#This Row],[House $ Change]]-BudgetAppropData[[#This Row],[FY 2019]])/BudgetAppropData[[#This Row],[FY 2019]], "")</f>
        <v>2.4210828602354812E-2</v>
      </c>
      <c r="K12" s="14"/>
    </row>
    <row r="13" spans="1:11" x14ac:dyDescent="0.2">
      <c r="A13" s="12">
        <v>14.856</v>
      </c>
      <c r="B13" s="9">
        <v>2020</v>
      </c>
      <c r="C13" s="7" t="s">
        <v>10</v>
      </c>
      <c r="D13" s="7" t="s">
        <v>158</v>
      </c>
      <c r="E13" s="7" t="s">
        <v>212</v>
      </c>
      <c r="F13" s="7">
        <v>11747</v>
      </c>
      <c r="G13" s="7">
        <v>12021</v>
      </c>
      <c r="H13" s="13">
        <f>(BudgetAppropData[[#This Row],[President $ Change]]-BudgetAppropData[[#This Row],[FY 2019]])/BudgetAppropData[[#This Row],[FY 2019]]</f>
        <v>2.3325104281944325E-2</v>
      </c>
      <c r="I13" s="7">
        <v>12590</v>
      </c>
      <c r="J13" s="13">
        <f>IFERROR((BudgetAppropData[[#This Row],[House $ Change]]-BudgetAppropData[[#This Row],[FY 2019]])/BudgetAppropData[[#This Row],[FY 2019]], "")</f>
        <v>7.1763003319996591E-2</v>
      </c>
      <c r="K13" s="14"/>
    </row>
    <row r="14" spans="1:11" x14ac:dyDescent="0.2">
      <c r="A14" s="12">
        <v>10.558</v>
      </c>
      <c r="B14" s="9">
        <v>2020</v>
      </c>
      <c r="C14" s="7" t="s">
        <v>13</v>
      </c>
      <c r="E14" s="7" t="s">
        <v>211</v>
      </c>
      <c r="F14" s="11" t="s">
        <v>172</v>
      </c>
      <c r="G14" s="11" t="s">
        <v>172</v>
      </c>
      <c r="H14" s="10">
        <v>6.0000000000000001E-3</v>
      </c>
      <c r="I14" s="11" t="s">
        <v>172</v>
      </c>
      <c r="J14" s="10" t="str">
        <f>IFERROR((BudgetAppropData[[#This Row],[House $ Change]]-BudgetAppropData[[#This Row],[FY 2019]])/BudgetAppropData[[#This Row],[FY 2019]], "")</f>
        <v/>
      </c>
      <c r="K14" s="8"/>
    </row>
    <row r="15" spans="1:11" x14ac:dyDescent="0.2">
      <c r="A15" s="12">
        <v>16.588000000000001</v>
      </c>
      <c r="B15" s="9">
        <v>2020</v>
      </c>
      <c r="C15" s="7" t="s">
        <v>10</v>
      </c>
      <c r="D15" s="7" t="s">
        <v>158</v>
      </c>
      <c r="E15" s="7" t="s">
        <v>190</v>
      </c>
      <c r="F15" s="7">
        <v>215</v>
      </c>
      <c r="G15" s="7">
        <v>215</v>
      </c>
      <c r="H15" s="13">
        <f>(BudgetAppropData[[#This Row],[President $ Change]]-BudgetAppropData[[#This Row],[FY 2019]])/BudgetAppropData[[#This Row],[FY 2019]]</f>
        <v>0</v>
      </c>
      <c r="I15" s="7">
        <v>222</v>
      </c>
      <c r="J15" s="13">
        <f>IFERROR((BudgetAppropData[[#This Row],[House $ Change]]-BudgetAppropData[[#This Row],[FY 2019]])/BudgetAppropData[[#This Row],[FY 2019]], "")</f>
        <v>3.255813953488372E-2</v>
      </c>
      <c r="K15" s="14"/>
    </row>
    <row r="16" spans="1:11" x14ac:dyDescent="0.2">
      <c r="A16" s="12">
        <v>17.257999999999999</v>
      </c>
      <c r="B16" s="9">
        <v>2020</v>
      </c>
      <c r="C16" s="7" t="s">
        <v>10</v>
      </c>
      <c r="D16" s="7" t="s">
        <v>158</v>
      </c>
      <c r="E16" s="7" t="s">
        <v>191</v>
      </c>
      <c r="F16" s="7">
        <v>846</v>
      </c>
      <c r="G16" s="7">
        <v>846</v>
      </c>
      <c r="H16" s="13">
        <f>(BudgetAppropData[[#This Row],[President $ Change]]-BudgetAppropData[[#This Row],[FY 2019]])/BudgetAppropData[[#This Row],[FY 2019]]</f>
        <v>0</v>
      </c>
      <c r="I16" s="7">
        <v>900</v>
      </c>
      <c r="J16" s="13">
        <f>IFERROR((BudgetAppropData[[#This Row],[House $ Change]]-BudgetAppropData[[#This Row],[FY 2019]])/BudgetAppropData[[#This Row],[FY 2019]], "")</f>
        <v>6.3829787234042548E-2</v>
      </c>
      <c r="K16" s="14"/>
    </row>
    <row r="17" spans="1:11" x14ac:dyDescent="0.2">
      <c r="A17" s="9">
        <v>17.259</v>
      </c>
      <c r="B17" s="9">
        <v>2020</v>
      </c>
      <c r="C17" s="7" t="s">
        <v>13</v>
      </c>
      <c r="D17" s="7" t="s">
        <v>158</v>
      </c>
      <c r="E17" s="7" t="s">
        <v>26</v>
      </c>
      <c r="F17" s="7">
        <v>903</v>
      </c>
      <c r="G17" s="7">
        <v>903</v>
      </c>
      <c r="H17" s="10">
        <f>(BudgetAppropData[[#This Row],[President $ Change]]-BudgetAppropData[[#This Row],[FY 2019]])/BudgetAppropData[[#This Row],[FY 2019]]</f>
        <v>0</v>
      </c>
      <c r="I17" s="7">
        <v>964</v>
      </c>
      <c r="J17" s="10">
        <f>IFERROR((BudgetAppropData[[#This Row],[House $ Change]]-BudgetAppropData[[#This Row],[FY 2019]])/BudgetAppropData[[#This Row],[FY 2019]], "")</f>
        <v>6.755260243632337E-2</v>
      </c>
      <c r="K17" s="8"/>
    </row>
    <row r="18" spans="1:11" x14ac:dyDescent="0.2">
      <c r="A18" s="12">
        <v>17.277999999999999</v>
      </c>
      <c r="B18" s="9">
        <v>2020</v>
      </c>
      <c r="C18" s="7" t="s">
        <v>10</v>
      </c>
      <c r="D18" s="7" t="s">
        <v>158</v>
      </c>
      <c r="E18" s="7" t="s">
        <v>192</v>
      </c>
      <c r="F18" s="7">
        <v>1041</v>
      </c>
      <c r="G18" s="7">
        <v>1041</v>
      </c>
      <c r="H18" s="13">
        <f>(BudgetAppropData[[#This Row],[President $ Change]]-BudgetAppropData[[#This Row],[FY 2019]])/BudgetAppropData[[#This Row],[FY 2019]]</f>
        <v>0</v>
      </c>
      <c r="I18" s="7">
        <v>1103</v>
      </c>
      <c r="J18" s="13">
        <f>IFERROR((BudgetAppropData[[#This Row],[House $ Change]]-BudgetAppropData[[#This Row],[FY 2019]])/BudgetAppropData[[#This Row],[FY 2019]], "")</f>
        <v>5.9558117195004805E-2</v>
      </c>
      <c r="K18" s="14"/>
    </row>
    <row r="19" spans="1:11" x14ac:dyDescent="0.2">
      <c r="A19" s="12">
        <v>84.027000000000001</v>
      </c>
      <c r="B19" s="9">
        <v>2020</v>
      </c>
      <c r="C19" s="7" t="s">
        <v>10</v>
      </c>
      <c r="D19" s="7" t="s">
        <v>158</v>
      </c>
      <c r="E19" s="7" t="s">
        <v>193</v>
      </c>
      <c r="F19" s="7">
        <v>12364</v>
      </c>
      <c r="G19" s="7">
        <v>12364</v>
      </c>
      <c r="H19" s="10">
        <f>(BudgetAppropData[[#This Row],[President $ Change]]-BudgetAppropData[[#This Row],[FY 2019]])/BudgetAppropData[[#This Row],[FY 2019]]</f>
        <v>0</v>
      </c>
      <c r="I19" s="7">
        <v>13364</v>
      </c>
      <c r="J19" s="10">
        <f>IFERROR((BudgetAppropData[[#This Row],[House $ Change]]-BudgetAppropData[[#This Row],[FY 2019]])/BudgetAppropData[[#This Row],[FY 2019]], "")</f>
        <v>8.0879974118408277E-2</v>
      </c>
      <c r="K19" s="8"/>
    </row>
    <row r="20" spans="1:11" x14ac:dyDescent="0.2">
      <c r="A20" s="12">
        <v>84.048000000000002</v>
      </c>
      <c r="B20" s="9">
        <v>2020</v>
      </c>
      <c r="C20" s="7" t="s">
        <v>10</v>
      </c>
      <c r="D20" s="7" t="s">
        <v>158</v>
      </c>
      <c r="E20" s="7" t="s">
        <v>194</v>
      </c>
      <c r="F20" s="7">
        <v>1263</v>
      </c>
      <c r="G20" s="7">
        <v>1263</v>
      </c>
      <c r="H20" s="13">
        <f>(BudgetAppropData[[#This Row],[President $ Change]]-BudgetAppropData[[#This Row],[FY 2019]])/BudgetAppropData[[#This Row],[FY 2019]]</f>
        <v>0</v>
      </c>
      <c r="I20" s="7">
        <v>1310</v>
      </c>
      <c r="J20" s="13">
        <f>IFERROR((BudgetAppropData[[#This Row],[House $ Change]]-BudgetAppropData[[#This Row],[FY 2019]])/BudgetAppropData[[#This Row],[FY 2019]], "")</f>
        <v>3.7212984956452887E-2</v>
      </c>
      <c r="K20" s="14"/>
    </row>
    <row r="21" spans="1:11" x14ac:dyDescent="0.2">
      <c r="A21" s="12">
        <v>84.364999999999995</v>
      </c>
      <c r="B21" s="9">
        <v>2020</v>
      </c>
      <c r="C21" s="7" t="s">
        <v>10</v>
      </c>
      <c r="D21" s="7" t="s">
        <v>158</v>
      </c>
      <c r="E21" s="7" t="s">
        <v>195</v>
      </c>
      <c r="F21" s="7">
        <v>737</v>
      </c>
      <c r="G21" s="7">
        <v>737</v>
      </c>
      <c r="H21" s="13">
        <f>(BudgetAppropData[[#This Row],[President $ Change]]-BudgetAppropData[[#This Row],[FY 2019]])/BudgetAppropData[[#This Row],[FY 2019]]</f>
        <v>0</v>
      </c>
      <c r="I21" s="7">
        <v>980</v>
      </c>
      <c r="J21" s="13">
        <f>IFERROR((BudgetAppropData[[#This Row],[House $ Change]]-BudgetAppropData[[#This Row],[FY 2019]])/BudgetAppropData[[#This Row],[FY 2019]], "")</f>
        <v>0.32971506105834464</v>
      </c>
      <c r="K21" s="14"/>
    </row>
    <row r="22" spans="1:11" x14ac:dyDescent="0.2">
      <c r="A22" s="12">
        <v>84.373999999999995</v>
      </c>
      <c r="B22" s="9">
        <v>2020</v>
      </c>
      <c r="C22" s="7" t="s">
        <v>10</v>
      </c>
      <c r="D22" s="7" t="s">
        <v>158</v>
      </c>
      <c r="E22" s="7" t="s">
        <v>196</v>
      </c>
      <c r="F22" s="7">
        <v>200</v>
      </c>
      <c r="G22" s="7">
        <v>200</v>
      </c>
      <c r="H22" s="13">
        <f>(BudgetAppropData[[#This Row],[President $ Change]]-BudgetAppropData[[#This Row],[FY 2019]])/BudgetAppropData[[#This Row],[FY 2019]]</f>
        <v>0</v>
      </c>
      <c r="I22" s="7">
        <v>200</v>
      </c>
      <c r="J22" s="13">
        <f>IFERROR((BudgetAppropData[[#This Row],[House $ Change]]-BudgetAppropData[[#This Row],[FY 2019]])/BudgetAppropData[[#This Row],[FY 2019]], "")</f>
        <v>0</v>
      </c>
      <c r="K22" s="14"/>
    </row>
    <row r="23" spans="1:11" x14ac:dyDescent="0.2">
      <c r="A23" s="12">
        <v>93.224000000000004</v>
      </c>
      <c r="B23" s="9">
        <v>2020</v>
      </c>
      <c r="C23" s="7" t="s">
        <v>10</v>
      </c>
      <c r="D23" s="7" t="s">
        <v>158</v>
      </c>
      <c r="E23" s="7" t="s">
        <v>197</v>
      </c>
      <c r="F23" s="7">
        <v>5626</v>
      </c>
      <c r="G23" s="7">
        <v>5626</v>
      </c>
      <c r="H23" s="10">
        <f>(BudgetAppropData[[#This Row],[President $ Change]]-BudgetAppropData[[#This Row],[FY 2019]])/BudgetAppropData[[#This Row],[FY 2019]]</f>
        <v>0</v>
      </c>
      <c r="I23" s="7">
        <v>5676</v>
      </c>
      <c r="J23" s="10">
        <f>IFERROR((BudgetAppropData[[#This Row],[House $ Change]]-BudgetAppropData[[#This Row],[FY 2019]])/BudgetAppropData[[#This Row],[FY 2019]], "")</f>
        <v>8.887308922858158E-3</v>
      </c>
      <c r="K23" s="8"/>
    </row>
    <row r="24" spans="1:11" x14ac:dyDescent="0.2">
      <c r="A24" s="12">
        <v>93.575000000000003</v>
      </c>
      <c r="B24" s="9">
        <v>2020</v>
      </c>
      <c r="C24" s="7" t="s">
        <v>13</v>
      </c>
      <c r="D24" s="7" t="s">
        <v>158</v>
      </c>
      <c r="E24" s="7" t="s">
        <v>198</v>
      </c>
      <c r="F24" s="7">
        <v>5276</v>
      </c>
      <c r="G24" s="7">
        <v>5276</v>
      </c>
      <c r="H24" s="10">
        <f>(BudgetAppropData[[#This Row],[President $ Change]]-BudgetAppropData[[#This Row],[FY 2019]])/BudgetAppropData[[#This Row],[FY 2019]]</f>
        <v>0</v>
      </c>
      <c r="I24" s="7">
        <v>7676</v>
      </c>
      <c r="J24" s="10">
        <f>IFERROR((BudgetAppropData[[#This Row],[House $ Change]]-BudgetAppropData[[#This Row],[FY 2019]])/BudgetAppropData[[#This Row],[FY 2019]], "")</f>
        <v>0.45489006823351025</v>
      </c>
      <c r="K24" s="8"/>
    </row>
    <row r="25" spans="1:11" x14ac:dyDescent="0.2">
      <c r="A25" s="12">
        <v>93.6</v>
      </c>
      <c r="B25" s="9">
        <v>2020</v>
      </c>
      <c r="C25" s="7" t="s">
        <v>13</v>
      </c>
      <c r="D25" s="7" t="s">
        <v>158</v>
      </c>
      <c r="E25" s="7" t="s">
        <v>19</v>
      </c>
      <c r="F25" s="7">
        <v>10063</v>
      </c>
      <c r="G25" s="7">
        <v>10063</v>
      </c>
      <c r="H25" s="10">
        <f>(BudgetAppropData[[#This Row],[President $ Change]]-BudgetAppropData[[#This Row],[FY 2019]])/BudgetAppropData[[#This Row],[FY 2019]]</f>
        <v>0</v>
      </c>
      <c r="I25" s="7">
        <v>11563</v>
      </c>
      <c r="J25" s="10">
        <f>IFERROR((BudgetAppropData[[#This Row],[House $ Change]]-BudgetAppropData[[#This Row],[FY 2019]])/BudgetAppropData[[#This Row],[FY 2019]], "")</f>
        <v>0.14906091622776507</v>
      </c>
      <c r="K25" s="8"/>
    </row>
    <row r="26" spans="1:11" x14ac:dyDescent="0.2">
      <c r="A26" s="12">
        <v>93.957999999999998</v>
      </c>
      <c r="B26" s="9">
        <v>2020</v>
      </c>
      <c r="C26" s="7" t="s">
        <v>10</v>
      </c>
      <c r="D26" s="7" t="s">
        <v>158</v>
      </c>
      <c r="E26" s="7" t="s">
        <v>199</v>
      </c>
      <c r="F26" s="7">
        <v>723</v>
      </c>
      <c r="G26" s="7">
        <v>723</v>
      </c>
      <c r="H26" s="10">
        <f>(BudgetAppropData[[#This Row],[President $ Change]]-BudgetAppropData[[#This Row],[FY 2019]])/BudgetAppropData[[#This Row],[FY 2019]]</f>
        <v>0</v>
      </c>
      <c r="I26" s="7">
        <v>758</v>
      </c>
      <c r="J26" s="10">
        <f>IFERROR((BudgetAppropData[[#This Row],[House $ Change]]-BudgetAppropData[[#This Row],[FY 2019]])/BudgetAppropData[[#This Row],[FY 2019]], "")</f>
        <v>4.8409405255878286E-2</v>
      </c>
      <c r="K26" s="8"/>
    </row>
    <row r="27" spans="1:11" x14ac:dyDescent="0.2">
      <c r="A27" s="12">
        <v>93.959000000000003</v>
      </c>
      <c r="B27" s="9">
        <v>2020</v>
      </c>
      <c r="C27" s="7" t="s">
        <v>10</v>
      </c>
      <c r="D27" s="7" t="s">
        <v>158</v>
      </c>
      <c r="E27" s="7" t="s">
        <v>200</v>
      </c>
      <c r="F27" s="7">
        <v>1858</v>
      </c>
      <c r="G27" s="7">
        <v>1858</v>
      </c>
      <c r="H27" s="10">
        <f>(BudgetAppropData[[#This Row],[President $ Change]]-BudgetAppropData[[#This Row],[FY 2019]])/BudgetAppropData[[#This Row],[FY 2019]]</f>
        <v>0</v>
      </c>
      <c r="I27" s="7">
        <v>1858</v>
      </c>
      <c r="J27" s="10">
        <f>IFERROR((BudgetAppropData[[#This Row],[House $ Change]]-BudgetAppropData[[#This Row],[FY 2019]])/BudgetAppropData[[#This Row],[FY 2019]], "")</f>
        <v>0</v>
      </c>
      <c r="K27" s="8"/>
    </row>
    <row r="28" spans="1:11" x14ac:dyDescent="0.2">
      <c r="A28" s="12">
        <v>93.043000000000006</v>
      </c>
      <c r="B28" s="9">
        <v>2020</v>
      </c>
      <c r="C28" s="7" t="s">
        <v>13</v>
      </c>
      <c r="D28" s="7" t="s">
        <v>168</v>
      </c>
      <c r="E28" s="7" t="s">
        <v>201</v>
      </c>
      <c r="F28" s="11">
        <v>24848</v>
      </c>
      <c r="G28" s="11">
        <v>24848</v>
      </c>
      <c r="H28" s="10">
        <f>(BudgetAppropData[[#This Row],[President $ Change]]-BudgetAppropData[[#This Row],[FY 2019]])/BudgetAppropData[[#This Row],[FY 2019]]</f>
        <v>0</v>
      </c>
      <c r="I28" s="11">
        <v>24848</v>
      </c>
      <c r="J28" s="10">
        <f>IFERROR((BudgetAppropData[[#This Row],[House $ Change]]-BudgetAppropData[[#This Row],[FY 2019]])/BudgetAppropData[[#This Row],[FY 2019]], "")</f>
        <v>0</v>
      </c>
      <c r="K28" s="8"/>
    </row>
    <row r="29" spans="1:11" x14ac:dyDescent="0.2">
      <c r="A29" s="12">
        <v>93.135999999999996</v>
      </c>
      <c r="B29" s="9">
        <v>2020</v>
      </c>
      <c r="C29" s="7" t="s">
        <v>10</v>
      </c>
      <c r="D29" s="7" t="s">
        <v>168</v>
      </c>
      <c r="E29" s="7" t="s">
        <v>202</v>
      </c>
      <c r="F29" s="11">
        <v>49430</v>
      </c>
      <c r="G29" s="11">
        <v>49430</v>
      </c>
      <c r="H29" s="13">
        <f>(BudgetAppropData[[#This Row],[President $ Change]]-BudgetAppropData[[#This Row],[FY 2019]])/BudgetAppropData[[#This Row],[FY 2019]]</f>
        <v>0</v>
      </c>
      <c r="I29" s="11">
        <v>54430</v>
      </c>
      <c r="J29" s="13">
        <f>IFERROR((BudgetAppropData[[#This Row],[House $ Change]]-BudgetAppropData[[#This Row],[FY 2019]])/BudgetAppropData[[#This Row],[FY 2019]], "")</f>
        <v>0.10115314586283633</v>
      </c>
      <c r="K29" s="14"/>
    </row>
    <row r="30" spans="1:11" x14ac:dyDescent="0.2">
      <c r="A30" s="12">
        <v>93.15</v>
      </c>
      <c r="B30" s="9">
        <v>2020</v>
      </c>
      <c r="C30" s="7" t="s">
        <v>10</v>
      </c>
      <c r="D30" s="7" t="s">
        <v>168</v>
      </c>
      <c r="E30" s="7" t="s">
        <v>203</v>
      </c>
      <c r="F30" s="11">
        <v>64635</v>
      </c>
      <c r="G30" s="11">
        <v>64635</v>
      </c>
      <c r="H30" s="13">
        <f>(BudgetAppropData[[#This Row],[President $ Change]]-BudgetAppropData[[#This Row],[FY 2019]])/BudgetAppropData[[#This Row],[FY 2019]]</f>
        <v>0</v>
      </c>
      <c r="I30" s="11">
        <v>66635</v>
      </c>
      <c r="J30" s="13">
        <f>IFERROR((BudgetAppropData[[#This Row],[House $ Change]]-BudgetAppropData[[#This Row],[FY 2019]])/BudgetAppropData[[#This Row],[FY 2019]], "")</f>
        <v>3.0942987545447512E-2</v>
      </c>
      <c r="K30" s="14"/>
    </row>
    <row r="31" spans="1:11" x14ac:dyDescent="0.2">
      <c r="A31" s="12">
        <v>93.59</v>
      </c>
      <c r="B31" s="9">
        <v>2020</v>
      </c>
      <c r="C31" s="7" t="s">
        <v>10</v>
      </c>
      <c r="D31" s="7" t="s">
        <v>168</v>
      </c>
      <c r="E31" s="7" t="s">
        <v>204</v>
      </c>
      <c r="F31" s="11">
        <v>39764</v>
      </c>
      <c r="G31" s="11">
        <v>39764</v>
      </c>
      <c r="H31" s="10">
        <f>(BudgetAppropData[[#This Row],[President $ Change]]-BudgetAppropData[[#This Row],[FY 2019]])/BudgetAppropData[[#This Row],[FY 2019]]</f>
        <v>0</v>
      </c>
      <c r="I31" s="11">
        <v>75000</v>
      </c>
      <c r="J31" s="10">
        <f>IFERROR((BudgetAppropData[[#This Row],[House $ Change]]-BudgetAppropData[[#This Row],[FY 2019]])/BudgetAppropData[[#This Row],[FY 2019]], "")</f>
        <v>0.88612815612111462</v>
      </c>
      <c r="K31" s="8"/>
    </row>
    <row r="32" spans="1:11" x14ac:dyDescent="0.2">
      <c r="A32" s="12">
        <v>93.671000000000006</v>
      </c>
      <c r="B32" s="9">
        <v>2020</v>
      </c>
      <c r="C32" s="7" t="s">
        <v>10</v>
      </c>
      <c r="D32" s="7" t="s">
        <v>168</v>
      </c>
      <c r="E32" s="7" t="s">
        <v>205</v>
      </c>
      <c r="F32" s="11">
        <v>164500</v>
      </c>
      <c r="G32" s="11">
        <v>164500</v>
      </c>
      <c r="H32" s="10">
        <f>(BudgetAppropData[[#This Row],[President $ Change]]-BudgetAppropData[[#This Row],[FY 2019]])/BudgetAppropData[[#This Row],[FY 2019]]</f>
        <v>0</v>
      </c>
      <c r="I32" s="11">
        <v>175000</v>
      </c>
      <c r="J32" s="10">
        <f>IFERROR((BudgetAppropData[[#This Row],[House $ Change]]-BudgetAppropData[[#This Row],[FY 2019]])/BudgetAppropData[[#This Row],[FY 2019]], "")</f>
        <v>6.3829787234042548E-2</v>
      </c>
      <c r="K32" s="8"/>
    </row>
    <row r="33" spans="1:11" x14ac:dyDescent="0.2">
      <c r="A33" s="12">
        <v>93.676000000000002</v>
      </c>
      <c r="B33" s="9">
        <v>2020</v>
      </c>
      <c r="C33" s="7" t="s">
        <v>10</v>
      </c>
      <c r="D33" s="7" t="s">
        <v>168</v>
      </c>
      <c r="E33" s="7" t="s">
        <v>206</v>
      </c>
      <c r="F33" s="11">
        <v>1303245</v>
      </c>
      <c r="G33" s="11">
        <v>1303245</v>
      </c>
      <c r="H33" s="10">
        <f>(BudgetAppropData[[#This Row],[President $ Change]]-BudgetAppropData[[#This Row],[FY 2019]])/BudgetAppropData[[#This Row],[FY 2019]]</f>
        <v>0</v>
      </c>
      <c r="I33" s="11">
        <v>1803245</v>
      </c>
      <c r="J33" s="10">
        <f>IFERROR((BudgetAppropData[[#This Row],[House $ Change]]-BudgetAppropData[[#This Row],[FY 2019]])/BudgetAppropData[[#This Row],[FY 2019]], "")</f>
        <v>0.38365771593215398</v>
      </c>
      <c r="K33" s="8"/>
    </row>
    <row r="34" spans="1:11" x14ac:dyDescent="0.2">
      <c r="A34" s="12">
        <v>93.914000000000001</v>
      </c>
      <c r="B34" s="9">
        <v>2020</v>
      </c>
      <c r="C34" s="7" t="s">
        <v>10</v>
      </c>
      <c r="D34" s="7" t="s">
        <v>168</v>
      </c>
      <c r="E34" s="7" t="s">
        <v>207</v>
      </c>
      <c r="F34" s="11">
        <v>655876</v>
      </c>
      <c r="G34" s="11">
        <v>655876</v>
      </c>
      <c r="H34" s="10">
        <f>(BudgetAppropData[[#This Row],[President $ Change]]-BudgetAppropData[[#This Row],[FY 2019]])/BudgetAppropData[[#This Row],[FY 2019]]</f>
        <v>0</v>
      </c>
      <c r="I34" s="11">
        <v>677535</v>
      </c>
      <c r="J34" s="10">
        <f>IFERROR((BudgetAppropData[[#This Row],[House $ Change]]-BudgetAppropData[[#This Row],[FY 2019]])/BudgetAppropData[[#This Row],[FY 2019]], "")</f>
        <v>3.3023010447096705E-2</v>
      </c>
      <c r="K34" s="8"/>
    </row>
    <row r="35" spans="1:11" x14ac:dyDescent="0.2">
      <c r="A35" s="12">
        <v>93.917000000000002</v>
      </c>
      <c r="B35" s="9">
        <v>2020</v>
      </c>
      <c r="C35" s="7" t="s">
        <v>10</v>
      </c>
      <c r="D35" s="7" t="s">
        <v>168</v>
      </c>
      <c r="E35" s="7" t="s">
        <v>208</v>
      </c>
      <c r="F35" s="11">
        <v>1315005</v>
      </c>
      <c r="G35" s="11">
        <v>1315005</v>
      </c>
      <c r="H35" s="10">
        <f>(BudgetAppropData[[#This Row],[President $ Change]]-BudgetAppropData[[#This Row],[FY 2019]])/BudgetAppropData[[#This Row],[FY 2019]]</f>
        <v>0</v>
      </c>
      <c r="I35" s="11">
        <v>1331665</v>
      </c>
      <c r="J35" s="10">
        <f>IFERROR((BudgetAppropData[[#This Row],[House $ Change]]-BudgetAppropData[[#This Row],[FY 2019]])/BudgetAppropData[[#This Row],[FY 2019]], "")</f>
        <v>1.266915334922681E-2</v>
      </c>
      <c r="K35" s="8"/>
    </row>
    <row r="36" spans="1:11" x14ac:dyDescent="0.2">
      <c r="A36" s="12">
        <v>93.926000000000002</v>
      </c>
      <c r="B36" s="9">
        <v>2020</v>
      </c>
      <c r="C36" s="7" t="s">
        <v>10</v>
      </c>
      <c r="D36" s="7" t="s">
        <v>168</v>
      </c>
      <c r="E36" s="7" t="s">
        <v>209</v>
      </c>
      <c r="F36" s="11">
        <v>122500</v>
      </c>
      <c r="G36" s="11">
        <v>122500</v>
      </c>
      <c r="H36" s="10">
        <f>(BudgetAppropData[[#This Row],[President $ Change]]-BudgetAppropData[[#This Row],[FY 2019]])/BudgetAppropData[[#This Row],[FY 2019]]</f>
        <v>0</v>
      </c>
      <c r="I36" s="11">
        <v>130500</v>
      </c>
      <c r="J36" s="10">
        <f>IFERROR((BudgetAppropData[[#This Row],[House $ Change]]-BudgetAppropData[[#This Row],[FY 2019]])/BudgetAppropData[[#This Row],[FY 2019]], "")</f>
        <v>6.5306122448979598E-2</v>
      </c>
      <c r="K36" s="8"/>
    </row>
    <row r="37" spans="1:11" x14ac:dyDescent="0.2">
      <c r="A37" s="12">
        <v>93.977000000000004</v>
      </c>
      <c r="B37" s="9">
        <v>2020</v>
      </c>
      <c r="C37" s="7" t="s">
        <v>10</v>
      </c>
      <c r="D37" s="7" t="s">
        <v>168</v>
      </c>
      <c r="E37" s="7" t="s">
        <v>210</v>
      </c>
      <c r="F37" s="11">
        <v>157310</v>
      </c>
      <c r="G37" s="11">
        <v>157310</v>
      </c>
      <c r="H37" s="13">
        <f>(BudgetAppropData[[#This Row],[President $ Change]]-BudgetAppropData[[#This Row],[FY 2019]])/BudgetAppropData[[#This Row],[FY 2019]]</f>
        <v>0</v>
      </c>
      <c r="I37" s="11">
        <v>167310</v>
      </c>
      <c r="J37" s="13">
        <f>IFERROR((BudgetAppropData[[#This Row],[House $ Change]]-BudgetAppropData[[#This Row],[FY 2019]])/BudgetAppropData[[#This Row],[FY 2019]], "")</f>
        <v>6.3568749602695318E-2</v>
      </c>
      <c r="K37" s="14"/>
    </row>
    <row r="38" spans="1:11" x14ac:dyDescent="0.2">
      <c r="A38" s="12">
        <v>93.052999999999997</v>
      </c>
      <c r="B38" s="9">
        <v>2020</v>
      </c>
      <c r="C38" s="7" t="s">
        <v>13</v>
      </c>
      <c r="D38" s="7" t="s">
        <v>168</v>
      </c>
      <c r="E38" s="7" t="s">
        <v>189</v>
      </c>
      <c r="F38" s="11">
        <v>160069</v>
      </c>
      <c r="G38" s="11">
        <v>160068</v>
      </c>
      <c r="H38" s="10">
        <f>(BudgetAppropData[[#This Row],[President $ Change]]-BudgetAppropData[[#This Row],[FY 2019]])/BudgetAppropData[[#This Row],[FY 2019]]</f>
        <v>-6.2473058493524672E-6</v>
      </c>
      <c r="I38" s="11">
        <v>170000</v>
      </c>
      <c r="J38" s="10">
        <f>IFERROR((BudgetAppropData[[#This Row],[House $ Change]]-BudgetAppropData[[#This Row],[FY 2019]])/BudgetAppropData[[#This Row],[FY 2019]], "")</f>
        <v>6.204199438991935E-2</v>
      </c>
      <c r="K38" s="8"/>
    </row>
    <row r="39" spans="1:11" x14ac:dyDescent="0.2">
      <c r="A39" s="12">
        <v>93.563000000000002</v>
      </c>
      <c r="B39" s="9">
        <v>2020</v>
      </c>
      <c r="C39" s="7" t="s">
        <v>13</v>
      </c>
      <c r="D39" s="7" t="s">
        <v>158</v>
      </c>
      <c r="E39" s="7" t="s">
        <v>188</v>
      </c>
      <c r="F39" s="7">
        <v>4511</v>
      </c>
      <c r="G39" s="7">
        <v>4497</v>
      </c>
      <c r="H39" s="10">
        <f>(BudgetAppropData[[#This Row],[President $ Change]]-BudgetAppropData[[#This Row],[FY 2019]])/BudgetAppropData[[#This Row],[FY 2019]]</f>
        <v>-3.1035247173575703E-3</v>
      </c>
      <c r="I39" s="7">
        <v>4568</v>
      </c>
      <c r="J39" s="10">
        <f>IFERROR((BudgetAppropData[[#This Row],[House $ Change]]-BudgetAppropData[[#This Row],[FY 2019]])/BudgetAppropData[[#This Row],[FY 2019]], "")</f>
        <v>1.2635779206384394E-2</v>
      </c>
      <c r="K39" s="8"/>
    </row>
    <row r="40" spans="1:11" x14ac:dyDescent="0.2">
      <c r="A40" s="9">
        <v>14.231</v>
      </c>
      <c r="B40" s="9">
        <v>2020</v>
      </c>
      <c r="C40" s="7" t="s">
        <v>10</v>
      </c>
      <c r="D40" s="7" t="s">
        <v>158</v>
      </c>
      <c r="E40" s="7" t="s">
        <v>187</v>
      </c>
      <c r="F40" s="7">
        <v>2636</v>
      </c>
      <c r="G40" s="7">
        <v>2599</v>
      </c>
      <c r="H40" s="10">
        <f>(BudgetAppropData[[#This Row],[President $ Change]]-BudgetAppropData[[#This Row],[FY 2019]])/BudgetAppropData[[#This Row],[FY 2019]]</f>
        <v>-1.4036418816388467E-2</v>
      </c>
      <c r="I40" s="7">
        <v>2800</v>
      </c>
      <c r="J40" s="10">
        <f>IFERROR((BudgetAppropData[[#This Row],[House $ Change]]-BudgetAppropData[[#This Row],[FY 2019]])/BudgetAppropData[[#This Row],[FY 2019]], "")</f>
        <v>6.2215477996965099E-2</v>
      </c>
      <c r="K40" s="8"/>
    </row>
    <row r="41" spans="1:11" x14ac:dyDescent="0.2">
      <c r="A41" s="12">
        <v>14.871</v>
      </c>
      <c r="B41" s="9">
        <v>2020</v>
      </c>
      <c r="C41" s="7" t="s">
        <v>10</v>
      </c>
      <c r="D41" s="7" t="s">
        <v>158</v>
      </c>
      <c r="E41" s="7" t="s">
        <v>186</v>
      </c>
      <c r="F41" s="7">
        <v>22598</v>
      </c>
      <c r="G41" s="7">
        <v>22244</v>
      </c>
      <c r="H41" s="13">
        <f>(BudgetAppropData[[#This Row],[President $ Change]]-BudgetAppropData[[#This Row],[FY 2019]])/BudgetAppropData[[#This Row],[FY 2019]]</f>
        <v>-1.56651031064696E-2</v>
      </c>
      <c r="I41" s="7">
        <v>23810</v>
      </c>
      <c r="J41" s="13">
        <f>IFERROR((BudgetAppropData[[#This Row],[House $ Change]]-BudgetAppropData[[#This Row],[FY 2019]])/BudgetAppropData[[#This Row],[FY 2019]], "")</f>
        <v>5.3633064872997613E-2</v>
      </c>
      <c r="K41" s="14"/>
    </row>
    <row r="42" spans="1:11" x14ac:dyDescent="0.2">
      <c r="A42" s="12">
        <v>93.043999999999997</v>
      </c>
      <c r="B42" s="9">
        <v>2020</v>
      </c>
      <c r="C42" s="7" t="s">
        <v>13</v>
      </c>
      <c r="D42" s="7" t="s">
        <v>168</v>
      </c>
      <c r="E42" s="7" t="s">
        <v>184</v>
      </c>
      <c r="F42" s="11">
        <v>385074</v>
      </c>
      <c r="G42" s="11">
        <v>385074</v>
      </c>
      <c r="H42" s="15">
        <v>-2.1999999999999999E-2</v>
      </c>
      <c r="I42" s="11">
        <v>422000</v>
      </c>
      <c r="J42" s="10">
        <f>IFERROR((BudgetAppropData[[#This Row],[House $ Change]]-BudgetAppropData[[#This Row],[FY 2019]])/BudgetAppropData[[#This Row],[FY 2019]], "")</f>
        <v>9.58932568804957E-2</v>
      </c>
      <c r="K42" s="8"/>
    </row>
    <row r="43" spans="1:11" x14ac:dyDescent="0.2">
      <c r="A43" s="12">
        <v>93.045000000000002</v>
      </c>
      <c r="B43" s="9">
        <v>2020</v>
      </c>
      <c r="C43" s="7" t="s">
        <v>13</v>
      </c>
      <c r="D43" s="7" t="s">
        <v>168</v>
      </c>
      <c r="E43" s="7" t="s">
        <v>185</v>
      </c>
      <c r="F43" s="11">
        <v>495342</v>
      </c>
      <c r="G43" s="11">
        <v>495342</v>
      </c>
      <c r="H43" s="10">
        <v>-2.1999999999999999E-2</v>
      </c>
      <c r="I43" s="11">
        <v>525000</v>
      </c>
      <c r="J43" s="10">
        <f>IFERROR((BudgetAppropData[[#This Row],[House $ Change]]-BudgetAppropData[[#This Row],[FY 2019]])/BudgetAppropData[[#This Row],[FY 2019]], "")</f>
        <v>5.9873784173359014E-2</v>
      </c>
      <c r="K43" s="8"/>
    </row>
    <row r="44" spans="1:11" x14ac:dyDescent="0.2">
      <c r="A44" s="12">
        <v>93.994</v>
      </c>
      <c r="B44" s="9">
        <v>2020</v>
      </c>
      <c r="C44" s="7" t="s">
        <v>10</v>
      </c>
      <c r="D44" s="7" t="s">
        <v>158</v>
      </c>
      <c r="E44" s="7" t="s">
        <v>183</v>
      </c>
      <c r="F44" s="7">
        <v>678</v>
      </c>
      <c r="G44" s="7">
        <v>661</v>
      </c>
      <c r="H44" s="10">
        <f>(BudgetAppropData[[#This Row],[President $ Change]]-BudgetAppropData[[#This Row],[FY 2019]])/BudgetAppropData[[#This Row],[FY 2019]]</f>
        <v>-2.5073746312684365E-2</v>
      </c>
      <c r="I44" s="7">
        <v>705</v>
      </c>
      <c r="J44" s="10">
        <f>IFERROR((BudgetAppropData[[#This Row],[House $ Change]]-BudgetAppropData[[#This Row],[FY 2019]])/BudgetAppropData[[#This Row],[FY 2019]], "")</f>
        <v>3.9823008849557522E-2</v>
      </c>
      <c r="K44" s="8"/>
    </row>
    <row r="45" spans="1:11" x14ac:dyDescent="0.2">
      <c r="A45" s="12">
        <v>93.073999999999998</v>
      </c>
      <c r="B45" s="9">
        <v>2020</v>
      </c>
      <c r="C45" s="7" t="s">
        <v>10</v>
      </c>
      <c r="D45" s="7" t="s">
        <v>158</v>
      </c>
      <c r="E45" s="7" t="s">
        <v>182</v>
      </c>
      <c r="F45" s="7">
        <v>265</v>
      </c>
      <c r="G45" s="7">
        <v>258</v>
      </c>
      <c r="H45" s="13">
        <f>(BudgetAppropData[[#This Row],[President $ Change]]-BudgetAppropData[[#This Row],[FY 2019]])/BudgetAppropData[[#This Row],[FY 2019]]</f>
        <v>-2.6415094339622643E-2</v>
      </c>
      <c r="I45" s="7">
        <v>317</v>
      </c>
      <c r="J45" s="13">
        <f>IFERROR((BudgetAppropData[[#This Row],[House $ Change]]-BudgetAppropData[[#This Row],[FY 2019]])/BudgetAppropData[[#This Row],[FY 2019]], "")</f>
        <v>0.19622641509433963</v>
      </c>
      <c r="K45" s="14"/>
    </row>
    <row r="46" spans="1:11" x14ac:dyDescent="0.2">
      <c r="A46" s="12">
        <v>93.116</v>
      </c>
      <c r="B46" s="9">
        <v>2020</v>
      </c>
      <c r="C46" s="7" t="s">
        <v>10</v>
      </c>
      <c r="D46" s="7" t="s">
        <v>168</v>
      </c>
      <c r="E46" s="7" t="s">
        <v>181</v>
      </c>
      <c r="F46" s="11">
        <v>142256</v>
      </c>
      <c r="G46" s="11">
        <v>135034</v>
      </c>
      <c r="H46" s="13">
        <f>(BudgetAppropData[[#This Row],[President $ Change]]-BudgetAppropData[[#This Row],[FY 2019]])/BudgetAppropData[[#This Row],[FY 2019]]</f>
        <v>-5.0767630187830391E-2</v>
      </c>
      <c r="I46" s="11">
        <v>152256</v>
      </c>
      <c r="J46" s="13">
        <f>IFERROR((BudgetAppropData[[#This Row],[House $ Change]]-BudgetAppropData[[#This Row],[FY 2019]])/BudgetAppropData[[#This Row],[FY 2019]], "")</f>
        <v>7.0295804746372731E-2</v>
      </c>
      <c r="K46" s="14"/>
    </row>
    <row r="47" spans="1:11" x14ac:dyDescent="0.2">
      <c r="A47" s="12">
        <v>84.040999999999997</v>
      </c>
      <c r="B47" s="9">
        <v>2020</v>
      </c>
      <c r="C47" s="7" t="s">
        <v>10</v>
      </c>
      <c r="D47" s="7" t="s">
        <v>158</v>
      </c>
      <c r="E47" s="7" t="s">
        <v>180</v>
      </c>
      <c r="F47" s="7">
        <v>1446</v>
      </c>
      <c r="G47" s="7">
        <v>1372</v>
      </c>
      <c r="H47" s="13">
        <f>(BudgetAppropData[[#This Row],[President $ Change]]-BudgetAppropData[[#This Row],[FY 2019]])/BudgetAppropData[[#This Row],[FY 2019]]</f>
        <v>-5.1175656984785614E-2</v>
      </c>
      <c r="I47" s="7">
        <v>1498</v>
      </c>
      <c r="J47" s="13">
        <f>IFERROR((BudgetAppropData[[#This Row],[House $ Change]]-BudgetAppropData[[#This Row],[FY 2019]])/BudgetAppropData[[#This Row],[FY 2019]], "")</f>
        <v>3.5961272475795295E-2</v>
      </c>
      <c r="K47" s="14"/>
    </row>
    <row r="48" spans="1:11" x14ac:dyDescent="0.2">
      <c r="A48" s="12">
        <v>16.738</v>
      </c>
      <c r="B48" s="9">
        <v>2020</v>
      </c>
      <c r="C48" s="7" t="s">
        <v>10</v>
      </c>
      <c r="D48" s="7" t="s">
        <v>158</v>
      </c>
      <c r="E48" s="7" t="s">
        <v>179</v>
      </c>
      <c r="F48" s="7">
        <v>330</v>
      </c>
      <c r="G48" s="7">
        <v>308</v>
      </c>
      <c r="H48" s="13">
        <f>(BudgetAppropData[[#This Row],[President $ Change]]-BudgetAppropData[[#This Row],[FY 2019]])/BudgetAppropData[[#This Row],[FY 2019]]</f>
        <v>-6.6666666666666666E-2</v>
      </c>
      <c r="I48" s="7">
        <v>346</v>
      </c>
      <c r="J48" s="13">
        <f>IFERROR((BudgetAppropData[[#This Row],[House $ Change]]-BudgetAppropData[[#This Row],[FY 2019]])/BudgetAppropData[[#This Row],[FY 2019]], "")</f>
        <v>4.8484848484848485E-2</v>
      </c>
      <c r="K48" s="14"/>
    </row>
    <row r="49" spans="1:11" x14ac:dyDescent="0.2">
      <c r="A49" s="12">
        <v>93.558000000000007</v>
      </c>
      <c r="B49" s="9">
        <v>2020</v>
      </c>
      <c r="C49" s="7" t="s">
        <v>13</v>
      </c>
      <c r="D49" s="7" t="s">
        <v>158</v>
      </c>
      <c r="E49" s="7" t="s">
        <v>178</v>
      </c>
      <c r="F49" s="7">
        <v>16512</v>
      </c>
      <c r="G49" s="7">
        <v>14909</v>
      </c>
      <c r="H49" s="10">
        <f>-0.16</f>
        <v>-0.16</v>
      </c>
      <c r="I49" s="7" t="s">
        <v>12</v>
      </c>
      <c r="J49" s="10" t="str">
        <f>IFERROR((BudgetAppropData[[#This Row],[House $ Change]]-BudgetAppropData[[#This Row],[FY 2019]])/BudgetAppropData[[#This Row],[FY 2019]], "")</f>
        <v/>
      </c>
      <c r="K49" s="8"/>
    </row>
    <row r="50" spans="1:11" x14ac:dyDescent="0.2">
      <c r="A50" s="9">
        <v>14.241</v>
      </c>
      <c r="B50" s="9">
        <v>2020</v>
      </c>
      <c r="C50" s="7" t="s">
        <v>13</v>
      </c>
      <c r="D50" s="7" t="s">
        <v>158</v>
      </c>
      <c r="E50" s="7" t="s">
        <v>177</v>
      </c>
      <c r="F50" s="7">
        <v>393</v>
      </c>
      <c r="G50" s="7">
        <v>330</v>
      </c>
      <c r="H50" s="10">
        <f>(BudgetAppropData[[#This Row],[President $ Change]]-BudgetAppropData[[#This Row],[FY 2019]])/BudgetAppropData[[#This Row],[FY 2019]]</f>
        <v>-0.16030534351145037</v>
      </c>
      <c r="I50" s="7">
        <v>410</v>
      </c>
      <c r="J50" s="10">
        <f>IFERROR((BudgetAppropData[[#This Row],[House $ Change]]-BudgetAppropData[[#This Row],[FY 2019]])/BudgetAppropData[[#This Row],[FY 2019]], "")</f>
        <v>4.3256997455470736E-2</v>
      </c>
      <c r="K50" s="8"/>
    </row>
    <row r="51" spans="1:11" x14ac:dyDescent="0.2">
      <c r="A51" s="12">
        <v>93.052000000000007</v>
      </c>
      <c r="B51" s="9">
        <v>2020</v>
      </c>
      <c r="C51" s="7" t="s">
        <v>13</v>
      </c>
      <c r="D51" s="7" t="s">
        <v>168</v>
      </c>
      <c r="E51" s="7" t="s">
        <v>176</v>
      </c>
      <c r="F51" s="11">
        <v>181186</v>
      </c>
      <c r="G51" s="11">
        <v>150586</v>
      </c>
      <c r="H51" s="10">
        <f>(BudgetAppropData[[#This Row],[President $ Change]]-BudgetAppropData[[#This Row],[FY 2019]])/BudgetAppropData[[#This Row],[FY 2019]]</f>
        <v>-0.1688872208669544</v>
      </c>
      <c r="I51" s="11">
        <v>200000</v>
      </c>
      <c r="J51" s="10">
        <f>IFERROR((BudgetAppropData[[#This Row],[House $ Change]]-BudgetAppropData[[#This Row],[FY 2019]])/BudgetAppropData[[#This Row],[FY 2019]], "")</f>
        <v>0.10383804488205491</v>
      </c>
      <c r="K51" s="8"/>
    </row>
    <row r="52" spans="1:11" x14ac:dyDescent="0.2">
      <c r="A52" s="12">
        <v>97.042000000000002</v>
      </c>
      <c r="B52" s="9">
        <v>2020</v>
      </c>
      <c r="C52" s="7" t="s">
        <v>10</v>
      </c>
      <c r="D52" s="7" t="s">
        <v>158</v>
      </c>
      <c r="E52" s="7" t="s">
        <v>175</v>
      </c>
      <c r="F52" s="7">
        <v>350</v>
      </c>
      <c r="G52" s="7">
        <v>279</v>
      </c>
      <c r="H52" s="13">
        <f>(BudgetAppropData[[#This Row],[President $ Change]]-BudgetAppropData[[#This Row],[FY 2019]])/BudgetAppropData[[#This Row],[FY 2019]]</f>
        <v>-0.20285714285714285</v>
      </c>
      <c r="I52" s="7">
        <v>375</v>
      </c>
      <c r="J52" s="13">
        <f>IFERROR((BudgetAppropData[[#This Row],[House $ Change]]-BudgetAppropData[[#This Row],[FY 2019]])/BudgetAppropData[[#This Row],[FY 2019]], "")</f>
        <v>7.1428571428571425E-2</v>
      </c>
      <c r="K52" s="14"/>
    </row>
    <row r="53" spans="1:11" x14ac:dyDescent="0.2">
      <c r="A53" s="12">
        <v>97.066999999999993</v>
      </c>
      <c r="B53" s="9">
        <v>2020</v>
      </c>
      <c r="C53" s="7" t="s">
        <v>10</v>
      </c>
      <c r="D53" s="7" t="s">
        <v>158</v>
      </c>
      <c r="E53" s="7" t="s">
        <v>174</v>
      </c>
      <c r="F53" s="7">
        <v>425</v>
      </c>
      <c r="G53" s="7">
        <v>332</v>
      </c>
      <c r="H53" s="13">
        <f>(BudgetAppropData[[#This Row],[President $ Change]]-BudgetAppropData[[#This Row],[FY 2019]])/BudgetAppropData[[#This Row],[FY 2019]]</f>
        <v>-0.21882352941176469</v>
      </c>
      <c r="I53" s="7">
        <v>480</v>
      </c>
      <c r="J53" s="13">
        <f>IFERROR((BudgetAppropData[[#This Row],[House $ Change]]-BudgetAppropData[[#This Row],[FY 2019]])/BudgetAppropData[[#This Row],[FY 2019]], "")</f>
        <v>0.12941176470588237</v>
      </c>
      <c r="K53" s="14"/>
    </row>
    <row r="54" spans="1:11" x14ac:dyDescent="0.2">
      <c r="A54" s="12">
        <v>84.001999999999995</v>
      </c>
      <c r="B54" s="9">
        <v>2020</v>
      </c>
      <c r="C54" s="7" t="s">
        <v>10</v>
      </c>
      <c r="D54" s="7" t="s">
        <v>158</v>
      </c>
      <c r="E54" s="7" t="s">
        <v>173</v>
      </c>
      <c r="F54" s="7">
        <v>642</v>
      </c>
      <c r="G54" s="7">
        <v>486</v>
      </c>
      <c r="H54" s="10">
        <f>(BudgetAppropData[[#This Row],[President $ Change]]-BudgetAppropData[[#This Row],[FY 2019]])/BudgetAppropData[[#This Row],[FY 2019]]</f>
        <v>-0.24299065420560748</v>
      </c>
      <c r="I54" s="7">
        <v>672</v>
      </c>
      <c r="J54" s="10">
        <f>IFERROR((BudgetAppropData[[#This Row],[House $ Change]]-BudgetAppropData[[#This Row],[FY 2019]])/BudgetAppropData[[#This Row],[FY 2019]], "")</f>
        <v>4.6728971962616821E-2</v>
      </c>
      <c r="K54" s="8"/>
    </row>
    <row r="55" spans="1:11" x14ac:dyDescent="0.2">
      <c r="A55" s="9">
        <v>14.228</v>
      </c>
      <c r="B55" s="9">
        <v>2020</v>
      </c>
      <c r="C55" s="7" t="s">
        <v>10</v>
      </c>
      <c r="D55" s="7" t="s">
        <v>158</v>
      </c>
      <c r="E55" s="7" t="s">
        <v>159</v>
      </c>
      <c r="F55" s="7">
        <v>988</v>
      </c>
      <c r="G55" s="7">
        <v>0</v>
      </c>
      <c r="H55" s="10">
        <f>(BudgetAppropData[[#This Row],[President $ Change]]-BudgetAppropData[[#This Row],[FY 2019]])/BudgetAppropData[[#This Row],[FY 2019]]</f>
        <v>-1</v>
      </c>
      <c r="I55" s="7">
        <v>1078</v>
      </c>
      <c r="J55" s="10">
        <f>IFERROR((BudgetAppropData[[#This Row],[House $ Change]]-BudgetAppropData[[#This Row],[FY 2019]])/BudgetAppropData[[#This Row],[FY 2019]], "")</f>
        <v>9.1093117408906882E-2</v>
      </c>
      <c r="K55" s="8"/>
    </row>
    <row r="56" spans="1:11" x14ac:dyDescent="0.2">
      <c r="A56" s="9">
        <v>14.239000000000001</v>
      </c>
      <c r="B56" s="9">
        <v>2020</v>
      </c>
      <c r="C56" s="7" t="s">
        <v>10</v>
      </c>
      <c r="D56" s="7" t="s">
        <v>158</v>
      </c>
      <c r="E56" s="7" t="s">
        <v>160</v>
      </c>
      <c r="F56" s="7">
        <v>1250</v>
      </c>
      <c r="G56" s="7">
        <v>0</v>
      </c>
      <c r="H56" s="10">
        <f>(BudgetAppropData[[#This Row],[President $ Change]]-BudgetAppropData[[#This Row],[FY 2019]])/BudgetAppropData[[#This Row],[FY 2019]]</f>
        <v>-1</v>
      </c>
      <c r="I56" s="7">
        <v>1750</v>
      </c>
      <c r="J56" s="10">
        <f>IFERROR((BudgetAppropData[[#This Row],[House $ Change]]-BudgetAppropData[[#This Row],[FY 2019]])/BudgetAppropData[[#This Row],[FY 2019]], "")</f>
        <v>0.4</v>
      </c>
      <c r="K56" s="8"/>
    </row>
    <row r="57" spans="1:11" x14ac:dyDescent="0.2">
      <c r="A57" s="12">
        <v>16.606000000000002</v>
      </c>
      <c r="B57" s="9">
        <v>2020</v>
      </c>
      <c r="C57" s="7" t="s">
        <v>10</v>
      </c>
      <c r="D57" s="7" t="s">
        <v>158</v>
      </c>
      <c r="E57" s="7" t="s">
        <v>161</v>
      </c>
      <c r="F57" s="7">
        <v>244</v>
      </c>
      <c r="G57" s="7">
        <v>0</v>
      </c>
      <c r="H57" s="13">
        <f>(BudgetAppropData[[#This Row],[President $ Change]]-BudgetAppropData[[#This Row],[FY 2019]])/BudgetAppropData[[#This Row],[FY 2019]]</f>
        <v>-1</v>
      </c>
      <c r="I57" s="7">
        <v>260</v>
      </c>
      <c r="J57" s="13">
        <f>IFERROR((BudgetAppropData[[#This Row],[House $ Change]]-BudgetAppropData[[#This Row],[FY 2019]])/BudgetAppropData[[#This Row],[FY 2019]], "")</f>
        <v>6.5573770491803282E-2</v>
      </c>
      <c r="K57" s="14"/>
    </row>
    <row r="58" spans="1:11" x14ac:dyDescent="0.2">
      <c r="A58" s="12">
        <v>84.287000000000006</v>
      </c>
      <c r="B58" s="9">
        <v>2020</v>
      </c>
      <c r="C58" s="7" t="s">
        <v>10</v>
      </c>
      <c r="D58" s="7" t="s">
        <v>158</v>
      </c>
      <c r="E58" s="7" t="s">
        <v>162</v>
      </c>
      <c r="F58" s="7">
        <v>1222</v>
      </c>
      <c r="G58" s="7">
        <v>0</v>
      </c>
      <c r="H58" s="10">
        <f>(BudgetAppropData[[#This Row],[President $ Change]]-BudgetAppropData[[#This Row],[FY 2019]])/BudgetAppropData[[#This Row],[FY 2019]]</f>
        <v>-1</v>
      </c>
      <c r="I58" s="7">
        <v>1322</v>
      </c>
      <c r="J58" s="10">
        <f>IFERROR((BudgetAppropData[[#This Row],[House $ Change]]-BudgetAppropData[[#This Row],[FY 2019]])/BudgetAppropData[[#This Row],[FY 2019]], "")</f>
        <v>8.1833060556464818E-2</v>
      </c>
      <c r="K58" s="8"/>
    </row>
    <row r="59" spans="1:11" x14ac:dyDescent="0.2">
      <c r="A59" s="12">
        <v>84.367000000000004</v>
      </c>
      <c r="B59" s="9">
        <v>2020</v>
      </c>
      <c r="C59" s="7" t="s">
        <v>10</v>
      </c>
      <c r="D59" s="7" t="s">
        <v>158</v>
      </c>
      <c r="E59" s="7" t="s">
        <v>163</v>
      </c>
      <c r="F59" s="7">
        <v>2056</v>
      </c>
      <c r="G59" s="7">
        <v>0</v>
      </c>
      <c r="H59" s="13">
        <f>(BudgetAppropData[[#This Row],[President $ Change]]-BudgetAppropData[[#This Row],[FY 2019]])/BudgetAppropData[[#This Row],[FY 2019]]</f>
        <v>-1</v>
      </c>
      <c r="I59" s="7">
        <v>2556</v>
      </c>
      <c r="J59" s="13">
        <f>IFERROR((BudgetAppropData[[#This Row],[House $ Change]]-BudgetAppropData[[#This Row],[FY 2019]])/BudgetAppropData[[#This Row],[FY 2019]], "")</f>
        <v>0.24319066147859922</v>
      </c>
      <c r="K59" s="14"/>
    </row>
    <row r="60" spans="1:11" x14ac:dyDescent="0.2">
      <c r="A60" s="12">
        <v>93.567999999999998</v>
      </c>
      <c r="B60" s="9">
        <v>2020</v>
      </c>
      <c r="C60" s="7" t="s">
        <v>13</v>
      </c>
      <c r="D60" s="7" t="s">
        <v>158</v>
      </c>
      <c r="E60" s="7" t="s">
        <v>164</v>
      </c>
      <c r="F60" s="7">
        <v>3690</v>
      </c>
      <c r="G60" s="7">
        <v>0</v>
      </c>
      <c r="H60" s="13">
        <f>(BudgetAppropData[[#This Row],[President $ Change]]-BudgetAppropData[[#This Row],[FY 2019]])/BudgetAppropData[[#This Row],[FY 2019]]</f>
        <v>-1</v>
      </c>
      <c r="I60" s="7">
        <v>3840</v>
      </c>
      <c r="J60" s="13">
        <f>IFERROR((BudgetAppropData[[#This Row],[House $ Change]]-BudgetAppropData[[#This Row],[FY 2019]])/BudgetAppropData[[#This Row],[FY 2019]], "")</f>
        <v>4.065040650406504E-2</v>
      </c>
      <c r="K60" s="14"/>
    </row>
    <row r="61" spans="1:11" x14ac:dyDescent="0.2">
      <c r="A61" s="12">
        <v>93.569000000000003</v>
      </c>
      <c r="B61" s="9">
        <v>2020</v>
      </c>
      <c r="C61" s="7" t="s">
        <v>13</v>
      </c>
      <c r="D61" s="7" t="s">
        <v>158</v>
      </c>
      <c r="E61" s="7" t="s">
        <v>165</v>
      </c>
      <c r="F61" s="7">
        <v>725</v>
      </c>
      <c r="G61" s="7">
        <v>0</v>
      </c>
      <c r="H61" s="10">
        <f>(BudgetAppropData[[#This Row],[President $ Change]]-BudgetAppropData[[#This Row],[FY 2019]])/BudgetAppropData[[#This Row],[FY 2019]]</f>
        <v>-1</v>
      </c>
      <c r="I61" s="7">
        <v>760</v>
      </c>
      <c r="J61" s="10">
        <f>IFERROR((BudgetAppropData[[#This Row],[House $ Change]]-BudgetAppropData[[#This Row],[FY 2019]])/BudgetAppropData[[#This Row],[FY 2019]], "")</f>
        <v>4.8275862068965517E-2</v>
      </c>
      <c r="K61" s="8"/>
    </row>
    <row r="62" spans="1:11" x14ac:dyDescent="0.2">
      <c r="A62" s="12">
        <v>93.667000000000002</v>
      </c>
      <c r="B62" s="9">
        <v>2020</v>
      </c>
      <c r="C62" s="7" t="s">
        <v>13</v>
      </c>
      <c r="D62" s="7" t="s">
        <v>158</v>
      </c>
      <c r="E62" s="7" t="s">
        <v>166</v>
      </c>
      <c r="F62" s="7">
        <v>1595</v>
      </c>
      <c r="G62" s="7">
        <v>0</v>
      </c>
      <c r="H62" s="10">
        <f>(BudgetAppropData[[#This Row],[President $ Change]]-BudgetAppropData[[#This Row],[FY 2019]])/BudgetAppropData[[#This Row],[FY 2019]]</f>
        <v>-1</v>
      </c>
      <c r="I62" s="7">
        <v>1600</v>
      </c>
      <c r="J62" s="10">
        <f>IFERROR((BudgetAppropData[[#This Row],[House $ Change]]-BudgetAppropData[[#This Row],[FY 2019]])/BudgetAppropData[[#This Row],[FY 2019]], "")</f>
        <v>3.134796238244514E-3</v>
      </c>
      <c r="K62" s="8"/>
    </row>
    <row r="63" spans="1:11" x14ac:dyDescent="0.2">
      <c r="A63" s="12">
        <v>97.024000000000001</v>
      </c>
      <c r="B63" s="9">
        <v>2020</v>
      </c>
      <c r="C63" s="7" t="s">
        <v>10</v>
      </c>
      <c r="D63" s="7" t="s">
        <v>158</v>
      </c>
      <c r="E63" s="7" t="s">
        <v>167</v>
      </c>
      <c r="F63" s="7">
        <v>120</v>
      </c>
      <c r="G63" s="7">
        <v>0</v>
      </c>
      <c r="H63" s="10">
        <f>(BudgetAppropData[[#This Row],[President $ Change]]-BudgetAppropData[[#This Row],[FY 2019]])/BudgetAppropData[[#This Row],[FY 2019]]</f>
        <v>-1</v>
      </c>
      <c r="I63" s="7">
        <v>130</v>
      </c>
      <c r="J63" s="10">
        <f>IFERROR((BudgetAppropData[[#This Row],[House $ Change]]-BudgetAppropData[[#This Row],[FY 2019]])/BudgetAppropData[[#This Row],[FY 2019]], "")</f>
        <v>8.3333333333333329E-2</v>
      </c>
      <c r="K63" s="8"/>
    </row>
    <row r="64" spans="1:11" x14ac:dyDescent="0.2">
      <c r="A64" s="12">
        <v>93.126999999999995</v>
      </c>
      <c r="B64" s="9">
        <v>2020</v>
      </c>
      <c r="C64" s="7" t="s">
        <v>10</v>
      </c>
      <c r="D64" s="7" t="s">
        <v>168</v>
      </c>
      <c r="E64" s="7" t="s">
        <v>169</v>
      </c>
      <c r="F64" s="11">
        <v>22334</v>
      </c>
      <c r="G64" s="11">
        <v>0</v>
      </c>
      <c r="H64" s="13">
        <f>(BudgetAppropData[[#This Row],[President $ Change]]-BudgetAppropData[[#This Row],[FY 2019]])/BudgetAppropData[[#This Row],[FY 2019]]</f>
        <v>-1</v>
      </c>
      <c r="I64" s="11">
        <v>22334</v>
      </c>
      <c r="J64" s="13">
        <f>IFERROR((BudgetAppropData[[#This Row],[House $ Change]]-BudgetAppropData[[#This Row],[FY 2019]])/BudgetAppropData[[#This Row],[FY 2019]], "")</f>
        <v>0</v>
      </c>
      <c r="K64" s="14"/>
    </row>
    <row r="65" spans="1:11" x14ac:dyDescent="0.2">
      <c r="A65" s="12">
        <v>93.57</v>
      </c>
      <c r="B65" s="9">
        <v>2020</v>
      </c>
      <c r="C65" s="7" t="s">
        <v>13</v>
      </c>
      <c r="D65" s="7" t="s">
        <v>168</v>
      </c>
      <c r="E65" s="7" t="s">
        <v>170</v>
      </c>
      <c r="F65" s="11">
        <v>28883</v>
      </c>
      <c r="G65" s="11">
        <v>0</v>
      </c>
      <c r="H65" s="13">
        <f>(BudgetAppropData[[#This Row],[President $ Change]]-BudgetAppropData[[#This Row],[FY 2019]])/BudgetAppropData[[#This Row],[FY 2019]]</f>
        <v>-1</v>
      </c>
      <c r="I65" s="11">
        <v>36000</v>
      </c>
      <c r="J65" s="13">
        <f>IFERROR((BudgetAppropData[[#This Row],[House $ Change]]-BudgetAppropData[[#This Row],[FY 2019]])/BudgetAppropData[[#This Row],[FY 2019]], "")</f>
        <v>0.24640792161479072</v>
      </c>
      <c r="K65" s="14"/>
    </row>
    <row r="66" spans="1:11" x14ac:dyDescent="0.2">
      <c r="A66" s="12">
        <v>17.234999999999999</v>
      </c>
      <c r="B66" s="9">
        <v>2020</v>
      </c>
      <c r="C66" s="7" t="s">
        <v>13</v>
      </c>
      <c r="E66" s="7" t="s">
        <v>171</v>
      </c>
      <c r="F66" s="11" t="s">
        <v>172</v>
      </c>
      <c r="G66" s="11" t="s">
        <v>172</v>
      </c>
      <c r="H66" s="10">
        <v>-1</v>
      </c>
      <c r="I66" s="11" t="s">
        <v>172</v>
      </c>
      <c r="J66" s="10" t="str">
        <f>IFERROR((BudgetAppropData[[#This Row],[House $ Change]]-BudgetAppropData[[#This Row],[FY 2019]])/BudgetAppropData[[#This Row],[FY 2019]], "")</f>
        <v/>
      </c>
      <c r="K66" s="8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EBBE9-47AB-45A8-82E8-717C4A56E9DC}">
  <sheetPr codeName="Sheet3"/>
  <dimension ref="A2:W374"/>
  <sheetViews>
    <sheetView topLeftCell="H1" zoomScale="80" zoomScaleNormal="80" workbookViewId="0">
      <selection activeCell="E8" sqref="E8"/>
    </sheetView>
  </sheetViews>
  <sheetFormatPr defaultRowHeight="15" x14ac:dyDescent="0.25"/>
  <cols>
    <col min="1" max="1" width="54" customWidth="1"/>
    <col min="6" max="8" width="11.85546875" customWidth="1"/>
    <col min="9" max="9" width="13.42578125" customWidth="1"/>
    <col min="11" max="11" width="19.42578125" customWidth="1"/>
    <col min="12" max="12" width="74.7109375" bestFit="1" customWidth="1"/>
    <col min="14" max="14" width="20.7109375" bestFit="1" customWidth="1"/>
    <col min="15" max="15" width="14.5703125" bestFit="1" customWidth="1"/>
    <col min="16" max="16" width="12.28515625" bestFit="1" customWidth="1"/>
    <col min="18" max="18" width="13" bestFit="1" customWidth="1"/>
    <col min="19" max="19" width="111" customWidth="1"/>
    <col min="23" max="23" width="13.7109375" bestFit="1" customWidth="1"/>
  </cols>
  <sheetData>
    <row r="2" spans="1:23" x14ac:dyDescent="0.25">
      <c r="A2" t="s">
        <v>145</v>
      </c>
      <c r="F2" t="s">
        <v>249</v>
      </c>
      <c r="G2" t="s">
        <v>252</v>
      </c>
      <c r="I2" t="s">
        <v>252</v>
      </c>
      <c r="K2" t="s">
        <v>149</v>
      </c>
      <c r="L2" t="s">
        <v>150</v>
      </c>
      <c r="N2" s="3" t="s">
        <v>152</v>
      </c>
      <c r="O2" t="str">
        <f>SelectMemberOrgs</f>
        <v>UNIVERSITY SETTLEMENT SOCIETY OF NEW YORK, INC</v>
      </c>
      <c r="R2" s="75" t="s">
        <v>273</v>
      </c>
      <c r="S2" s="75"/>
    </row>
    <row r="3" spans="1:23" x14ac:dyDescent="0.25">
      <c r="A3" t="s">
        <v>146</v>
      </c>
      <c r="B3">
        <f>ROW(MemberOrgsData[#All])</f>
        <v>1</v>
      </c>
      <c r="F3" s="4">
        <f>IFERROR(INDEX(MemberOrgsData[AUDITYEAR], MATCH(0, INDEX(COUNTIF(F$2:F2, MemberOrgsData[AUDITYEAR]),),0)), "")</f>
        <v>2018</v>
      </c>
      <c r="G3" s="31">
        <f>IFERROR(INDEX(BudgetAppropData[Fiscal Year], MATCH(0, INDEX(COUNTIF(G$2:G2, BudgetAppropData[Fiscal Year]),),0)),"")</f>
        <v>2020</v>
      </c>
      <c r="H3" s="31"/>
      <c r="I3" s="31">
        <f>IFERROR(INDEX(BudgetAppropData[Fiscal Year], MATCH(0, INDEX(COUNTIF(I$2:I2, BudgetAppropData[Fiscal Year]),),0)),"")</f>
        <v>2020</v>
      </c>
      <c r="K3">
        <f>COUNTIF(MemberOrgs[], "*")</f>
        <v>271</v>
      </c>
      <c r="L3" t="str">
        <f t="array" ref="L3">IFERROR(INDEX(MemberOrgsData[Auditee Name], MATCH(0, INDEX(COUNTIF($L$2:L2, MemberOrgsData[Auditee Name]),)+IF(MemberOrgsData[AUDITYEAR] &lt;&gt; SelectFiscalYear, 1, 0),0)), "")</f>
        <v>ABBOTT HOUSE</v>
      </c>
      <c r="N3" t="s">
        <v>250</v>
      </c>
      <c r="O3">
        <f>SelectFiscalYear</f>
        <v>2018</v>
      </c>
      <c r="R3" s="29" t="s">
        <v>244</v>
      </c>
      <c r="S3">
        <f>COUNT(MemberOrgFinalSort[FY 2018 Total])</f>
        <v>9</v>
      </c>
    </row>
    <row r="4" spans="1:23" x14ac:dyDescent="0.25">
      <c r="A4" t="s">
        <v>147</v>
      </c>
      <c r="B4">
        <f>ROWS(MemberOrgsData[#All])-1</f>
        <v>368</v>
      </c>
      <c r="H4" s="31"/>
      <c r="I4" s="31"/>
      <c r="L4" t="str">
        <f t="array" ref="L4">IFERROR(INDEX(MemberOrgsData[Auditee Name], MATCH(0, INDEX(COUNTIF($L$2:L3, MemberOrgsData[Auditee Name]),)+IF(MemberOrgsData[AUDITYEAR] &lt;&gt; SelectFiscalYear, 1, 0),0)), "")</f>
        <v>AFRO-AMERICAN PARENTS EDUCATIONAL CENTER, INC</v>
      </c>
      <c r="N4" t="s">
        <v>253</v>
      </c>
      <c r="O4">
        <f>SelectBudgetYear</f>
        <v>2020</v>
      </c>
      <c r="R4" t="s">
        <v>245</v>
      </c>
      <c r="S4" t="str">
        <f>MemberOrgs_FilteredSortedTbl!P4</f>
        <v>CHILD AND ADULT CARE FOOD PROGRAM</v>
      </c>
      <c r="U4" t="s">
        <v>261</v>
      </c>
      <c r="V4" t="str">
        <f>INDEX(MemberOrgFinalSort[Grant Name], MATCH($S$4, MemberOrgFinalSort[Grant Name], 0)):INDEX(MemberOrgFinalSort[Grant Name], MATCH($S$5, MemberOrgFinalSort[Grant Name], 0))</f>
        <v>CHILD AND ADULT CARE FOOD PROGRAM</v>
      </c>
    </row>
    <row r="5" spans="1:23" x14ac:dyDescent="0.25">
      <c r="H5" s="31"/>
      <c r="I5" s="31"/>
      <c r="L5" t="str">
        <f t="array" ref="L5">IFERROR(INDEX(MemberOrgsData[Auditee Name], MATCH(0, INDEX(COUNTIF($L$2:L4, MemberOrgsData[Auditee Name]),)+IF(MemberOrgsData[AUDITYEAR] &lt;&gt; SelectFiscalYear, 1, 0),0)), "")</f>
        <v>AIDS SERVICE CENTER OF LOWER MANHATTAN INC DBA AIDS SERVICE CENTER NYC</v>
      </c>
      <c r="N5" t="s">
        <v>270</v>
      </c>
      <c r="O5" t="str">
        <f>IF(Q5 &lt;7, TEXT(ROUND(P5, -3)/1000, "$#")&amp;" "&amp;"Thousand", TEXT(ROUND(P5, -5)/1000000, "$#.0")&amp;" "&amp;"Million")</f>
        <v>$8.1 Million</v>
      </c>
      <c r="P5" s="32">
        <f>'FPWA Member Grants'!I9</f>
        <v>8093670</v>
      </c>
      <c r="Q5">
        <f>LEN(P5)</f>
        <v>7</v>
      </c>
      <c r="R5" t="s">
        <v>246</v>
      </c>
      <c r="S5" t="str">
        <f>INDEX(MemberOrgFinalSort[Grant Name], S3)</f>
        <v>COMMUNITY DEVELOPMENT BLOCK GRANT</v>
      </c>
      <c r="U5" t="s">
        <v>259</v>
      </c>
      <c r="V5">
        <f>INDEX(MemberOrgFinalSort[President $ Change], MATCH($S$4, MemberOrgFinalSort[Grant Name], 0)):INDEX(MemberOrgFinalSort[President $ Change], MATCH($S$5, MemberOrgFinalSort[Grant Name], 0))</f>
        <v>-0.17168221204605516</v>
      </c>
      <c r="W5">
        <f>INDEX(MemberOrgFinalSort[President % Change], MATCH($S$4, MemberOrgFinalSort[Grant Name], 0)):INDEX(MemberOrgFinalSort[President % Change], MATCH($S$5, MemberOrgFinalSort[Grant Name], 0))</f>
        <v>-6.2473058493524672E-6</v>
      </c>
    </row>
    <row r="6" spans="1:23" x14ac:dyDescent="0.25">
      <c r="A6" t="s">
        <v>224</v>
      </c>
      <c r="B6" t="s">
        <v>225</v>
      </c>
      <c r="C6" t="s">
        <v>238</v>
      </c>
      <c r="H6" s="31"/>
      <c r="I6" s="31"/>
      <c r="L6" t="str">
        <f t="array" ref="L6">IFERROR(INDEX(MemberOrgsData[Auditee Name], MATCH(0, INDEX(COUNTIF($L$2:L5, MemberOrgsData[Auditee Name]),)+IF(MemberOrgsData[AUDITYEAR] &lt;&gt; SelectFiscalYear, 1, 0),0)), "")</f>
        <v>ARGUS COMMUNITY, INC</v>
      </c>
      <c r="N6" t="s">
        <v>271</v>
      </c>
      <c r="O6" t="str">
        <f>IF('FPWA Member Grants'!I10&lt;0, "Cut", "Increase")</f>
        <v>Cut</v>
      </c>
      <c r="R6" s="30" t="s">
        <v>247</v>
      </c>
      <c r="S6" t="str">
        <f xml:space="preserve"> CONCATENATE("President Trump's Budget Would ",O6," the Federal Grants That ",O2, " Relies On By ",P8, ", or, ", O7)</f>
        <v>President Trump's Budget Would Cut the Federal Grants That UNIVERSITY SETTLEMENT SOCIETY OF NEW YORK, INC Relies On By 8%, or, $621 Thousand</v>
      </c>
      <c r="U6" t="s">
        <v>260</v>
      </c>
      <c r="V6">
        <f>INDEX(MemberOrgFinalSort[House $ Change], MATCH($S$4, MemberOrgFinalSort[Grant Name], 0)):INDEX(MemberOrgFinalSort[House $ Change], MATCH($S$5, MemberOrgFinalSort[Grant Name], 0))</f>
        <v>2320.2288842860085</v>
      </c>
      <c r="W6">
        <f>INDEX(MemberOrgFinalSort[House % Change], MATCH($S$4, MemberOrgFinalSort[Grant Name], 0)):INDEX(MemberOrgFinalSort[House % Change], MATCH($S$5, MemberOrgFinalSort[Grant Name], 0))</f>
        <v>5.9873784173359014E-2</v>
      </c>
    </row>
    <row r="7" spans="1:23" x14ac:dyDescent="0.25">
      <c r="A7">
        <v>1</v>
      </c>
      <c r="B7">
        <f>IF($A7 &gt; MemberOrgs_NumRow, "", IFERROR(IF(SelectMemberOrgs = "*", $A7, _xlfn.AGGREGATE(15, 6, (1/(MemberOrgsData[Auditee Name] = SelectMemberOrgs))*ROW(MemberOrgsData[Auditee Name])*(1/(MemberOrgsData[AUDITYEAR] = SelectFiscalYear))*(MemberOrgsData[AUDITYEAR] = SelectFiscalYear), $A7)-MemberOrgs_TopRow), ""))</f>
        <v>351</v>
      </c>
      <c r="C7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H7" s="31"/>
      <c r="I7" s="31"/>
      <c r="L7" t="str">
        <f t="array" ref="L7">IFERROR(INDEX(MemberOrgsData[Auditee Name], MATCH(0, INDEX(COUNTIF($L$2:L6, MemberOrgsData[Auditee Name]),)+IF(MemberOrgsData[AUDITYEAR] &lt;&gt; SelectFiscalYear, 1, 0),0)), "")</f>
        <v>BAILEY HOUSE, INC. &amp; BAILEY-HOLT HOUSE HDFC</v>
      </c>
      <c r="N7" t="s">
        <v>228</v>
      </c>
      <c r="O7" t="str">
        <f>IF(Q7 &lt;7, TEXT(ROUND(P7, -3)/1000, "$#")&amp;" "&amp;"Thousand", TEXT(ROUND(P7, -5)/1000000, "$#.0")&amp;" "&amp;"Million")</f>
        <v>$621 Thousand</v>
      </c>
      <c r="P7" t="str">
        <f>IF('FPWA Member Grants'!I10 &lt; 0, TEXT(('FPWA Member Grants'!I10*-1), "0"), TEXT('FPWA Member Grants'!I10, "0"))</f>
        <v>620903</v>
      </c>
      <c r="Q7">
        <f>LEN(P7)</f>
        <v>6</v>
      </c>
      <c r="R7" t="s">
        <v>294</v>
      </c>
      <c r="S7" s="72" t="s">
        <v>295</v>
      </c>
    </row>
    <row r="8" spans="1:23" x14ac:dyDescent="0.25">
      <c r="A8">
        <v>2</v>
      </c>
      <c r="B8">
        <f>IF($A8 &gt; MemberOrgs_NumRow, "", IFERROR(IF(SelectMemberOrgs = "*", $A8, _xlfn.AGGREGATE(15, 6, (1/(MemberOrgsData[Auditee Name] = SelectMemberOrgs))*ROW(MemberOrgsData[Auditee Name])*(1/(MemberOrgsData[AUDITYEAR] = SelectFiscalYear))*(MemberOrgsData[AUDITYEAR] = SelectFiscalYear), $A8)-MemberOrgs_TopRow), ""))</f>
        <v>352</v>
      </c>
      <c r="C8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H8" s="31"/>
      <c r="I8" s="31"/>
      <c r="L8" t="str">
        <f t="array" ref="L8">IFERROR(INDEX(MemberOrgsData[Auditee Name], MATCH(0, INDEX(COUNTIF($L$2:L7, MemberOrgsData[Auditee Name]),)+IF(MemberOrgsData[AUDITYEAR] &lt;&gt; SelectFiscalYear, 1, 0),0)), "")</f>
        <v>BRONXDALE TENANTS LEAGUE DCC, INC.</v>
      </c>
      <c r="N8" t="s">
        <v>239</v>
      </c>
      <c r="O8" s="21">
        <f>IF('FPWA Member Grants'!I11&lt; 0, 'FPWA Member Grants'!I11*-1, 'FPWA Member Grants'!I11)</f>
        <v>7.6714633215899566E-2</v>
      </c>
      <c r="P8" t="str">
        <f>TEXT(O8, "#%")</f>
        <v>8%</v>
      </c>
      <c r="R8" s="75" t="s">
        <v>266</v>
      </c>
      <c r="S8" s="75"/>
    </row>
    <row r="9" spans="1:23" x14ac:dyDescent="0.25">
      <c r="A9">
        <v>3</v>
      </c>
      <c r="B9">
        <f>IF($A9 &gt; MemberOrgs_NumRow, "", IFERROR(IF(SelectMemberOrgs = "*", $A9, _xlfn.AGGREGATE(15, 6, (1/(MemberOrgsData[Auditee Name] = SelectMemberOrgs))*ROW(MemberOrgsData[Auditee Name])*(1/(MemberOrgsData[AUDITYEAR] = SelectFiscalYear))*(MemberOrgsData[AUDITYEAR] = SelectFiscalYear), $A9)-MemberOrgs_TopRow), ""))</f>
        <v>353</v>
      </c>
      <c r="C9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H9" s="31"/>
      <c r="I9" s="31"/>
      <c r="L9" t="str">
        <f t="array" ref="L9">IFERROR(INDEX(MemberOrgsData[Auditee Name], MATCH(0, INDEX(COUNTIF($L$2:L8, MemberOrgsData[Auditee Name]),)+IF(MemberOrgsData[AUDITYEAR] &lt;&gt; SelectFiscalYear, 1, 0),0)), "")</f>
        <v>BROOKLYN KINDERGARTEN SOCIETY</v>
      </c>
      <c r="R9" s="29" t="s">
        <v>244</v>
      </c>
      <c r="S9">
        <f>COUNT(ImpactTable[FY 2018 Total])</f>
        <v>14</v>
      </c>
    </row>
    <row r="10" spans="1:23" x14ac:dyDescent="0.25">
      <c r="A10">
        <v>4</v>
      </c>
      <c r="B10">
        <f>IF($A10 &gt; MemberOrgs_NumRow, "", IFERROR(IF(SelectMemberOrgs = "*", $A10, _xlfn.AGGREGATE(15, 6, (1/(MemberOrgsData[Auditee Name] = SelectMemberOrgs))*ROW(MemberOrgsData[Auditee Name])*(1/(MemberOrgsData[AUDITYEAR] = SelectFiscalYear))*(MemberOrgsData[AUDITYEAR] = SelectFiscalYear), $A10)-MemberOrgs_TopRow), ""))</f>
        <v>354</v>
      </c>
      <c r="C10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H10" s="31"/>
      <c r="I10" s="31"/>
      <c r="L10" t="str">
        <f t="array" ref="L10">IFERROR(INDEX(MemberOrgsData[Auditee Name], MATCH(0, INDEX(COUNTIF($L$2:L9, MemberOrgsData[Auditee Name]),)+IF(MemberOrgsData[AUDITYEAR] &lt;&gt; SelectFiscalYear, 1, 0),0)), "")</f>
        <v>CENTER FOR THE ELIMINATION OF VIOLENCE IN THE FAMILY, INC</v>
      </c>
      <c r="R10" s="33" t="s">
        <v>245</v>
      </c>
      <c r="S10" t="str">
        <f>'FPWA Member Grants'!C9</f>
        <v>CHILD AND ADULT CARE FOOD PROGRAM</v>
      </c>
      <c r="T10" t="str">
        <f>INDEX(ImpactTable[Grant Name], MATCH($S$10, ImpactTable[Grant Name], 0)):INDEX(ImpactTable[Grant Name], MATCH($S$11, ImpactTable[Grant Name], 0))</f>
        <v>HEAD START</v>
      </c>
    </row>
    <row r="11" spans="1:23" x14ac:dyDescent="0.25">
      <c r="A11">
        <v>5</v>
      </c>
      <c r="B11">
        <f>IF($A11 &gt; MemberOrgs_NumRow, "", IFERROR(IF(SelectMemberOrgs = "*", $A11, _xlfn.AGGREGATE(15, 6, (1/(MemberOrgsData[Auditee Name] = SelectMemberOrgs))*ROW(MemberOrgsData[Auditee Name])*(1/(MemberOrgsData[AUDITYEAR] = SelectFiscalYear))*(MemberOrgsData[AUDITYEAR] = SelectFiscalYear), $A11)-MemberOrgs_TopRow), ""))</f>
        <v>355</v>
      </c>
      <c r="C11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>355</v>
      </c>
      <c r="H11" s="31"/>
      <c r="I11" s="31"/>
      <c r="L11" t="str">
        <f t="array" ref="L11">IFERROR(INDEX(MemberOrgsData[Auditee Name], MATCH(0, INDEX(COUNTIF($L$2:L10, MemberOrgsData[Auditee Name]),)+IF(MemberOrgsData[AUDITYEAR] &lt;&gt; SelectFiscalYear, 1, 0),0)), "")</f>
        <v>CHINESE-AMERICAN PLANNING COUNCIL</v>
      </c>
      <c r="R11" t="s">
        <v>246</v>
      </c>
      <c r="S11" t="str">
        <f>INDEX(ImpactTable[Grant Name], S9)</f>
        <v>SOCIAL INNOVATION FUND</v>
      </c>
      <c r="T11">
        <f>INDEX(ImpactTable[FY 2018 Total], MATCH($S$10, ImpactTable[Grant Name], 0)):INDEX(ImpactTable[FY 2018 Total], MATCH($S$11, ImpactTable[Grant Name], 0))</f>
        <v>27481</v>
      </c>
    </row>
    <row r="12" spans="1:23" x14ac:dyDescent="0.25">
      <c r="A12">
        <v>6</v>
      </c>
      <c r="B12">
        <f>IF($A12 &gt; MemberOrgs_NumRow, "", IFERROR(IF(SelectMemberOrgs = "*", $A12, _xlfn.AGGREGATE(15, 6, (1/(MemberOrgsData[Auditee Name] = SelectMemberOrgs))*ROW(MemberOrgsData[Auditee Name])*(1/(MemberOrgsData[AUDITYEAR] = SelectFiscalYear))*(MemberOrgsData[AUDITYEAR] = SelectFiscalYear), $A12)-MemberOrgs_TopRow), ""))</f>
        <v>356</v>
      </c>
      <c r="C12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>356</v>
      </c>
      <c r="H12" s="31"/>
      <c r="I12" s="31"/>
      <c r="L12" t="str">
        <f t="array" ref="L12">IFERROR(INDEX(MemberOrgsData[Auditee Name], MATCH(0, INDEX(COUNTIF($L$2:L11, MemberOrgsData[Auditee Name]),)+IF(MemberOrgsData[AUDITYEAR] &lt;&gt; SelectFiscalYear, 1, 0),0)), "")</f>
        <v>CLIFFORD GLOVER DAY CARE CENTER, INC.</v>
      </c>
      <c r="R12" s="30" t="s">
        <v>247</v>
      </c>
      <c r="S12" t="str">
        <f>CONCATENATE(O2," Relies on ", O5, " From ", S9, " Federal Grants")</f>
        <v>UNIVERSITY SETTLEMENT SOCIETY OF NEW YORK, INC Relies on $8.1 Million From 14 Federal Grants</v>
      </c>
    </row>
    <row r="13" spans="1:23" x14ac:dyDescent="0.25">
      <c r="A13">
        <v>7</v>
      </c>
      <c r="B13">
        <f>IF($A13 &gt; MemberOrgs_NumRow, "", IFERROR(IF(SelectMemberOrgs = "*", $A13, _xlfn.AGGREGATE(15, 6, (1/(MemberOrgsData[Auditee Name] = SelectMemberOrgs))*ROW(MemberOrgsData[Auditee Name])*(1/(MemberOrgsData[AUDITYEAR] = SelectFiscalYear))*(MemberOrgsData[AUDITYEAR] = SelectFiscalYear), $A13)-MemberOrgs_TopRow), ""))</f>
        <v>357</v>
      </c>
      <c r="C13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>357</v>
      </c>
      <c r="H13" s="31"/>
      <c r="L13" t="str">
        <f t="array" ref="L13">IFERROR(INDEX(MemberOrgsData[Auditee Name], MATCH(0, INDEX(COUNTIF($L$2:L12, MemberOrgsData[Auditee Name]),)+IF(MemberOrgsData[AUDITYEAR] &lt;&gt; SelectFiscalYear, 1, 0),0)), "")</f>
        <v>COMMUNITY LIFE CENTER INC</v>
      </c>
    </row>
    <row r="14" spans="1:23" x14ac:dyDescent="0.25">
      <c r="A14">
        <v>8</v>
      </c>
      <c r="B14">
        <f>IF($A14 &gt; MemberOrgs_NumRow, "", IFERROR(IF(SelectMemberOrgs = "*", $A14, _xlfn.AGGREGATE(15, 6, (1/(MemberOrgsData[Auditee Name] = SelectMemberOrgs))*ROW(MemberOrgsData[Auditee Name])*(1/(MemberOrgsData[AUDITYEAR] = SelectFiscalYear))*(MemberOrgsData[AUDITYEAR] = SelectFiscalYear), $A14)-MemberOrgs_TopRow), ""))</f>
        <v>358</v>
      </c>
      <c r="C14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>358</v>
      </c>
      <c r="H14" s="31"/>
      <c r="L14" t="str">
        <f t="array" ref="L14">IFERROR(INDEX(MemberOrgsData[Auditee Name], MATCH(0, INDEX(COUNTIF($L$2:L13, MemberOrgsData[Auditee Name]),)+IF(MemberOrgsData[AUDITYEAR] &lt;&gt; SelectFiscalYear, 1, 0),0)), "")</f>
        <v>CYPRESS HILLS LOCAL DEVELOPMENT CORPORATION</v>
      </c>
    </row>
    <row r="15" spans="1:23" x14ac:dyDescent="0.25">
      <c r="A15">
        <v>9</v>
      </c>
      <c r="B15">
        <f>IF($A15 &gt; MemberOrgs_NumRow, "", IFERROR(IF(SelectMemberOrgs = "*", $A15, _xlfn.AGGREGATE(15, 6, (1/(MemberOrgsData[Auditee Name] = SelectMemberOrgs))*ROW(MemberOrgsData[Auditee Name])*(1/(MemberOrgsData[AUDITYEAR] = SelectFiscalYear))*(MemberOrgsData[AUDITYEAR] = SelectFiscalYear), $A15)-MemberOrgs_TopRow), ""))</f>
        <v>359</v>
      </c>
      <c r="C15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>359</v>
      </c>
      <c r="H15" s="31"/>
      <c r="L15" t="str">
        <f t="array" ref="L15">IFERROR(INDEX(MemberOrgsData[Auditee Name], MATCH(0, INDEX(COUNTIF($L$2:L14, MemberOrgsData[Auditee Name]),)+IF(MemberOrgsData[AUDITYEAR] &lt;&gt; SelectFiscalYear, 1, 0),0)), "")</f>
        <v>DAY CARE COUNCIL OF NEW YORK, INC.</v>
      </c>
    </row>
    <row r="16" spans="1:23" x14ac:dyDescent="0.25">
      <c r="A16">
        <v>10</v>
      </c>
      <c r="B16">
        <f>IF($A16 &gt; MemberOrgs_NumRow, "", IFERROR(IF(SelectMemberOrgs = "*", $A16, _xlfn.AGGREGATE(15, 6, (1/(MemberOrgsData[Auditee Name] = SelectMemberOrgs))*ROW(MemberOrgsData[Auditee Name])*(1/(MemberOrgsData[AUDITYEAR] = SelectFiscalYear))*(MemberOrgsData[AUDITYEAR] = SelectFiscalYear), $A16)-MemberOrgs_TopRow), ""))</f>
        <v>360</v>
      </c>
      <c r="C16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>360</v>
      </c>
      <c r="L16" t="str">
        <f t="array" ref="L16">IFERROR(INDEX(MemberOrgsData[Auditee Name], MATCH(0, INDEX(COUNTIF($L$2:L15, MemberOrgsData[Auditee Name]),)+IF(MemberOrgsData[AUDITYEAR] &lt;&gt; SelectFiscalYear, 1, 0),0)), "")</f>
        <v>EAST SIDE HOUSE, INC.</v>
      </c>
    </row>
    <row r="17" spans="1:12" x14ac:dyDescent="0.25">
      <c r="A17">
        <v>11</v>
      </c>
      <c r="B17">
        <f>IF($A17 &gt; MemberOrgs_NumRow, "", IFERROR(IF(SelectMemberOrgs = "*", $A17, _xlfn.AGGREGATE(15, 6, (1/(MemberOrgsData[Auditee Name] = SelectMemberOrgs))*ROW(MemberOrgsData[Auditee Name])*(1/(MemberOrgsData[AUDITYEAR] = SelectFiscalYear))*(MemberOrgsData[AUDITYEAR] = SelectFiscalYear), $A17)-MemberOrgs_TopRow), ""))</f>
        <v>361</v>
      </c>
      <c r="C17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>361</v>
      </c>
      <c r="L17" t="str">
        <f t="array" ref="L17">IFERROR(INDEX(MemberOrgsData[Auditee Name], MATCH(0, INDEX(COUNTIF($L$2:L16, MemberOrgsData[Auditee Name]),)+IF(MemberOrgsData[AUDITYEAR] &lt;&gt; SelectFiscalYear, 1, 0),0)), "")</f>
        <v>EDWIN GOULD SERVICES FOR CHILDREN AND FAMILIES</v>
      </c>
    </row>
    <row r="18" spans="1:12" x14ac:dyDescent="0.25">
      <c r="A18">
        <v>12</v>
      </c>
      <c r="B18">
        <f>IF($A18 &gt; MemberOrgs_NumRow, "", IFERROR(IF(SelectMemberOrgs = "*", $A18, _xlfn.AGGREGATE(15, 6, (1/(MemberOrgsData[Auditee Name] = SelectMemberOrgs))*ROW(MemberOrgsData[Auditee Name])*(1/(MemberOrgsData[AUDITYEAR] = SelectFiscalYear))*(MemberOrgsData[AUDITYEAR] = SelectFiscalYear), $A18)-MemberOrgs_TopRow), ""))</f>
        <v>362</v>
      </c>
      <c r="C18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8" t="str">
        <f t="array" ref="L18">IFERROR(INDEX(MemberOrgsData[Auditee Name], MATCH(0, INDEX(COUNTIF($L$2:L17, MemberOrgsData[Auditee Name]),)+IF(MemberOrgsData[AUDITYEAR] &lt;&gt; SelectFiscalYear, 1, 0),0)), "")</f>
        <v>EPISCOPAL SOCIAL SERVICES OF NEW YORK, INC.</v>
      </c>
    </row>
    <row r="19" spans="1:12" x14ac:dyDescent="0.25">
      <c r="A19">
        <v>13</v>
      </c>
      <c r="B19">
        <f>IF($A19 &gt; MemberOrgs_NumRow, "", IFERROR(IF(SelectMemberOrgs = "*", $A19, _xlfn.AGGREGATE(15, 6, (1/(MemberOrgsData[Auditee Name] = SelectMemberOrgs))*ROW(MemberOrgsData[Auditee Name])*(1/(MemberOrgsData[AUDITYEAR] = SelectFiscalYear))*(MemberOrgsData[AUDITYEAR] = SelectFiscalYear), $A19)-MemberOrgs_TopRow), ""))</f>
        <v>363</v>
      </c>
      <c r="C19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9" t="str">
        <f t="array" ref="L19">IFERROR(INDEX(MemberOrgsData[Auditee Name], MATCH(0, INDEX(COUNTIF($L$2:L18, MemberOrgsData[Auditee Name]),)+IF(MemberOrgsData[AUDITYEAR] &lt;&gt; SelectFiscalYear, 1, 0),0)), "")</f>
        <v>GODDARD RIVERSIDE COMMUNITY CENTER</v>
      </c>
    </row>
    <row r="20" spans="1:12" x14ac:dyDescent="0.25">
      <c r="A20">
        <v>14</v>
      </c>
      <c r="B20">
        <f>IF($A20 &gt; MemberOrgs_NumRow, "", IFERROR(IF(SelectMemberOrgs = "*", $A20, _xlfn.AGGREGATE(15, 6, (1/(MemberOrgsData[Auditee Name] = SelectMemberOrgs))*ROW(MemberOrgsData[Auditee Name])*(1/(MemberOrgsData[AUDITYEAR] = SelectFiscalYear))*(MemberOrgsData[AUDITYEAR] = SelectFiscalYear), $A20)-MemberOrgs_TopRow), ""))</f>
        <v>364</v>
      </c>
      <c r="C20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>364</v>
      </c>
      <c r="L20" t="str">
        <f t="array" ref="L20">IFERROR(INDEX(MemberOrgsData[Auditee Name], MATCH(0, INDEX(COUNTIF($L$2:L19, MemberOrgsData[Auditee Name]),)+IF(MemberOrgsData[AUDITYEAR] &lt;&gt; SelectFiscalYear, 1, 0),0)), "")</f>
        <v>GREENHOPE SERVICES FOR WOMEN, INC.</v>
      </c>
    </row>
    <row r="21" spans="1:12" x14ac:dyDescent="0.25">
      <c r="A21">
        <v>15</v>
      </c>
      <c r="B21">
        <f>IF($A21 &gt; MemberOrgs_NumRow, "", IFERROR(IF(SelectMemberOrgs = "*", $A21, _xlfn.AGGREGATE(15, 6, (1/(MemberOrgsData[Auditee Name] = SelectMemberOrgs))*ROW(MemberOrgsData[Auditee Name])*(1/(MemberOrgsData[AUDITYEAR] = SelectFiscalYear))*(MemberOrgsData[AUDITYEAR] = SelectFiscalYear), $A21)-MemberOrgs_TopRow), ""))</f>
        <v>365</v>
      </c>
      <c r="C21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>365</v>
      </c>
      <c r="L21" t="str">
        <f t="array" ref="L21">IFERROR(INDEX(MemberOrgsData[Auditee Name], MATCH(0, INDEX(COUNTIF($L$2:L20, MemberOrgsData[Auditee Name]),)+IF(MemberOrgsData[AUDITYEAR] &lt;&gt; SelectFiscalYear, 1, 0),0)), "")</f>
        <v>HAMILTON-MADISON HOUSE, INC.</v>
      </c>
    </row>
    <row r="22" spans="1:12" x14ac:dyDescent="0.25">
      <c r="A22">
        <v>16</v>
      </c>
      <c r="B22" t="str">
        <f>IF($A22 &gt; MemberOrgs_NumRow, "", IFERROR(IF(SelectMemberOrgs = "*", $A22, _xlfn.AGGREGATE(15, 6, (1/(MemberOrgsData[Auditee Name] = SelectMemberOrgs))*ROW(MemberOrgsData[Auditee Name])*(1/(MemberOrgsData[AUDITYEAR] = SelectFiscalYear))*(MemberOrgsData[AUDITYEAR] = SelectFiscalYear), $A22)-MemberOrgs_TopRow), ""))</f>
        <v/>
      </c>
      <c r="C22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2" t="str">
        <f t="array" ref="L22">IFERROR(INDEX(MemberOrgsData[Auditee Name], MATCH(0, INDEX(COUNTIF($L$2:L21, MemberOrgsData[Auditee Name]),)+IF(MemberOrgsData[AUDITYEAR] &lt;&gt; SelectFiscalYear, 1, 0),0)), "")</f>
        <v>HARLEM COMMUNITY AIDS CENTER AND AFFILIATES, INC</v>
      </c>
    </row>
    <row r="23" spans="1:12" x14ac:dyDescent="0.25">
      <c r="A23">
        <v>17</v>
      </c>
      <c r="B23" t="str">
        <f>IF($A23 &gt; MemberOrgs_NumRow, "", IFERROR(IF(SelectMemberOrgs = "*", $A23, _xlfn.AGGREGATE(15, 6, (1/(MemberOrgsData[Auditee Name] = SelectMemberOrgs))*ROW(MemberOrgsData[Auditee Name])*(1/(MemberOrgsData[AUDITYEAR] = SelectFiscalYear))*(MemberOrgsData[AUDITYEAR] = SelectFiscalYear), $A23)-MemberOrgs_TopRow), ""))</f>
        <v/>
      </c>
      <c r="C23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3" t="str">
        <f t="array" ref="L23">IFERROR(INDEX(MemberOrgsData[Auditee Name], MATCH(0, INDEX(COUNTIF($L$2:L22, MemberOrgsData[Auditee Name]),)+IF(MemberOrgsData[AUDITYEAR] &lt;&gt; SelectFiscalYear, 1, 0),0)), "")</f>
        <v>HENRY STREET SETTLEMENT AND AFFILIATES</v>
      </c>
    </row>
    <row r="24" spans="1:12" x14ac:dyDescent="0.25">
      <c r="A24">
        <v>18</v>
      </c>
      <c r="B24" t="str">
        <f>IF($A24 &gt; MemberOrgs_NumRow, "", IFERROR(IF(SelectMemberOrgs = "*", $A24, _xlfn.AGGREGATE(15, 6, (1/(MemberOrgsData[Auditee Name] = SelectMemberOrgs))*ROW(MemberOrgsData[Auditee Name])*(1/(MemberOrgsData[AUDITYEAR] = SelectFiscalYear))*(MemberOrgsData[AUDITYEAR] = SelectFiscalYear), $A24)-MemberOrgs_TopRow), ""))</f>
        <v/>
      </c>
      <c r="C24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4" t="str">
        <f t="array" ref="L24">IFERROR(INDEX(MemberOrgsData[Auditee Name], MATCH(0, INDEX(COUNTIF($L$2:L23, MemberOrgsData[Auditee Name]),)+IF(MemberOrgsData[AUDITYEAR] &lt;&gt; SelectFiscalYear, 1, 0),0)), "")</f>
        <v>HIGHBRIDGE ADVISORY COUNCIL FAMILY SERVICES, INC</v>
      </c>
    </row>
    <row r="25" spans="1:12" x14ac:dyDescent="0.25">
      <c r="A25">
        <v>19</v>
      </c>
      <c r="B25" t="str">
        <f>IF($A25 &gt; MemberOrgs_NumRow, "", IFERROR(IF(SelectMemberOrgs = "*", $A25, _xlfn.AGGREGATE(15, 6, (1/(MemberOrgsData[Auditee Name] = SelectMemberOrgs))*ROW(MemberOrgsData[Auditee Name])*(1/(MemberOrgsData[AUDITYEAR] = SelectFiscalYear))*(MemberOrgsData[AUDITYEAR] = SelectFiscalYear), $A25)-MemberOrgs_TopRow), ""))</f>
        <v/>
      </c>
      <c r="C25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5" t="str">
        <f t="array" ref="L25">IFERROR(INDEX(MemberOrgsData[Auditee Name], MATCH(0, INDEX(COUNTIF($L$2:L24, MemberOrgsData[Auditee Name]),)+IF(MemberOrgsData[AUDITYEAR] &lt;&gt; SelectFiscalYear, 1, 0),0)), "")</f>
        <v>HOUSING + SOLUTIONS, INC.</v>
      </c>
    </row>
    <row r="26" spans="1:12" x14ac:dyDescent="0.25">
      <c r="A26">
        <v>20</v>
      </c>
      <c r="B26" t="str">
        <f>IF($A26 &gt; MemberOrgs_NumRow, "", IFERROR(IF(SelectMemberOrgs = "*", $A26, _xlfn.AGGREGATE(15, 6, (1/(MemberOrgsData[Auditee Name] = SelectMemberOrgs))*ROW(MemberOrgsData[Auditee Name])*(1/(MemberOrgsData[AUDITYEAR] = SelectFiscalYear))*(MemberOrgsData[AUDITYEAR] = SelectFiscalYear), $A26)-MemberOrgs_TopRow), ""))</f>
        <v/>
      </c>
      <c r="C26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6" t="str">
        <f t="array" ref="L26">IFERROR(INDEX(MemberOrgsData[Auditee Name], MATCH(0, INDEX(COUNTIF($L$2:L25, MemberOrgsData[Auditee Name]),)+IF(MemberOrgsData[AUDITYEAR] &lt;&gt; SelectFiscalYear, 1, 0),0)), "")</f>
        <v>HUDSON GUILD, INC</v>
      </c>
    </row>
    <row r="27" spans="1:12" x14ac:dyDescent="0.25">
      <c r="A27">
        <v>21</v>
      </c>
      <c r="B27" t="str">
        <f>IF($A27 &gt; MemberOrgs_NumRow, "", IFERROR(IF(SelectMemberOrgs = "*", $A27, _xlfn.AGGREGATE(15, 6, (1/(MemberOrgsData[Auditee Name] = SelectMemberOrgs))*ROW(MemberOrgsData[Auditee Name])*(1/(MemberOrgsData[AUDITYEAR] = SelectFiscalYear))*(MemberOrgsData[AUDITYEAR] = SelectFiscalYear), $A27)-MemberOrgs_TopRow), ""))</f>
        <v/>
      </c>
      <c r="C27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7" t="str">
        <f t="array" ref="L27">IFERROR(INDEX(MemberOrgsData[Auditee Name], MATCH(0, INDEX(COUNTIF($L$2:L26, MemberOrgsData[Auditee Name]),)+IF(MemberOrgsData[AUDITYEAR] &lt;&gt; SelectFiscalYear, 1, 0),0)), "")</f>
        <v>JAMAICA SERVICE PROGRAM FOR OLDER ADULTS, INC</v>
      </c>
    </row>
    <row r="28" spans="1:12" x14ac:dyDescent="0.25">
      <c r="A28">
        <v>22</v>
      </c>
      <c r="B28" t="str">
        <f>IF($A28 &gt; MemberOrgs_NumRow, "", IFERROR(IF(SelectMemberOrgs = "*", $A28, _xlfn.AGGREGATE(15, 6, (1/(MemberOrgsData[Auditee Name] = SelectMemberOrgs))*ROW(MemberOrgsData[Auditee Name])*(1/(MemberOrgsData[AUDITYEAR] = SelectFiscalYear))*(MemberOrgsData[AUDITYEAR] = SelectFiscalYear), $A28)-MemberOrgs_TopRow), ""))</f>
        <v/>
      </c>
      <c r="C28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8" t="str">
        <f t="array" ref="L28">IFERROR(INDEX(MemberOrgsData[Auditee Name], MATCH(0, INDEX(COUNTIF($L$2:L27, MemberOrgsData[Auditee Name]),)+IF(MemberOrgsData[AUDITYEAR] &lt;&gt; SelectFiscalYear, 1, 0),0)), "")</f>
        <v>JEWISH CHILD CARE ASSOCIATION</v>
      </c>
    </row>
    <row r="29" spans="1:12" x14ac:dyDescent="0.25">
      <c r="A29">
        <v>23</v>
      </c>
      <c r="B29" t="str">
        <f>IF($A29 &gt; MemberOrgs_NumRow, "", IFERROR(IF(SelectMemberOrgs = "*", $A29, _xlfn.AGGREGATE(15, 6, (1/(MemberOrgsData[Auditee Name] = SelectMemberOrgs))*ROW(MemberOrgsData[Auditee Name])*(1/(MemberOrgsData[AUDITYEAR] = SelectFiscalYear))*(MemberOrgsData[AUDITYEAR] = SelectFiscalYear), $A29)-MemberOrgs_TopRow), ""))</f>
        <v/>
      </c>
      <c r="C29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9" t="str">
        <f t="array" ref="L29">IFERROR(INDEX(MemberOrgsData[Auditee Name], MATCH(0, INDEX(COUNTIF($L$2:L28, MemberOrgsData[Auditee Name]),)+IF(MemberOrgsData[AUDITYEAR] &lt;&gt; SelectFiscalYear, 1, 0),0)), "")</f>
        <v>LEAKE AND WATTS SERVICES, INC. AND AFFILIATE</v>
      </c>
    </row>
    <row r="30" spans="1:12" x14ac:dyDescent="0.25">
      <c r="A30">
        <v>24</v>
      </c>
      <c r="B30" t="str">
        <f>IF($A30 &gt; MemberOrgs_NumRow, "", IFERROR(IF(SelectMemberOrgs = "*", $A30, _xlfn.AGGREGATE(15, 6, (1/(MemberOrgsData[Auditee Name] = SelectMemberOrgs))*ROW(MemberOrgsData[Auditee Name])*(1/(MemberOrgsData[AUDITYEAR] = SelectFiscalYear))*(MemberOrgsData[AUDITYEAR] = SelectFiscalYear), $A30)-MemberOrgs_TopRow), ""))</f>
        <v/>
      </c>
      <c r="C30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30" t="str">
        <f t="array" ref="L30">IFERROR(INDEX(MemberOrgsData[Auditee Name], MATCH(0, INDEX(COUNTIF($L$2:L29, MemberOrgsData[Auditee Name]),)+IF(MemberOrgsData[AUDITYEAR] &lt;&gt; SelectFiscalYear, 1, 0),0)), "")</f>
        <v>NATIONAL FEDERATION OF COMMUNITY DEVELOPMENT CREDIT UINIONS</v>
      </c>
    </row>
    <row r="31" spans="1:12" x14ac:dyDescent="0.25">
      <c r="A31">
        <v>25</v>
      </c>
      <c r="B31" t="str">
        <f>IF($A31 &gt; MemberOrgs_NumRow, "", IFERROR(IF(SelectMemberOrgs = "*", $A31, _xlfn.AGGREGATE(15, 6, (1/(MemberOrgsData[Auditee Name] = SelectMemberOrgs))*ROW(MemberOrgsData[Auditee Name])*(1/(MemberOrgsData[AUDITYEAR] = SelectFiscalYear))*(MemberOrgsData[AUDITYEAR] = SelectFiscalYear), $A31)-MemberOrgs_TopRow), ""))</f>
        <v/>
      </c>
      <c r="C31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31" t="str">
        <f t="array" ref="L31">IFERROR(INDEX(MemberOrgsData[Auditee Name], MATCH(0, INDEX(COUNTIF($L$2:L30, MemberOrgsData[Auditee Name]),)+IF(MemberOrgsData[AUDITYEAR] &lt;&gt; SelectFiscalYear, 1, 0),0)), "")</f>
        <v>NORTHSIDE CENTER FOR CHILD DEVELOPMENT, INC.</v>
      </c>
    </row>
    <row r="32" spans="1:12" x14ac:dyDescent="0.25">
      <c r="A32">
        <v>26</v>
      </c>
      <c r="B32" t="str">
        <f>IF($A32 &gt; MemberOrgs_NumRow, "", IFERROR(IF(SelectMemberOrgs = "*", $A32, _xlfn.AGGREGATE(15, 6, (1/(MemberOrgsData[Auditee Name] = SelectMemberOrgs))*ROW(MemberOrgsData[Auditee Name])*(1/(MemberOrgsData[AUDITYEAR] = SelectFiscalYear))*(MemberOrgsData[AUDITYEAR] = SelectFiscalYear), $A32)-MemberOrgs_TopRow), ""))</f>
        <v/>
      </c>
      <c r="C32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32" t="str">
        <f t="array" ref="L32">IFERROR(INDEX(MemberOrgsData[Auditee Name], MATCH(0, INDEX(COUNTIF($L$2:L31, MemberOrgsData[Auditee Name]),)+IF(MemberOrgsData[AUDITYEAR] &lt;&gt; SelectFiscalYear, 1, 0),0)), "")</f>
        <v>PARTNERSHIP WITH CHILDREN, INC</v>
      </c>
    </row>
    <row r="33" spans="1:12" x14ac:dyDescent="0.25">
      <c r="A33">
        <v>27</v>
      </c>
      <c r="B33" t="str">
        <f>IF($A33 &gt; MemberOrgs_NumRow, "", IFERROR(IF(SelectMemberOrgs = "*", $A33, _xlfn.AGGREGATE(15, 6, (1/(MemberOrgsData[Auditee Name] = SelectMemberOrgs))*ROW(MemberOrgsData[Auditee Name])*(1/(MemberOrgsData[AUDITYEAR] = SelectFiscalYear))*(MemberOrgsData[AUDITYEAR] = SelectFiscalYear), $A33)-MemberOrgs_TopRow), ""))</f>
        <v/>
      </c>
      <c r="C33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33" t="str">
        <f t="array" ref="L33">IFERROR(INDEX(MemberOrgsData[Auditee Name], MATCH(0, INDEX(COUNTIF($L$2:L32, MemberOrgsData[Auditee Name]),)+IF(MemberOrgsData[AUDITYEAR] &lt;&gt; SelectFiscalYear, 1, 0),0)), "")</f>
        <v>PHIPPS COMMUNITY DEVELOPMENT CORPORATION</v>
      </c>
    </row>
    <row r="34" spans="1:12" x14ac:dyDescent="0.25">
      <c r="A34">
        <v>28</v>
      </c>
      <c r="B34" t="str">
        <f>IF($A34 &gt; MemberOrgs_NumRow, "", IFERROR(IF(SelectMemberOrgs = "*", $A34, _xlfn.AGGREGATE(15, 6, (1/(MemberOrgsData[Auditee Name] = SelectMemberOrgs))*ROW(MemberOrgsData[Auditee Name])*(1/(MemberOrgsData[AUDITYEAR] = SelectFiscalYear))*(MemberOrgsData[AUDITYEAR] = SelectFiscalYear), $A34)-MemberOrgs_TopRow), ""))</f>
        <v/>
      </c>
      <c r="C34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34" t="str">
        <f t="array" ref="L34">IFERROR(INDEX(MemberOrgsData[Auditee Name], MATCH(0, INDEX(COUNTIF($L$2:L33, MemberOrgsData[Auditee Name]),)+IF(MemberOrgsData[AUDITYEAR] &lt;&gt; SelectFiscalYear, 1, 0),0)), "")</f>
        <v>PRESBYTERIAN SENIOR SERVICES</v>
      </c>
    </row>
    <row r="35" spans="1:12" x14ac:dyDescent="0.25">
      <c r="A35">
        <v>29</v>
      </c>
      <c r="B35" t="str">
        <f>IF($A35 &gt; MemberOrgs_NumRow, "", IFERROR(IF(SelectMemberOrgs = "*", $A35, _xlfn.AGGREGATE(15, 6, (1/(MemberOrgsData[Auditee Name] = SelectMemberOrgs))*ROW(MemberOrgsData[Auditee Name])*(1/(MemberOrgsData[AUDITYEAR] = SelectFiscalYear))*(MemberOrgsData[AUDITYEAR] = SelectFiscalYear), $A35)-MemberOrgs_TopRow), ""))</f>
        <v/>
      </c>
      <c r="C35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35" t="str">
        <f t="array" ref="L35">IFERROR(INDEX(MemberOrgsData[Auditee Name], MATCH(0, INDEX(COUNTIF($L$2:L34, MemberOrgsData[Auditee Name]),)+IF(MemberOrgsData[AUDITYEAR] &lt;&gt; SelectFiscalYear, 1, 0),0)), "")</f>
        <v>RENA DAY CARE CENTER</v>
      </c>
    </row>
    <row r="36" spans="1:12" x14ac:dyDescent="0.25">
      <c r="A36">
        <v>30</v>
      </c>
      <c r="B36" t="str">
        <f>IF($A36 &gt; MemberOrgs_NumRow, "", IFERROR(IF(SelectMemberOrgs = "*", $A36, _xlfn.AGGREGATE(15, 6, (1/(MemberOrgsData[Auditee Name] = SelectMemberOrgs))*ROW(MemberOrgsData[Auditee Name])*(1/(MemberOrgsData[AUDITYEAR] = SelectFiscalYear))*(MemberOrgsData[AUDITYEAR] = SelectFiscalYear), $A36)-MemberOrgs_TopRow), ""))</f>
        <v/>
      </c>
      <c r="C36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36" t="str">
        <f t="array" ref="L36">IFERROR(INDEX(MemberOrgsData[Auditee Name], MATCH(0, INDEX(COUNTIF($L$2:L35, MemberOrgsData[Auditee Name]),)+IF(MemberOrgsData[AUDITYEAR] &lt;&gt; SelectFiscalYear, 1, 0),0)), "")</f>
        <v>SCO FAMILY OF SERVICES</v>
      </c>
    </row>
    <row r="37" spans="1:12" x14ac:dyDescent="0.25">
      <c r="A37">
        <v>31</v>
      </c>
      <c r="B37" t="str">
        <f>IF($A37 &gt; MemberOrgs_NumRow, "", IFERROR(IF(SelectMemberOrgs = "*", $A37, _xlfn.AGGREGATE(15, 6, (1/(MemberOrgsData[Auditee Name] = SelectMemberOrgs))*ROW(MemberOrgsData[Auditee Name])*(1/(MemberOrgsData[AUDITYEAR] = SelectFiscalYear))*(MemberOrgsData[AUDITYEAR] = SelectFiscalYear), $A37)-MemberOrgs_TopRow), ""))</f>
        <v/>
      </c>
      <c r="C37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37" t="str">
        <f t="array" ref="L37">IFERROR(INDEX(MemberOrgsData[Auditee Name], MATCH(0, INDEX(COUNTIF($L$2:L36, MemberOrgsData[Auditee Name]),)+IF(MemberOrgsData[AUDITYEAR] &lt;&gt; SelectFiscalYear, 1, 0),0)), "")</f>
        <v>SOUTHEAST BRONX NEIGHBORHOOD CENTERS, INC</v>
      </c>
    </row>
    <row r="38" spans="1:12" x14ac:dyDescent="0.25">
      <c r="A38">
        <v>32</v>
      </c>
      <c r="B38" t="str">
        <f>IF($A38 &gt; MemberOrgs_NumRow, "", IFERROR(IF(SelectMemberOrgs = "*", $A38, _xlfn.AGGREGATE(15, 6, (1/(MemberOrgsData[Auditee Name] = SelectMemberOrgs))*ROW(MemberOrgsData[Auditee Name])*(1/(MemberOrgsData[AUDITYEAR] = SelectFiscalYear))*(MemberOrgsData[AUDITYEAR] = SelectFiscalYear), $A38)-MemberOrgs_TopRow), ""))</f>
        <v/>
      </c>
      <c r="C38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38" t="str">
        <f t="array" ref="L38">IFERROR(INDEX(MemberOrgsData[Auditee Name], MATCH(0, INDEX(COUNTIF($L$2:L37, MemberOrgsData[Auditee Name]),)+IF(MemberOrgsData[AUDITYEAR] &lt;&gt; SelectFiscalYear, 1, 0),0)), "")</f>
        <v>STANLEY M. ISAACS NEIGHBORHOOD CENTER, INC.</v>
      </c>
    </row>
    <row r="39" spans="1:12" x14ac:dyDescent="0.25">
      <c r="A39">
        <v>33</v>
      </c>
      <c r="B39" t="str">
        <f>IF($A39 &gt; MemberOrgs_NumRow, "", IFERROR(IF(SelectMemberOrgs = "*", $A39, _xlfn.AGGREGATE(15, 6, (1/(MemberOrgsData[Auditee Name] = SelectMemberOrgs))*ROW(MemberOrgsData[Auditee Name])*(1/(MemberOrgsData[AUDITYEAR] = SelectFiscalYear))*(MemberOrgsData[AUDITYEAR] = SelectFiscalYear), $A39)-MemberOrgs_TopRow), ""))</f>
        <v/>
      </c>
      <c r="C39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39" t="str">
        <f t="array" ref="L39">IFERROR(INDEX(MemberOrgsData[Auditee Name], MATCH(0, INDEX(COUNTIF($L$2:L38, MemberOrgsData[Auditee Name]),)+IF(MemberOrgsData[AUDITYEAR] &lt;&gt; SelectFiscalYear, 1, 0),0)), "")</f>
        <v>THE CARTER BURDEN CENTER FOR THE AGING, INC.</v>
      </c>
    </row>
    <row r="40" spans="1:12" x14ac:dyDescent="0.25">
      <c r="A40">
        <v>34</v>
      </c>
      <c r="B40" t="str">
        <f>IF($A40 &gt; MemberOrgs_NumRow, "", IFERROR(IF(SelectMemberOrgs = "*", $A40, _xlfn.AGGREGATE(15, 6, (1/(MemberOrgsData[Auditee Name] = SelectMemberOrgs))*ROW(MemberOrgsData[Auditee Name])*(1/(MemberOrgsData[AUDITYEAR] = SelectFiscalYear))*(MemberOrgsData[AUDITYEAR] = SelectFiscalYear), $A40)-MemberOrgs_TopRow), ""))</f>
        <v/>
      </c>
      <c r="C40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40" t="str">
        <f t="array" ref="L40">IFERROR(INDEX(MemberOrgsData[Auditee Name], MATCH(0, INDEX(COUNTIF($L$2:L39, MemberOrgsData[Auditee Name]),)+IF(MemberOrgsData[AUDITYEAR] &lt;&gt; SelectFiscalYear, 1, 0),0)), "")</f>
        <v>THE CHILDREN'S VILLAGE, INC. AND AFFILIATES</v>
      </c>
    </row>
    <row r="41" spans="1:12" x14ac:dyDescent="0.25">
      <c r="A41">
        <v>35</v>
      </c>
      <c r="B41" t="str">
        <f>IF($A41 &gt; MemberOrgs_NumRow, "", IFERROR(IF(SelectMemberOrgs = "*", $A41, _xlfn.AGGREGATE(15, 6, (1/(MemberOrgsData[Auditee Name] = SelectMemberOrgs))*ROW(MemberOrgsData[Auditee Name])*(1/(MemberOrgsData[AUDITYEAR] = SelectFiscalYear))*(MemberOrgsData[AUDITYEAR] = SelectFiscalYear), $A41)-MemberOrgs_TopRow), ""))</f>
        <v/>
      </c>
      <c r="C41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41" t="str">
        <f t="array" ref="L41">IFERROR(INDEX(MemberOrgsData[Auditee Name], MATCH(0, INDEX(COUNTIF($L$2:L40, MemberOrgsData[Auditee Name]),)+IF(MemberOrgsData[AUDITYEAR] &lt;&gt; SelectFiscalYear, 1, 0),0)), "")</f>
        <v>THE FAMILY CENTER, INC.</v>
      </c>
    </row>
    <row r="42" spans="1:12" x14ac:dyDescent="0.25">
      <c r="A42">
        <v>36</v>
      </c>
      <c r="B42" t="str">
        <f>IF($A42 &gt; MemberOrgs_NumRow, "", IFERROR(IF(SelectMemberOrgs = "*", $A42, _xlfn.AGGREGATE(15, 6, (1/(MemberOrgsData[Auditee Name] = SelectMemberOrgs))*ROW(MemberOrgsData[Auditee Name])*(1/(MemberOrgsData[AUDITYEAR] = SelectFiscalYear))*(MemberOrgsData[AUDITYEAR] = SelectFiscalYear), $A42)-MemberOrgs_TopRow), ""))</f>
        <v/>
      </c>
      <c r="C42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42" t="str">
        <f t="array" ref="L42">IFERROR(INDEX(MemberOrgsData[Auditee Name], MATCH(0, INDEX(COUNTIF($L$2:L41, MemberOrgsData[Auditee Name]),)+IF(MemberOrgsData[AUDITYEAR] &lt;&gt; SelectFiscalYear, 1, 0),0)), "")</f>
        <v>TREMONT MONTEREY DAY CARE CENTER INC.</v>
      </c>
    </row>
    <row r="43" spans="1:12" x14ac:dyDescent="0.25">
      <c r="A43">
        <v>37</v>
      </c>
      <c r="B43" t="str">
        <f>IF($A43 &gt; MemberOrgs_NumRow, "", IFERROR(IF(SelectMemberOrgs = "*", $A43, _xlfn.AGGREGATE(15, 6, (1/(MemberOrgsData[Auditee Name] = SelectMemberOrgs))*ROW(MemberOrgsData[Auditee Name])*(1/(MemberOrgsData[AUDITYEAR] = SelectFiscalYear))*(MemberOrgsData[AUDITYEAR] = SelectFiscalYear), $A43)-MemberOrgs_TopRow), ""))</f>
        <v/>
      </c>
      <c r="C43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43" t="str">
        <f t="array" ref="L43">IFERROR(INDEX(MemberOrgsData[Auditee Name], MATCH(0, INDEX(COUNTIF($L$2:L42, MemberOrgsData[Auditee Name]),)+IF(MemberOrgsData[AUDITYEAR] &lt;&gt; SelectFiscalYear, 1, 0),0)), "")</f>
        <v>UNION SETTLEMENT ASSOCIATION, INC.</v>
      </c>
    </row>
    <row r="44" spans="1:12" x14ac:dyDescent="0.25">
      <c r="A44">
        <v>38</v>
      </c>
      <c r="B44" t="str">
        <f>IF($A44 &gt; MemberOrgs_NumRow, "", IFERROR(IF(SelectMemberOrgs = "*", $A44, _xlfn.AGGREGATE(15, 6, (1/(MemberOrgsData[Auditee Name] = SelectMemberOrgs))*ROW(MemberOrgsData[Auditee Name])*(1/(MemberOrgsData[AUDITYEAR] = SelectFiscalYear))*(MemberOrgsData[AUDITYEAR] = SelectFiscalYear), $A44)-MemberOrgs_TopRow), ""))</f>
        <v/>
      </c>
      <c r="C44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44" t="str">
        <f t="array" ref="L44">IFERROR(INDEX(MemberOrgsData[Auditee Name], MATCH(0, INDEX(COUNTIF($L$2:L43, MemberOrgsData[Auditee Name]),)+IF(MemberOrgsData[AUDITYEAR] &lt;&gt; SelectFiscalYear, 1, 0),0)), "")</f>
        <v>UNIVERSITY SETTLEMENT SOCIETY OF NEW YORK, INC</v>
      </c>
    </row>
    <row r="45" spans="1:12" x14ac:dyDescent="0.25">
      <c r="A45">
        <v>39</v>
      </c>
      <c r="B45" t="str">
        <f>IF($A45 &gt; MemberOrgs_NumRow, "", IFERROR(IF(SelectMemberOrgs = "*", $A45, _xlfn.AGGREGATE(15, 6, (1/(MemberOrgsData[Auditee Name] = SelectMemberOrgs))*ROW(MemberOrgsData[Auditee Name])*(1/(MemberOrgsData[AUDITYEAR] = SelectFiscalYear))*(MemberOrgsData[AUDITYEAR] = SelectFiscalYear), $A45)-MemberOrgs_TopRow), ""))</f>
        <v/>
      </c>
      <c r="C45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45" t="str">
        <f t="array" ref="L45">IFERROR(INDEX(MemberOrgsData[Auditee Name], MATCH(0, INDEX(COUNTIF($L$2:L44, MemberOrgsData[Auditee Name]),)+IF(MemberOrgsData[AUDITYEAR] &lt;&gt; SelectFiscalYear, 1, 0),0)), "")</f>
        <v>WOMEN'S PRISON ASSOCIATION AND HOME</v>
      </c>
    </row>
    <row r="46" spans="1:12" x14ac:dyDescent="0.25">
      <c r="A46">
        <v>40</v>
      </c>
      <c r="B46" t="str">
        <f>IF($A46 &gt; MemberOrgs_NumRow, "", IFERROR(IF(SelectMemberOrgs = "*", $A46, _xlfn.AGGREGATE(15, 6, (1/(MemberOrgsData[Auditee Name] = SelectMemberOrgs))*ROW(MemberOrgsData[Auditee Name])*(1/(MemberOrgsData[AUDITYEAR] = SelectFiscalYear))*(MemberOrgsData[AUDITYEAR] = SelectFiscalYear), $A46)-MemberOrgs_TopRow), ""))</f>
        <v/>
      </c>
      <c r="C46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46" t="str">
        <f t="array" ref="L46">IFERROR(INDEX(MemberOrgsData[Auditee Name], MATCH(0, INDEX(COUNTIF($L$2:L45, MemberOrgsData[Auditee Name]),)+IF(MemberOrgsData[AUDITYEAR] &lt;&gt; SelectFiscalYear, 1, 0),0)), "")</f>
        <v/>
      </c>
    </row>
    <row r="47" spans="1:12" x14ac:dyDescent="0.25">
      <c r="A47">
        <v>41</v>
      </c>
      <c r="B47" t="str">
        <f>IF($A47 &gt; MemberOrgs_NumRow, "", IFERROR(IF(SelectMemberOrgs = "*", $A47, _xlfn.AGGREGATE(15, 6, (1/(MemberOrgsData[Auditee Name] = SelectMemberOrgs))*ROW(MemberOrgsData[Auditee Name])*(1/(MemberOrgsData[AUDITYEAR] = SelectFiscalYear))*(MemberOrgsData[AUDITYEAR] = SelectFiscalYear), $A47)-MemberOrgs_TopRow), ""))</f>
        <v/>
      </c>
      <c r="C47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47" t="str">
        <f t="array" ref="L47">IFERROR(INDEX(MemberOrgsData[Auditee Name], MATCH(0, INDEX(COUNTIF($L$2:L46, MemberOrgsData[Auditee Name]),)+IF(MemberOrgsData[AUDITYEAR] &lt;&gt; SelectFiscalYear, 1, 0),0)), "")</f>
        <v/>
      </c>
    </row>
    <row r="48" spans="1:12" x14ac:dyDescent="0.25">
      <c r="A48">
        <v>42</v>
      </c>
      <c r="B48" t="str">
        <f>IF($A48 &gt; MemberOrgs_NumRow, "", IFERROR(IF(SelectMemberOrgs = "*", $A48, _xlfn.AGGREGATE(15, 6, (1/(MemberOrgsData[Auditee Name] = SelectMemberOrgs))*ROW(MemberOrgsData[Auditee Name])*(1/(MemberOrgsData[AUDITYEAR] = SelectFiscalYear))*(MemberOrgsData[AUDITYEAR] = SelectFiscalYear), $A48)-MemberOrgs_TopRow), ""))</f>
        <v/>
      </c>
      <c r="C48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48" t="str">
        <f t="array" ref="L48">IFERROR(INDEX(MemberOrgsData[Auditee Name], MATCH(0, INDEX(COUNTIF($L$2:L47, MemberOrgsData[Auditee Name]),)+IF(MemberOrgsData[AUDITYEAR] &lt;&gt; SelectFiscalYear, 1, 0),0)), "")</f>
        <v/>
      </c>
    </row>
    <row r="49" spans="1:12" x14ac:dyDescent="0.25">
      <c r="A49">
        <v>43</v>
      </c>
      <c r="B49" t="str">
        <f>IF($A49 &gt; MemberOrgs_NumRow, "", IFERROR(IF(SelectMemberOrgs = "*", $A49, _xlfn.AGGREGATE(15, 6, (1/(MemberOrgsData[Auditee Name] = SelectMemberOrgs))*ROW(MemberOrgsData[Auditee Name])*(1/(MemberOrgsData[AUDITYEAR] = SelectFiscalYear))*(MemberOrgsData[AUDITYEAR] = SelectFiscalYear), $A49)-MemberOrgs_TopRow), ""))</f>
        <v/>
      </c>
      <c r="C49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49" t="str">
        <f t="array" ref="L49">IFERROR(INDEX(MemberOrgsData[Auditee Name], MATCH(0, INDEX(COUNTIF($L$2:L48, MemberOrgsData[Auditee Name]),)+IF(MemberOrgsData[AUDITYEAR] &lt;&gt; SelectFiscalYear, 1, 0),0)), "")</f>
        <v/>
      </c>
    </row>
    <row r="50" spans="1:12" x14ac:dyDescent="0.25">
      <c r="A50">
        <v>44</v>
      </c>
      <c r="B50" t="str">
        <f>IF($A50 &gt; MemberOrgs_NumRow, "", IFERROR(IF(SelectMemberOrgs = "*", $A50, _xlfn.AGGREGATE(15, 6, (1/(MemberOrgsData[Auditee Name] = SelectMemberOrgs))*ROW(MemberOrgsData[Auditee Name])*(1/(MemberOrgsData[AUDITYEAR] = SelectFiscalYear))*(MemberOrgsData[AUDITYEAR] = SelectFiscalYear), $A50)-MemberOrgs_TopRow), ""))</f>
        <v/>
      </c>
      <c r="C50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50" t="str">
        <f t="array" ref="L50">IFERROR(INDEX(MemberOrgsData[Auditee Name], MATCH(0, INDEX(COUNTIF($L$2:L49, MemberOrgsData[Auditee Name]),)+IF(MemberOrgsData[AUDITYEAR] &lt;&gt; SelectFiscalYear, 1, 0),0)), "")</f>
        <v/>
      </c>
    </row>
    <row r="51" spans="1:12" x14ac:dyDescent="0.25">
      <c r="A51">
        <v>45</v>
      </c>
      <c r="B51" t="str">
        <f>IF($A51 &gt; MemberOrgs_NumRow, "", IFERROR(IF(SelectMemberOrgs = "*", $A51, _xlfn.AGGREGATE(15, 6, (1/(MemberOrgsData[Auditee Name] = SelectMemberOrgs))*ROW(MemberOrgsData[Auditee Name])*(1/(MemberOrgsData[AUDITYEAR] = SelectFiscalYear))*(MemberOrgsData[AUDITYEAR] = SelectFiscalYear), $A51)-MemberOrgs_TopRow), ""))</f>
        <v/>
      </c>
      <c r="C51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51" t="str">
        <f t="array" ref="L51">IFERROR(INDEX(MemberOrgsData[Auditee Name], MATCH(0, INDEX(COUNTIF($L$2:L50, MemberOrgsData[Auditee Name]),)+IF(MemberOrgsData[AUDITYEAR] &lt;&gt; SelectFiscalYear, 1, 0),0)), "")</f>
        <v/>
      </c>
    </row>
    <row r="52" spans="1:12" x14ac:dyDescent="0.25">
      <c r="A52">
        <v>46</v>
      </c>
      <c r="B52" t="str">
        <f>IF($A52 &gt; MemberOrgs_NumRow, "", IFERROR(IF(SelectMemberOrgs = "*", $A52, _xlfn.AGGREGATE(15, 6, (1/(MemberOrgsData[Auditee Name] = SelectMemberOrgs))*ROW(MemberOrgsData[Auditee Name])*(1/(MemberOrgsData[AUDITYEAR] = SelectFiscalYear))*(MemberOrgsData[AUDITYEAR] = SelectFiscalYear), $A52)-MemberOrgs_TopRow), ""))</f>
        <v/>
      </c>
      <c r="C52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52" t="str">
        <f t="array" ref="L52">IFERROR(INDEX(MemberOrgsData[Auditee Name], MATCH(0, INDEX(COUNTIF($L$2:L51, MemberOrgsData[Auditee Name]),)+IF(MemberOrgsData[AUDITYEAR] &lt;&gt; SelectFiscalYear, 1, 0),0)), "")</f>
        <v/>
      </c>
    </row>
    <row r="53" spans="1:12" x14ac:dyDescent="0.25">
      <c r="A53">
        <v>47</v>
      </c>
      <c r="B53" t="str">
        <f>IF($A53 &gt; MemberOrgs_NumRow, "", IFERROR(IF(SelectMemberOrgs = "*", $A53, _xlfn.AGGREGATE(15, 6, (1/(MemberOrgsData[Auditee Name] = SelectMemberOrgs))*ROW(MemberOrgsData[Auditee Name])*(1/(MemberOrgsData[AUDITYEAR] = SelectFiscalYear))*(MemberOrgsData[AUDITYEAR] = SelectFiscalYear), $A53)-MemberOrgs_TopRow), ""))</f>
        <v/>
      </c>
      <c r="C53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53" t="str">
        <f t="array" ref="L53">IFERROR(INDEX(MemberOrgsData[Auditee Name], MATCH(0, INDEX(COUNTIF($L$2:L52, MemberOrgsData[Auditee Name]),)+IF(MemberOrgsData[AUDITYEAR] &lt;&gt; SelectFiscalYear, 1, 0),0)), "")</f>
        <v/>
      </c>
    </row>
    <row r="54" spans="1:12" x14ac:dyDescent="0.25">
      <c r="A54">
        <v>48</v>
      </c>
      <c r="B54" t="str">
        <f>IF($A54 &gt; MemberOrgs_NumRow, "", IFERROR(IF(SelectMemberOrgs = "*", $A54, _xlfn.AGGREGATE(15, 6, (1/(MemberOrgsData[Auditee Name] = SelectMemberOrgs))*ROW(MemberOrgsData[Auditee Name])*(1/(MemberOrgsData[AUDITYEAR] = SelectFiscalYear))*(MemberOrgsData[AUDITYEAR] = SelectFiscalYear), $A54)-MemberOrgs_TopRow), ""))</f>
        <v/>
      </c>
      <c r="C54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54" t="str">
        <f t="array" ref="L54">IFERROR(INDEX(MemberOrgsData[Auditee Name], MATCH(0, INDEX(COUNTIF($L$2:L53, MemberOrgsData[Auditee Name]),)+IF(MemberOrgsData[AUDITYEAR] &lt;&gt; SelectFiscalYear, 1, 0),0)), "")</f>
        <v/>
      </c>
    </row>
    <row r="55" spans="1:12" x14ac:dyDescent="0.25">
      <c r="A55">
        <v>49</v>
      </c>
      <c r="B55" t="str">
        <f>IF($A55 &gt; MemberOrgs_NumRow, "", IFERROR(IF(SelectMemberOrgs = "*", $A55, _xlfn.AGGREGATE(15, 6, (1/(MemberOrgsData[Auditee Name] = SelectMemberOrgs))*ROW(MemberOrgsData[Auditee Name])*(1/(MemberOrgsData[AUDITYEAR] = SelectFiscalYear))*(MemberOrgsData[AUDITYEAR] = SelectFiscalYear), $A55)-MemberOrgs_TopRow), ""))</f>
        <v/>
      </c>
      <c r="C55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55" t="str">
        <f t="array" ref="L55">IFERROR(INDEX(MemberOrgsData[Auditee Name], MATCH(0, INDEX(COUNTIF($L$2:L54, MemberOrgsData[Auditee Name]),)+IF(MemberOrgsData[AUDITYEAR] &lt;&gt; SelectFiscalYear, 1, 0),0)), "")</f>
        <v/>
      </c>
    </row>
    <row r="56" spans="1:12" x14ac:dyDescent="0.25">
      <c r="A56">
        <v>50</v>
      </c>
      <c r="B56" t="str">
        <f>IF($A56 &gt; MemberOrgs_NumRow, "", IFERROR(IF(SelectMemberOrgs = "*", $A56, _xlfn.AGGREGATE(15, 6, (1/(MemberOrgsData[Auditee Name] = SelectMemberOrgs))*ROW(MemberOrgsData[Auditee Name])*(1/(MemberOrgsData[AUDITYEAR] = SelectFiscalYear))*(MemberOrgsData[AUDITYEAR] = SelectFiscalYear), $A56)-MemberOrgs_TopRow), ""))</f>
        <v/>
      </c>
      <c r="C56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56" t="str">
        <f t="array" ref="L56">IFERROR(INDEX(MemberOrgsData[Auditee Name], MATCH(0, INDEX(COUNTIF($L$2:L55, MemberOrgsData[Auditee Name]),)+IF(MemberOrgsData[AUDITYEAR] &lt;&gt; SelectFiscalYear, 1, 0),0)), "")</f>
        <v/>
      </c>
    </row>
    <row r="57" spans="1:12" x14ac:dyDescent="0.25">
      <c r="A57">
        <v>51</v>
      </c>
      <c r="B57" t="str">
        <f>IF($A57 &gt; MemberOrgs_NumRow, "", IFERROR(IF(SelectMemberOrgs = "*", $A57, _xlfn.AGGREGATE(15, 6, (1/(MemberOrgsData[Auditee Name] = SelectMemberOrgs))*ROW(MemberOrgsData[Auditee Name])*(1/(MemberOrgsData[AUDITYEAR] = SelectFiscalYear))*(MemberOrgsData[AUDITYEAR] = SelectFiscalYear), $A57)-MemberOrgs_TopRow), ""))</f>
        <v/>
      </c>
      <c r="C57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57" t="str">
        <f t="array" ref="L57">IFERROR(INDEX(MemberOrgsData[Auditee Name], MATCH(0, INDEX(COUNTIF($L$2:L56, MemberOrgsData[Auditee Name]),)+IF(MemberOrgsData[AUDITYEAR] &lt;&gt; SelectFiscalYear, 1, 0),0)), "")</f>
        <v/>
      </c>
    </row>
    <row r="58" spans="1:12" x14ac:dyDescent="0.25">
      <c r="A58">
        <v>52</v>
      </c>
      <c r="B58" t="str">
        <f>IF($A58 &gt; MemberOrgs_NumRow, "", IFERROR(IF(SelectMemberOrgs = "*", $A58, _xlfn.AGGREGATE(15, 6, (1/(MemberOrgsData[Auditee Name] = SelectMemberOrgs))*ROW(MemberOrgsData[Auditee Name])*(1/(MemberOrgsData[AUDITYEAR] = SelectFiscalYear))*(MemberOrgsData[AUDITYEAR] = SelectFiscalYear), $A58)-MemberOrgs_TopRow), ""))</f>
        <v/>
      </c>
      <c r="C58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58" t="str">
        <f t="array" ref="L58">IFERROR(INDEX(MemberOrgsData[Auditee Name], MATCH(0, INDEX(COUNTIF($L$2:L57, MemberOrgsData[Auditee Name]),)+IF(MemberOrgsData[AUDITYEAR] &lt;&gt; SelectFiscalYear, 1, 0),0)), "")</f>
        <v/>
      </c>
    </row>
    <row r="59" spans="1:12" x14ac:dyDescent="0.25">
      <c r="A59">
        <v>53</v>
      </c>
      <c r="B59" t="str">
        <f>IF($A59 &gt; MemberOrgs_NumRow, "", IFERROR(IF(SelectMemberOrgs = "*", $A59, _xlfn.AGGREGATE(15, 6, (1/(MemberOrgsData[Auditee Name] = SelectMemberOrgs))*ROW(MemberOrgsData[Auditee Name])*(1/(MemberOrgsData[AUDITYEAR] = SelectFiscalYear))*(MemberOrgsData[AUDITYEAR] = SelectFiscalYear), $A59)-MemberOrgs_TopRow), ""))</f>
        <v/>
      </c>
      <c r="C59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59" t="str">
        <f t="array" ref="L59">IFERROR(INDEX(MemberOrgsData[Auditee Name], MATCH(0, INDEX(COUNTIF($L$2:L58, MemberOrgsData[Auditee Name]),)+IF(MemberOrgsData[AUDITYEAR] &lt;&gt; SelectFiscalYear, 1, 0),0)), "")</f>
        <v/>
      </c>
    </row>
    <row r="60" spans="1:12" x14ac:dyDescent="0.25">
      <c r="A60">
        <v>54</v>
      </c>
      <c r="B60" t="str">
        <f>IF($A60 &gt; MemberOrgs_NumRow, "", IFERROR(IF(SelectMemberOrgs = "*", $A60, _xlfn.AGGREGATE(15, 6, (1/(MemberOrgsData[Auditee Name] = SelectMemberOrgs))*ROW(MemberOrgsData[Auditee Name])*(1/(MemberOrgsData[AUDITYEAR] = SelectFiscalYear))*(MemberOrgsData[AUDITYEAR] = SelectFiscalYear), $A60)-MemberOrgs_TopRow), ""))</f>
        <v/>
      </c>
      <c r="C60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60" t="str">
        <f t="array" ref="L60">IFERROR(INDEX(MemberOrgsData[Auditee Name], MATCH(0, INDEX(COUNTIF($L$2:L59, MemberOrgsData[Auditee Name]),)+IF(MemberOrgsData[AUDITYEAR] &lt;&gt; SelectFiscalYear, 1, 0),0)), "")</f>
        <v/>
      </c>
    </row>
    <row r="61" spans="1:12" x14ac:dyDescent="0.25">
      <c r="A61">
        <v>55</v>
      </c>
      <c r="B61" t="str">
        <f>IF($A61 &gt; MemberOrgs_NumRow, "", IFERROR(IF(SelectMemberOrgs = "*", $A61, _xlfn.AGGREGATE(15, 6, (1/(MemberOrgsData[Auditee Name] = SelectMemberOrgs))*ROW(MemberOrgsData[Auditee Name])*(1/(MemberOrgsData[AUDITYEAR] = SelectFiscalYear))*(MemberOrgsData[AUDITYEAR] = SelectFiscalYear), $A61)-MemberOrgs_TopRow), ""))</f>
        <v/>
      </c>
      <c r="C61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61" t="str">
        <f t="array" ref="L61">IFERROR(INDEX(MemberOrgsData[Auditee Name], MATCH(0, INDEX(COUNTIF($L$2:L60, MemberOrgsData[Auditee Name]),)+IF(MemberOrgsData[AUDITYEAR] &lt;&gt; SelectFiscalYear, 1, 0),0)), "")</f>
        <v/>
      </c>
    </row>
    <row r="62" spans="1:12" x14ac:dyDescent="0.25">
      <c r="A62">
        <v>56</v>
      </c>
      <c r="B62" t="str">
        <f>IF($A62 &gt; MemberOrgs_NumRow, "", IFERROR(IF(SelectMemberOrgs = "*", $A62, _xlfn.AGGREGATE(15, 6, (1/(MemberOrgsData[Auditee Name] = SelectMemberOrgs))*ROW(MemberOrgsData[Auditee Name])*(1/(MemberOrgsData[AUDITYEAR] = SelectFiscalYear))*(MemberOrgsData[AUDITYEAR] = SelectFiscalYear), $A62)-MemberOrgs_TopRow), ""))</f>
        <v/>
      </c>
      <c r="C62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62" t="str">
        <f t="array" ref="L62">IFERROR(INDEX(MemberOrgsData[Auditee Name], MATCH(0, INDEX(COUNTIF($L$2:L61, MemberOrgsData[Auditee Name]),)+IF(MemberOrgsData[AUDITYEAR] &lt;&gt; SelectFiscalYear, 1, 0),0)), "")</f>
        <v/>
      </c>
    </row>
    <row r="63" spans="1:12" x14ac:dyDescent="0.25">
      <c r="A63">
        <v>57</v>
      </c>
      <c r="B63" t="str">
        <f>IF($A63 &gt; MemberOrgs_NumRow, "", IFERROR(IF(SelectMemberOrgs = "*", $A63, _xlfn.AGGREGATE(15, 6, (1/(MemberOrgsData[Auditee Name] = SelectMemberOrgs))*ROW(MemberOrgsData[Auditee Name])*(1/(MemberOrgsData[AUDITYEAR] = SelectFiscalYear))*(MemberOrgsData[AUDITYEAR] = SelectFiscalYear), $A63)-MemberOrgs_TopRow), ""))</f>
        <v/>
      </c>
      <c r="C63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63" t="str">
        <f t="array" ref="L63">IFERROR(INDEX(MemberOrgsData[Auditee Name], MATCH(0, INDEX(COUNTIF($L$2:L62, MemberOrgsData[Auditee Name]),)+IF(MemberOrgsData[AUDITYEAR] &lt;&gt; SelectFiscalYear, 1, 0),0)), "")</f>
        <v/>
      </c>
    </row>
    <row r="64" spans="1:12" x14ac:dyDescent="0.25">
      <c r="A64">
        <v>58</v>
      </c>
      <c r="B64" t="str">
        <f>IF($A64 &gt; MemberOrgs_NumRow, "", IFERROR(IF(SelectMemberOrgs = "*", $A64, _xlfn.AGGREGATE(15, 6, (1/(MemberOrgsData[Auditee Name] = SelectMemberOrgs))*ROW(MemberOrgsData[Auditee Name])*(1/(MemberOrgsData[AUDITYEAR] = SelectFiscalYear))*(MemberOrgsData[AUDITYEAR] = SelectFiscalYear), $A64)-MemberOrgs_TopRow), ""))</f>
        <v/>
      </c>
      <c r="C64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64" t="str">
        <f t="array" ref="L64">IFERROR(INDEX(MemberOrgsData[Auditee Name], MATCH(0, INDEX(COUNTIF($L$2:L63, MemberOrgsData[Auditee Name]),)+IF(MemberOrgsData[AUDITYEAR] &lt;&gt; SelectFiscalYear, 1, 0),0)), "")</f>
        <v/>
      </c>
    </row>
    <row r="65" spans="1:12" x14ac:dyDescent="0.25">
      <c r="A65">
        <v>59</v>
      </c>
      <c r="B65" t="str">
        <f>IF($A65 &gt; MemberOrgs_NumRow, "", IFERROR(IF(SelectMemberOrgs = "*", $A65, _xlfn.AGGREGATE(15, 6, (1/(MemberOrgsData[Auditee Name] = SelectMemberOrgs))*ROW(MemberOrgsData[Auditee Name])*(1/(MemberOrgsData[AUDITYEAR] = SelectFiscalYear))*(MemberOrgsData[AUDITYEAR] = SelectFiscalYear), $A65)-MemberOrgs_TopRow), ""))</f>
        <v/>
      </c>
      <c r="C65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65" t="str">
        <f t="array" ref="L65">IFERROR(INDEX(MemberOrgsData[Auditee Name], MATCH(0, INDEX(COUNTIF($L$2:L64, MemberOrgsData[Auditee Name]),)+IF(MemberOrgsData[AUDITYEAR] &lt;&gt; SelectFiscalYear, 1, 0),0)), "")</f>
        <v/>
      </c>
    </row>
    <row r="66" spans="1:12" x14ac:dyDescent="0.25">
      <c r="A66">
        <v>60</v>
      </c>
      <c r="B66" t="str">
        <f>IF($A66 &gt; MemberOrgs_NumRow, "", IFERROR(IF(SelectMemberOrgs = "*", $A66, _xlfn.AGGREGATE(15, 6, (1/(MemberOrgsData[Auditee Name] = SelectMemberOrgs))*ROW(MemberOrgsData[Auditee Name])*(1/(MemberOrgsData[AUDITYEAR] = SelectFiscalYear))*(MemberOrgsData[AUDITYEAR] = SelectFiscalYear), $A66)-MemberOrgs_TopRow), ""))</f>
        <v/>
      </c>
      <c r="C66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66" t="str">
        <f t="array" ref="L66">IFERROR(INDEX(MemberOrgsData[Auditee Name], MATCH(0, INDEX(COUNTIF($L$2:L65, MemberOrgsData[Auditee Name]),)+IF(MemberOrgsData[AUDITYEAR] &lt;&gt; SelectFiscalYear, 1, 0),0)), "")</f>
        <v/>
      </c>
    </row>
    <row r="67" spans="1:12" x14ac:dyDescent="0.25">
      <c r="A67">
        <v>61</v>
      </c>
      <c r="B67" t="str">
        <f>IF($A67 &gt; MemberOrgs_NumRow, "", IFERROR(IF(SelectMemberOrgs = "*", $A67, _xlfn.AGGREGATE(15, 6, (1/(MemberOrgsData[Auditee Name] = SelectMemberOrgs))*ROW(MemberOrgsData[Auditee Name])*(1/(MemberOrgsData[AUDITYEAR] = SelectFiscalYear))*(MemberOrgsData[AUDITYEAR] = SelectFiscalYear), $A67)-MemberOrgs_TopRow), ""))</f>
        <v/>
      </c>
      <c r="C67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67" t="str">
        <f t="array" ref="L67">IFERROR(INDEX(MemberOrgsData[Auditee Name], MATCH(0, INDEX(COUNTIF($L$2:L66, MemberOrgsData[Auditee Name]),)+IF(MemberOrgsData[AUDITYEAR] &lt;&gt; SelectFiscalYear, 1, 0),0)), "")</f>
        <v/>
      </c>
    </row>
    <row r="68" spans="1:12" x14ac:dyDescent="0.25">
      <c r="A68">
        <v>62</v>
      </c>
      <c r="B68" t="str">
        <f>IF($A68 &gt; MemberOrgs_NumRow, "", IFERROR(IF(SelectMemberOrgs = "*", $A68, _xlfn.AGGREGATE(15, 6, (1/(MemberOrgsData[Auditee Name] = SelectMemberOrgs))*ROW(MemberOrgsData[Auditee Name])*(1/(MemberOrgsData[AUDITYEAR] = SelectFiscalYear))*(MemberOrgsData[AUDITYEAR] = SelectFiscalYear), $A68)-MemberOrgs_TopRow), ""))</f>
        <v/>
      </c>
      <c r="C68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68" t="str">
        <f t="array" ref="L68">IFERROR(INDEX(MemberOrgsData[Auditee Name], MATCH(0, INDEX(COUNTIF($L$2:L67, MemberOrgsData[Auditee Name]),)+IF(MemberOrgsData[AUDITYEAR] &lt;&gt; SelectFiscalYear, 1, 0),0)), "")</f>
        <v/>
      </c>
    </row>
    <row r="69" spans="1:12" x14ac:dyDescent="0.25">
      <c r="A69">
        <v>63</v>
      </c>
      <c r="B69" t="str">
        <f>IF($A69 &gt; MemberOrgs_NumRow, "", IFERROR(IF(SelectMemberOrgs = "*", $A69, _xlfn.AGGREGATE(15, 6, (1/(MemberOrgsData[Auditee Name] = SelectMemberOrgs))*ROW(MemberOrgsData[Auditee Name])*(1/(MemberOrgsData[AUDITYEAR] = SelectFiscalYear))*(MemberOrgsData[AUDITYEAR] = SelectFiscalYear), $A69)-MemberOrgs_TopRow), ""))</f>
        <v/>
      </c>
      <c r="C69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69" t="str">
        <f t="array" ref="L69">IFERROR(INDEX(MemberOrgsData[Auditee Name], MATCH(0, INDEX(COUNTIF($L$2:L68, MemberOrgsData[Auditee Name]),)+IF(MemberOrgsData[AUDITYEAR] &lt;&gt; SelectFiscalYear, 1, 0),0)), "")</f>
        <v/>
      </c>
    </row>
    <row r="70" spans="1:12" x14ac:dyDescent="0.25">
      <c r="A70">
        <v>64</v>
      </c>
      <c r="B70" t="str">
        <f>IF($A70 &gt; MemberOrgs_NumRow, "", IFERROR(IF(SelectMemberOrgs = "*", $A70, _xlfn.AGGREGATE(15, 6, (1/(MemberOrgsData[Auditee Name] = SelectMemberOrgs))*ROW(MemberOrgsData[Auditee Name])*(1/(MemberOrgsData[AUDITYEAR] = SelectFiscalYear))*(MemberOrgsData[AUDITYEAR] = SelectFiscalYear), $A70)-MemberOrgs_TopRow), ""))</f>
        <v/>
      </c>
      <c r="C70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70" t="str">
        <f t="array" ref="L70">IFERROR(INDEX(MemberOrgsData[Auditee Name], MATCH(0, INDEX(COUNTIF($L$2:L69, MemberOrgsData[Auditee Name]),)+IF(MemberOrgsData[AUDITYEAR] &lt;&gt; SelectFiscalYear, 1, 0),0)), "")</f>
        <v/>
      </c>
    </row>
    <row r="71" spans="1:12" x14ac:dyDescent="0.25">
      <c r="A71">
        <v>65</v>
      </c>
      <c r="B71" t="str">
        <f>IF($A71 &gt; MemberOrgs_NumRow, "", IFERROR(IF(SelectMemberOrgs = "*", $A71, _xlfn.AGGREGATE(15, 6, (1/(MemberOrgsData[Auditee Name] = SelectMemberOrgs))*ROW(MemberOrgsData[Auditee Name])*(1/(MemberOrgsData[AUDITYEAR] = SelectFiscalYear))*(MemberOrgsData[AUDITYEAR] = SelectFiscalYear), $A71)-MemberOrgs_TopRow), ""))</f>
        <v/>
      </c>
      <c r="C71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71" t="str">
        <f t="array" ref="L71">IFERROR(INDEX(MemberOrgsData[Auditee Name], MATCH(0, INDEX(COUNTIF($L$2:L70, MemberOrgsData[Auditee Name]),)+IF(MemberOrgsData[AUDITYEAR] &lt;&gt; SelectFiscalYear, 1, 0),0)), "")</f>
        <v/>
      </c>
    </row>
    <row r="72" spans="1:12" x14ac:dyDescent="0.25">
      <c r="A72">
        <v>66</v>
      </c>
      <c r="B72" t="str">
        <f>IF($A72 &gt; MemberOrgs_NumRow, "", IFERROR(IF(SelectMemberOrgs = "*", $A72, _xlfn.AGGREGATE(15, 6, (1/(MemberOrgsData[Auditee Name] = SelectMemberOrgs))*ROW(MemberOrgsData[Auditee Name])*(1/(MemberOrgsData[AUDITYEAR] = SelectFiscalYear))*(MemberOrgsData[AUDITYEAR] = SelectFiscalYear), $A72)-MemberOrgs_TopRow), ""))</f>
        <v/>
      </c>
      <c r="C72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72" t="str">
        <f t="array" ref="L72">IFERROR(INDEX(MemberOrgsData[Auditee Name], MATCH(0, INDEX(COUNTIF($L$2:L71, MemberOrgsData[Auditee Name]),)+IF(MemberOrgsData[AUDITYEAR] &lt;&gt; SelectFiscalYear, 1, 0),0)), "")</f>
        <v/>
      </c>
    </row>
    <row r="73" spans="1:12" x14ac:dyDescent="0.25">
      <c r="A73">
        <v>67</v>
      </c>
      <c r="B73" t="str">
        <f>IF($A73 &gt; MemberOrgs_NumRow, "", IFERROR(IF(SelectMemberOrgs = "*", $A73, _xlfn.AGGREGATE(15, 6, (1/(MemberOrgsData[Auditee Name] = SelectMemberOrgs))*ROW(MemberOrgsData[Auditee Name])*(1/(MemberOrgsData[AUDITYEAR] = SelectFiscalYear))*(MemberOrgsData[AUDITYEAR] = SelectFiscalYear), $A73)-MemberOrgs_TopRow), ""))</f>
        <v/>
      </c>
      <c r="C73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73" t="str">
        <f t="array" ref="L73">IFERROR(INDEX(MemberOrgsData[Auditee Name], MATCH(0, INDEX(COUNTIF($L$2:L72, MemberOrgsData[Auditee Name]),)+IF(MemberOrgsData[AUDITYEAR] &lt;&gt; SelectFiscalYear, 1, 0),0)), "")</f>
        <v/>
      </c>
    </row>
    <row r="74" spans="1:12" x14ac:dyDescent="0.25">
      <c r="A74">
        <v>68</v>
      </c>
      <c r="B74" t="str">
        <f>IF($A74 &gt; MemberOrgs_NumRow, "", IFERROR(IF(SelectMemberOrgs = "*", $A74, _xlfn.AGGREGATE(15, 6, (1/(MemberOrgsData[Auditee Name] = SelectMemberOrgs))*ROW(MemberOrgsData[Auditee Name])*(1/(MemberOrgsData[AUDITYEAR] = SelectFiscalYear))*(MemberOrgsData[AUDITYEAR] = SelectFiscalYear), $A74)-MemberOrgs_TopRow), ""))</f>
        <v/>
      </c>
      <c r="C74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74" t="str">
        <f t="array" ref="L74">IFERROR(INDEX(MemberOrgsData[Auditee Name], MATCH(0, INDEX(COUNTIF($L$2:L73, MemberOrgsData[Auditee Name]),)+IF(MemberOrgsData[AUDITYEAR] &lt;&gt; SelectFiscalYear, 1, 0),0)), "")</f>
        <v/>
      </c>
    </row>
    <row r="75" spans="1:12" x14ac:dyDescent="0.25">
      <c r="A75">
        <v>69</v>
      </c>
      <c r="B75" t="str">
        <f>IF($A75 &gt; MemberOrgs_NumRow, "", IFERROR(IF(SelectMemberOrgs = "*", $A75, _xlfn.AGGREGATE(15, 6, (1/(MemberOrgsData[Auditee Name] = SelectMemberOrgs))*ROW(MemberOrgsData[Auditee Name])*(1/(MemberOrgsData[AUDITYEAR] = SelectFiscalYear))*(MemberOrgsData[AUDITYEAR] = SelectFiscalYear), $A75)-MemberOrgs_TopRow), ""))</f>
        <v/>
      </c>
      <c r="C75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75" t="str">
        <f t="array" ref="L75">IFERROR(INDEX(MemberOrgsData[Auditee Name], MATCH(0, INDEX(COUNTIF($L$2:L74, MemberOrgsData[Auditee Name]),)+IF(MemberOrgsData[AUDITYEAR] &lt;&gt; SelectFiscalYear, 1, 0),0)), "")</f>
        <v/>
      </c>
    </row>
    <row r="76" spans="1:12" x14ac:dyDescent="0.25">
      <c r="A76">
        <v>70</v>
      </c>
      <c r="B76" t="str">
        <f>IF($A76 &gt; MemberOrgs_NumRow, "", IFERROR(IF(SelectMemberOrgs = "*", $A76, _xlfn.AGGREGATE(15, 6, (1/(MemberOrgsData[Auditee Name] = SelectMemberOrgs))*ROW(MemberOrgsData[Auditee Name])*(1/(MemberOrgsData[AUDITYEAR] = SelectFiscalYear))*(MemberOrgsData[AUDITYEAR] = SelectFiscalYear), $A76)-MemberOrgs_TopRow), ""))</f>
        <v/>
      </c>
      <c r="C76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76" t="str">
        <f t="array" ref="L76">IFERROR(INDEX(MemberOrgsData[Auditee Name], MATCH(0, INDEX(COUNTIF($L$2:L75, MemberOrgsData[Auditee Name]),)+IF(MemberOrgsData[AUDITYEAR] &lt;&gt; SelectFiscalYear, 1, 0),0)), "")</f>
        <v/>
      </c>
    </row>
    <row r="77" spans="1:12" x14ac:dyDescent="0.25">
      <c r="A77">
        <v>71</v>
      </c>
      <c r="B77" t="str">
        <f>IF($A77 &gt; MemberOrgs_NumRow, "", IFERROR(IF(SelectMemberOrgs = "*", $A77, _xlfn.AGGREGATE(15, 6, (1/(MemberOrgsData[Auditee Name] = SelectMemberOrgs))*ROW(MemberOrgsData[Auditee Name])*(1/(MemberOrgsData[AUDITYEAR] = SelectFiscalYear))*(MemberOrgsData[AUDITYEAR] = SelectFiscalYear), $A77)-MemberOrgs_TopRow), ""))</f>
        <v/>
      </c>
      <c r="C77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77" t="str">
        <f t="array" ref="L77">IFERROR(INDEX(MemberOrgsData[Auditee Name], MATCH(0, INDEX(COUNTIF($L$2:L76, MemberOrgsData[Auditee Name]),)+IF(MemberOrgsData[AUDITYEAR] &lt;&gt; SelectFiscalYear, 1, 0),0)), "")</f>
        <v/>
      </c>
    </row>
    <row r="78" spans="1:12" x14ac:dyDescent="0.25">
      <c r="A78">
        <v>72</v>
      </c>
      <c r="B78" t="str">
        <f>IF($A78 &gt; MemberOrgs_NumRow, "", IFERROR(IF(SelectMemberOrgs = "*", $A78, _xlfn.AGGREGATE(15, 6, (1/(MemberOrgsData[Auditee Name] = SelectMemberOrgs))*ROW(MemberOrgsData[Auditee Name])*(1/(MemberOrgsData[AUDITYEAR] = SelectFiscalYear))*(MemberOrgsData[AUDITYEAR] = SelectFiscalYear), $A78)-MemberOrgs_TopRow), ""))</f>
        <v/>
      </c>
      <c r="C78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78" t="str">
        <f t="array" ref="L78">IFERROR(INDEX(MemberOrgsData[Auditee Name], MATCH(0, INDEX(COUNTIF($L$2:L77, MemberOrgsData[Auditee Name]),)+IF(MemberOrgsData[AUDITYEAR] &lt;&gt; SelectFiscalYear, 1, 0),0)), "")</f>
        <v/>
      </c>
    </row>
    <row r="79" spans="1:12" x14ac:dyDescent="0.25">
      <c r="A79">
        <v>73</v>
      </c>
      <c r="B79" t="str">
        <f>IF($A79 &gt; MemberOrgs_NumRow, "", IFERROR(IF(SelectMemberOrgs = "*", $A79, _xlfn.AGGREGATE(15, 6, (1/(MemberOrgsData[Auditee Name] = SelectMemberOrgs))*ROW(MemberOrgsData[Auditee Name])*(1/(MemberOrgsData[AUDITYEAR] = SelectFiscalYear))*(MemberOrgsData[AUDITYEAR] = SelectFiscalYear), $A79)-MemberOrgs_TopRow), ""))</f>
        <v/>
      </c>
      <c r="C79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79" t="str">
        <f t="array" ref="L79">IFERROR(INDEX(MemberOrgsData[Auditee Name], MATCH(0, INDEX(COUNTIF($L$2:L78, MemberOrgsData[Auditee Name]),)+IF(MemberOrgsData[AUDITYEAR] &lt;&gt; SelectFiscalYear, 1, 0),0)), "")</f>
        <v/>
      </c>
    </row>
    <row r="80" spans="1:12" x14ac:dyDescent="0.25">
      <c r="A80">
        <v>74</v>
      </c>
      <c r="B80" t="str">
        <f>IF($A80 &gt; MemberOrgs_NumRow, "", IFERROR(IF(SelectMemberOrgs = "*", $A80, _xlfn.AGGREGATE(15, 6, (1/(MemberOrgsData[Auditee Name] = SelectMemberOrgs))*ROW(MemberOrgsData[Auditee Name])*(1/(MemberOrgsData[AUDITYEAR] = SelectFiscalYear))*(MemberOrgsData[AUDITYEAR] = SelectFiscalYear), $A80)-MemberOrgs_TopRow), ""))</f>
        <v/>
      </c>
      <c r="C80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80" t="str">
        <f t="array" ref="L80">IFERROR(INDEX(MemberOrgsData[Auditee Name], MATCH(0, INDEX(COUNTIF($L$2:L79, MemberOrgsData[Auditee Name]),)+IF(MemberOrgsData[AUDITYEAR] &lt;&gt; SelectFiscalYear, 1, 0),0)), "")</f>
        <v/>
      </c>
    </row>
    <row r="81" spans="1:12" x14ac:dyDescent="0.25">
      <c r="A81">
        <v>75</v>
      </c>
      <c r="B81" t="str">
        <f>IF($A81 &gt; MemberOrgs_NumRow, "", IFERROR(IF(SelectMemberOrgs = "*", $A81, _xlfn.AGGREGATE(15, 6, (1/(MemberOrgsData[Auditee Name] = SelectMemberOrgs))*ROW(MemberOrgsData[Auditee Name])*(1/(MemberOrgsData[AUDITYEAR] = SelectFiscalYear))*(MemberOrgsData[AUDITYEAR] = SelectFiscalYear), $A81)-MemberOrgs_TopRow), ""))</f>
        <v/>
      </c>
      <c r="C81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81" t="str">
        <f t="array" ref="L81">IFERROR(INDEX(MemberOrgsData[Auditee Name], MATCH(0, INDEX(COUNTIF($L$2:L80, MemberOrgsData[Auditee Name]),)+IF(MemberOrgsData[AUDITYEAR] &lt;&gt; SelectFiscalYear, 1, 0),0)), "")</f>
        <v/>
      </c>
    </row>
    <row r="82" spans="1:12" x14ac:dyDescent="0.25">
      <c r="A82">
        <v>76</v>
      </c>
      <c r="B82" t="str">
        <f>IF($A82 &gt; MemberOrgs_NumRow, "", IFERROR(IF(SelectMemberOrgs = "*", $A82, _xlfn.AGGREGATE(15, 6, (1/(MemberOrgsData[Auditee Name] = SelectMemberOrgs))*ROW(MemberOrgsData[Auditee Name])*(1/(MemberOrgsData[AUDITYEAR] = SelectFiscalYear))*(MemberOrgsData[AUDITYEAR] = SelectFiscalYear), $A82)-MemberOrgs_TopRow), ""))</f>
        <v/>
      </c>
      <c r="C82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82" t="str">
        <f t="array" ref="L82">IFERROR(INDEX(MemberOrgsData[Auditee Name], MATCH(0, INDEX(COUNTIF($L$2:L81, MemberOrgsData[Auditee Name]),)+IF(MemberOrgsData[AUDITYEAR] &lt;&gt; SelectFiscalYear, 1, 0),0)), "")</f>
        <v/>
      </c>
    </row>
    <row r="83" spans="1:12" x14ac:dyDescent="0.25">
      <c r="A83">
        <v>77</v>
      </c>
      <c r="B83" t="str">
        <f>IF($A83 &gt; MemberOrgs_NumRow, "", IFERROR(IF(SelectMemberOrgs = "*", $A83, _xlfn.AGGREGATE(15, 6, (1/(MemberOrgsData[Auditee Name] = SelectMemberOrgs))*ROW(MemberOrgsData[Auditee Name])*(1/(MemberOrgsData[AUDITYEAR] = SelectFiscalYear))*(MemberOrgsData[AUDITYEAR] = SelectFiscalYear), $A83)-MemberOrgs_TopRow), ""))</f>
        <v/>
      </c>
      <c r="C83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83" t="str">
        <f t="array" ref="L83">IFERROR(INDEX(MemberOrgsData[Auditee Name], MATCH(0, INDEX(COUNTIF($L$2:L82, MemberOrgsData[Auditee Name]),)+IF(MemberOrgsData[AUDITYEAR] &lt;&gt; SelectFiscalYear, 1, 0),0)), "")</f>
        <v/>
      </c>
    </row>
    <row r="84" spans="1:12" x14ac:dyDescent="0.25">
      <c r="A84">
        <v>78</v>
      </c>
      <c r="B84" t="str">
        <f>IF($A84 &gt; MemberOrgs_NumRow, "", IFERROR(IF(SelectMemberOrgs = "*", $A84, _xlfn.AGGREGATE(15, 6, (1/(MemberOrgsData[Auditee Name] = SelectMemberOrgs))*ROW(MemberOrgsData[Auditee Name])*(1/(MemberOrgsData[AUDITYEAR] = SelectFiscalYear))*(MemberOrgsData[AUDITYEAR] = SelectFiscalYear), $A84)-MemberOrgs_TopRow), ""))</f>
        <v/>
      </c>
      <c r="C84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84" t="str">
        <f t="array" ref="L84">IFERROR(INDEX(MemberOrgsData[Auditee Name], MATCH(0, INDEX(COUNTIF($L$2:L83, MemberOrgsData[Auditee Name]),)+IF(MemberOrgsData[AUDITYEAR] &lt;&gt; SelectFiscalYear, 1, 0),0)), "")</f>
        <v/>
      </c>
    </row>
    <row r="85" spans="1:12" x14ac:dyDescent="0.25">
      <c r="A85">
        <v>79</v>
      </c>
      <c r="B85" t="str">
        <f>IF($A85 &gt; MemberOrgs_NumRow, "", IFERROR(IF(SelectMemberOrgs = "*", $A85, _xlfn.AGGREGATE(15, 6, (1/(MemberOrgsData[Auditee Name] = SelectMemberOrgs))*ROW(MemberOrgsData[Auditee Name])*(1/(MemberOrgsData[AUDITYEAR] = SelectFiscalYear))*(MemberOrgsData[AUDITYEAR] = SelectFiscalYear), $A85)-MemberOrgs_TopRow), ""))</f>
        <v/>
      </c>
      <c r="C85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85" t="str">
        <f t="array" ref="L85">IFERROR(INDEX(MemberOrgsData[Auditee Name], MATCH(0, INDEX(COUNTIF($L$2:L84, MemberOrgsData[Auditee Name]),)+IF(MemberOrgsData[AUDITYEAR] &lt;&gt; SelectFiscalYear, 1, 0),0)), "")</f>
        <v/>
      </c>
    </row>
    <row r="86" spans="1:12" x14ac:dyDescent="0.25">
      <c r="A86">
        <v>80</v>
      </c>
      <c r="B86" t="str">
        <f>IF($A86 &gt; MemberOrgs_NumRow, "", IFERROR(IF(SelectMemberOrgs = "*", $A86, _xlfn.AGGREGATE(15, 6, (1/(MemberOrgsData[Auditee Name] = SelectMemberOrgs))*ROW(MemberOrgsData[Auditee Name])*(1/(MemberOrgsData[AUDITYEAR] = SelectFiscalYear))*(MemberOrgsData[AUDITYEAR] = SelectFiscalYear), $A86)-MemberOrgs_TopRow), ""))</f>
        <v/>
      </c>
      <c r="C86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86" t="str">
        <f t="array" ref="L86">IFERROR(INDEX(MemberOrgsData[Auditee Name], MATCH(0, INDEX(COUNTIF($L$2:L85, MemberOrgsData[Auditee Name]),)+IF(MemberOrgsData[AUDITYEAR] &lt;&gt; SelectFiscalYear, 1, 0),0)), "")</f>
        <v/>
      </c>
    </row>
    <row r="87" spans="1:12" x14ac:dyDescent="0.25">
      <c r="A87">
        <v>81</v>
      </c>
      <c r="B87" t="str">
        <f>IF($A87 &gt; MemberOrgs_NumRow, "", IFERROR(IF(SelectMemberOrgs = "*", $A87, _xlfn.AGGREGATE(15, 6, (1/(MemberOrgsData[Auditee Name] = SelectMemberOrgs))*ROW(MemberOrgsData[Auditee Name])*(1/(MemberOrgsData[AUDITYEAR] = SelectFiscalYear))*(MemberOrgsData[AUDITYEAR] = SelectFiscalYear), $A87)-MemberOrgs_TopRow), ""))</f>
        <v/>
      </c>
      <c r="C87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87" t="str">
        <f t="array" ref="L87">IFERROR(INDEX(MemberOrgsData[Auditee Name], MATCH(0, INDEX(COUNTIF($L$2:L86, MemberOrgsData[Auditee Name]),)+IF(MemberOrgsData[AUDITYEAR] &lt;&gt; SelectFiscalYear, 1, 0),0)), "")</f>
        <v/>
      </c>
    </row>
    <row r="88" spans="1:12" x14ac:dyDescent="0.25">
      <c r="A88">
        <v>82</v>
      </c>
      <c r="B88" t="str">
        <f>IF($A88 &gt; MemberOrgs_NumRow, "", IFERROR(IF(SelectMemberOrgs = "*", $A88, _xlfn.AGGREGATE(15, 6, (1/(MemberOrgsData[Auditee Name] = SelectMemberOrgs))*ROW(MemberOrgsData[Auditee Name])*(1/(MemberOrgsData[AUDITYEAR] = SelectFiscalYear))*(MemberOrgsData[AUDITYEAR] = SelectFiscalYear), $A88)-MemberOrgs_TopRow), ""))</f>
        <v/>
      </c>
      <c r="C88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88" t="str">
        <f t="array" ref="L88">IFERROR(INDEX(MemberOrgsData[Auditee Name], MATCH(0, INDEX(COUNTIF($L$2:L87, MemberOrgsData[Auditee Name]),)+IF(MemberOrgsData[AUDITYEAR] &lt;&gt; SelectFiscalYear, 1, 0),0)), "")</f>
        <v/>
      </c>
    </row>
    <row r="89" spans="1:12" x14ac:dyDescent="0.25">
      <c r="A89">
        <v>83</v>
      </c>
      <c r="B89" t="str">
        <f>IF($A89 &gt; MemberOrgs_NumRow, "", IFERROR(IF(SelectMemberOrgs = "*", $A89, _xlfn.AGGREGATE(15, 6, (1/(MemberOrgsData[Auditee Name] = SelectMemberOrgs))*ROW(MemberOrgsData[Auditee Name])*(1/(MemberOrgsData[AUDITYEAR] = SelectFiscalYear))*(MemberOrgsData[AUDITYEAR] = SelectFiscalYear), $A89)-MemberOrgs_TopRow), ""))</f>
        <v/>
      </c>
      <c r="C89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89" t="str">
        <f t="array" ref="L89">IFERROR(INDEX(MemberOrgsData[Auditee Name], MATCH(0, INDEX(COUNTIF($L$2:L88, MemberOrgsData[Auditee Name]),)+IF(MemberOrgsData[AUDITYEAR] &lt;&gt; SelectFiscalYear, 1, 0),0)), "")</f>
        <v/>
      </c>
    </row>
    <row r="90" spans="1:12" x14ac:dyDescent="0.25">
      <c r="A90">
        <v>84</v>
      </c>
      <c r="B90" t="str">
        <f>IF($A90 &gt; MemberOrgs_NumRow, "", IFERROR(IF(SelectMemberOrgs = "*", $A90, _xlfn.AGGREGATE(15, 6, (1/(MemberOrgsData[Auditee Name] = SelectMemberOrgs))*ROW(MemberOrgsData[Auditee Name])*(1/(MemberOrgsData[AUDITYEAR] = SelectFiscalYear))*(MemberOrgsData[AUDITYEAR] = SelectFiscalYear), $A90)-MemberOrgs_TopRow), ""))</f>
        <v/>
      </c>
      <c r="C90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90" t="str">
        <f t="array" ref="L90">IFERROR(INDEX(MemberOrgsData[Auditee Name], MATCH(0, INDEX(COUNTIF($L$2:L89, MemberOrgsData[Auditee Name]),)+IF(MemberOrgsData[AUDITYEAR] &lt;&gt; SelectFiscalYear, 1, 0),0)), "")</f>
        <v/>
      </c>
    </row>
    <row r="91" spans="1:12" x14ac:dyDescent="0.25">
      <c r="A91">
        <v>85</v>
      </c>
      <c r="B91" t="str">
        <f>IF($A91 &gt; MemberOrgs_NumRow, "", IFERROR(IF(SelectMemberOrgs = "*", $A91, _xlfn.AGGREGATE(15, 6, (1/(MemberOrgsData[Auditee Name] = SelectMemberOrgs))*ROW(MemberOrgsData[Auditee Name])*(1/(MemberOrgsData[AUDITYEAR] = SelectFiscalYear))*(MemberOrgsData[AUDITYEAR] = SelectFiscalYear), $A91)-MemberOrgs_TopRow), ""))</f>
        <v/>
      </c>
      <c r="C91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91" t="str">
        <f t="array" ref="L91">IFERROR(INDEX(MemberOrgsData[Auditee Name], MATCH(0, INDEX(COUNTIF($L$2:L90, MemberOrgsData[Auditee Name]),)+IF(MemberOrgsData[AUDITYEAR] &lt;&gt; SelectFiscalYear, 1, 0),0)), "")</f>
        <v/>
      </c>
    </row>
    <row r="92" spans="1:12" x14ac:dyDescent="0.25">
      <c r="A92">
        <v>86</v>
      </c>
      <c r="B92" t="str">
        <f>IF($A92 &gt; MemberOrgs_NumRow, "", IFERROR(IF(SelectMemberOrgs = "*", $A92, _xlfn.AGGREGATE(15, 6, (1/(MemberOrgsData[Auditee Name] = SelectMemberOrgs))*ROW(MemberOrgsData[Auditee Name])*(1/(MemberOrgsData[AUDITYEAR] = SelectFiscalYear))*(MemberOrgsData[AUDITYEAR] = SelectFiscalYear), $A92)-MemberOrgs_TopRow), ""))</f>
        <v/>
      </c>
      <c r="C92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92" t="str">
        <f t="array" ref="L92">IFERROR(INDEX(MemberOrgsData[Auditee Name], MATCH(0, INDEX(COUNTIF($L$2:L91, MemberOrgsData[Auditee Name]),)+IF(MemberOrgsData[AUDITYEAR] &lt;&gt; SelectFiscalYear, 1, 0),0)), "")</f>
        <v/>
      </c>
    </row>
    <row r="93" spans="1:12" x14ac:dyDescent="0.25">
      <c r="A93">
        <v>87</v>
      </c>
      <c r="B93" t="str">
        <f>IF($A93 &gt; MemberOrgs_NumRow, "", IFERROR(IF(SelectMemberOrgs = "*", $A93, _xlfn.AGGREGATE(15, 6, (1/(MemberOrgsData[Auditee Name] = SelectMemberOrgs))*ROW(MemberOrgsData[Auditee Name])*(1/(MemberOrgsData[AUDITYEAR] = SelectFiscalYear))*(MemberOrgsData[AUDITYEAR] = SelectFiscalYear), $A93)-MemberOrgs_TopRow), ""))</f>
        <v/>
      </c>
      <c r="C93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93" t="str">
        <f t="array" ref="L93">IFERROR(INDEX(MemberOrgsData[Auditee Name], MATCH(0, INDEX(COUNTIF($L$2:L92, MemberOrgsData[Auditee Name]),)+IF(MemberOrgsData[AUDITYEAR] &lt;&gt; SelectFiscalYear, 1, 0),0)), "")</f>
        <v/>
      </c>
    </row>
    <row r="94" spans="1:12" x14ac:dyDescent="0.25">
      <c r="A94">
        <v>88</v>
      </c>
      <c r="B94" t="str">
        <f>IF($A94 &gt; MemberOrgs_NumRow, "", IFERROR(IF(SelectMemberOrgs = "*", $A94, _xlfn.AGGREGATE(15, 6, (1/(MemberOrgsData[Auditee Name] = SelectMemberOrgs))*ROW(MemberOrgsData[Auditee Name])*(1/(MemberOrgsData[AUDITYEAR] = SelectFiscalYear))*(MemberOrgsData[AUDITYEAR] = SelectFiscalYear), $A94)-MemberOrgs_TopRow), ""))</f>
        <v/>
      </c>
      <c r="C94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94" t="str">
        <f t="array" ref="L94">IFERROR(INDEX(MemberOrgsData[Auditee Name], MATCH(0, INDEX(COUNTIF($L$2:L93, MemberOrgsData[Auditee Name]),)+IF(MemberOrgsData[AUDITYEAR] &lt;&gt; SelectFiscalYear, 1, 0),0)), "")</f>
        <v/>
      </c>
    </row>
    <row r="95" spans="1:12" x14ac:dyDescent="0.25">
      <c r="A95">
        <v>89</v>
      </c>
      <c r="B95" t="str">
        <f>IF($A95 &gt; MemberOrgs_NumRow, "", IFERROR(IF(SelectMemberOrgs = "*", $A95, _xlfn.AGGREGATE(15, 6, (1/(MemberOrgsData[Auditee Name] = SelectMemberOrgs))*ROW(MemberOrgsData[Auditee Name])*(1/(MemberOrgsData[AUDITYEAR] = SelectFiscalYear))*(MemberOrgsData[AUDITYEAR] = SelectFiscalYear), $A95)-MemberOrgs_TopRow), ""))</f>
        <v/>
      </c>
      <c r="C95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95" t="str">
        <f t="array" ref="L95">IFERROR(INDEX(MemberOrgsData[Auditee Name], MATCH(0, INDEX(COUNTIF($L$2:L94, MemberOrgsData[Auditee Name]),)+IF(MemberOrgsData[AUDITYEAR] &lt;&gt; SelectFiscalYear, 1, 0),0)), "")</f>
        <v/>
      </c>
    </row>
    <row r="96" spans="1:12" x14ac:dyDescent="0.25">
      <c r="A96">
        <v>90</v>
      </c>
      <c r="B96" t="str">
        <f>IF($A96 &gt; MemberOrgs_NumRow, "", IFERROR(IF(SelectMemberOrgs = "*", $A96, _xlfn.AGGREGATE(15, 6, (1/(MemberOrgsData[Auditee Name] = SelectMemberOrgs))*ROW(MemberOrgsData[Auditee Name])*(1/(MemberOrgsData[AUDITYEAR] = SelectFiscalYear))*(MemberOrgsData[AUDITYEAR] = SelectFiscalYear), $A96)-MemberOrgs_TopRow), ""))</f>
        <v/>
      </c>
      <c r="C96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96" t="str">
        <f t="array" ref="L96">IFERROR(INDEX(MemberOrgsData[Auditee Name], MATCH(0, INDEX(COUNTIF($L$2:L95, MemberOrgsData[Auditee Name]),)+IF(MemberOrgsData[AUDITYEAR] &lt;&gt; SelectFiscalYear, 1, 0),0)), "")</f>
        <v/>
      </c>
    </row>
    <row r="97" spans="1:12" x14ac:dyDescent="0.25">
      <c r="A97">
        <v>91</v>
      </c>
      <c r="B97" t="str">
        <f>IF($A97 &gt; MemberOrgs_NumRow, "", IFERROR(IF(SelectMemberOrgs = "*", $A97, _xlfn.AGGREGATE(15, 6, (1/(MemberOrgsData[Auditee Name] = SelectMemberOrgs))*ROW(MemberOrgsData[Auditee Name])*(1/(MemberOrgsData[AUDITYEAR] = SelectFiscalYear))*(MemberOrgsData[AUDITYEAR] = SelectFiscalYear), $A97)-MemberOrgs_TopRow), ""))</f>
        <v/>
      </c>
      <c r="C97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97" t="str">
        <f t="array" ref="L97">IFERROR(INDEX(MemberOrgsData[Auditee Name], MATCH(0, INDEX(COUNTIF($L$2:L96, MemberOrgsData[Auditee Name]),)+IF(MemberOrgsData[AUDITYEAR] &lt;&gt; SelectFiscalYear, 1, 0),0)), "")</f>
        <v/>
      </c>
    </row>
    <row r="98" spans="1:12" x14ac:dyDescent="0.25">
      <c r="A98">
        <v>92</v>
      </c>
      <c r="B98" t="str">
        <f>IF($A98 &gt; MemberOrgs_NumRow, "", IFERROR(IF(SelectMemberOrgs = "*", $A98, _xlfn.AGGREGATE(15, 6, (1/(MemberOrgsData[Auditee Name] = SelectMemberOrgs))*ROW(MemberOrgsData[Auditee Name])*(1/(MemberOrgsData[AUDITYEAR] = SelectFiscalYear))*(MemberOrgsData[AUDITYEAR] = SelectFiscalYear), $A98)-MemberOrgs_TopRow), ""))</f>
        <v/>
      </c>
      <c r="C98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98" t="str">
        <f t="array" ref="L98">IFERROR(INDEX(MemberOrgsData[Auditee Name], MATCH(0, INDEX(COUNTIF($L$2:L97, MemberOrgsData[Auditee Name]),)+IF(MemberOrgsData[AUDITYEAR] &lt;&gt; SelectFiscalYear, 1, 0),0)), "")</f>
        <v/>
      </c>
    </row>
    <row r="99" spans="1:12" x14ac:dyDescent="0.25">
      <c r="A99">
        <v>93</v>
      </c>
      <c r="B99" t="str">
        <f>IF($A99 &gt; MemberOrgs_NumRow, "", IFERROR(IF(SelectMemberOrgs = "*", $A99, _xlfn.AGGREGATE(15, 6, (1/(MemberOrgsData[Auditee Name] = SelectMemberOrgs))*ROW(MemberOrgsData[Auditee Name])*(1/(MemberOrgsData[AUDITYEAR] = SelectFiscalYear))*(MemberOrgsData[AUDITYEAR] = SelectFiscalYear), $A99)-MemberOrgs_TopRow), ""))</f>
        <v/>
      </c>
      <c r="C99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99" t="str">
        <f t="array" ref="L99">IFERROR(INDEX(MemberOrgsData[Auditee Name], MATCH(0, INDEX(COUNTIF($L$2:L98, MemberOrgsData[Auditee Name]),)+IF(MemberOrgsData[AUDITYEAR] &lt;&gt; SelectFiscalYear, 1, 0),0)), "")</f>
        <v/>
      </c>
    </row>
    <row r="100" spans="1:12" x14ac:dyDescent="0.25">
      <c r="A100">
        <v>94</v>
      </c>
      <c r="B100" t="str">
        <f>IF($A100 &gt; MemberOrgs_NumRow, "", IFERROR(IF(SelectMemberOrgs = "*", $A100, _xlfn.AGGREGATE(15, 6, (1/(MemberOrgsData[Auditee Name] = SelectMemberOrgs))*ROW(MemberOrgsData[Auditee Name])*(1/(MemberOrgsData[AUDITYEAR] = SelectFiscalYear))*(MemberOrgsData[AUDITYEAR] = SelectFiscalYear), $A100)-MemberOrgs_TopRow), ""))</f>
        <v/>
      </c>
      <c r="C100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00" t="str">
        <f t="array" ref="L100">IFERROR(INDEX(MemberOrgsData[Auditee Name], MATCH(0, INDEX(COUNTIF($L$2:L99, MemberOrgsData[Auditee Name]),)+IF(MemberOrgsData[AUDITYEAR] &lt;&gt; SelectFiscalYear, 1, 0),0)), "")</f>
        <v/>
      </c>
    </row>
    <row r="101" spans="1:12" x14ac:dyDescent="0.25">
      <c r="A101">
        <v>95</v>
      </c>
      <c r="B101" t="str">
        <f>IF($A101 &gt; MemberOrgs_NumRow, "", IFERROR(IF(SelectMemberOrgs = "*", $A101, _xlfn.AGGREGATE(15, 6, (1/(MemberOrgsData[Auditee Name] = SelectMemberOrgs))*ROW(MemberOrgsData[Auditee Name])*(1/(MemberOrgsData[AUDITYEAR] = SelectFiscalYear))*(MemberOrgsData[AUDITYEAR] = SelectFiscalYear), $A101)-MemberOrgs_TopRow), ""))</f>
        <v/>
      </c>
      <c r="C101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01" t="str">
        <f t="array" ref="L101">IFERROR(INDEX(MemberOrgsData[Auditee Name], MATCH(0, INDEX(COUNTIF($L$2:L100, MemberOrgsData[Auditee Name]),)+IF(MemberOrgsData[AUDITYEAR] &lt;&gt; SelectFiscalYear, 1, 0),0)), "")</f>
        <v/>
      </c>
    </row>
    <row r="102" spans="1:12" x14ac:dyDescent="0.25">
      <c r="A102">
        <v>96</v>
      </c>
      <c r="B102" t="str">
        <f>IF($A102 &gt; MemberOrgs_NumRow, "", IFERROR(IF(SelectMemberOrgs = "*", $A102, _xlfn.AGGREGATE(15, 6, (1/(MemberOrgsData[Auditee Name] = SelectMemberOrgs))*ROW(MemberOrgsData[Auditee Name])*(1/(MemberOrgsData[AUDITYEAR] = SelectFiscalYear))*(MemberOrgsData[AUDITYEAR] = SelectFiscalYear), $A102)-MemberOrgs_TopRow), ""))</f>
        <v/>
      </c>
      <c r="C102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02" t="str">
        <f t="array" ref="L102">IFERROR(INDEX(MemberOrgsData[Auditee Name], MATCH(0, INDEX(COUNTIF($L$2:L101, MemberOrgsData[Auditee Name]),)+IF(MemberOrgsData[AUDITYEAR] &lt;&gt; SelectFiscalYear, 1, 0),0)), "")</f>
        <v/>
      </c>
    </row>
    <row r="103" spans="1:12" x14ac:dyDescent="0.25">
      <c r="A103">
        <v>97</v>
      </c>
      <c r="B103" t="str">
        <f>IF($A103 &gt; MemberOrgs_NumRow, "", IFERROR(IF(SelectMemberOrgs = "*", $A103, _xlfn.AGGREGATE(15, 6, (1/(MemberOrgsData[Auditee Name] = SelectMemberOrgs))*ROW(MemberOrgsData[Auditee Name])*(1/(MemberOrgsData[AUDITYEAR] = SelectFiscalYear))*(MemberOrgsData[AUDITYEAR] = SelectFiscalYear), $A103)-MemberOrgs_TopRow), ""))</f>
        <v/>
      </c>
      <c r="C103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03" t="str">
        <f t="array" ref="L103">IFERROR(INDEX(MemberOrgsData[Auditee Name], MATCH(0, INDEX(COUNTIF($L$2:L102, MemberOrgsData[Auditee Name]),)+IF(MemberOrgsData[AUDITYEAR] &lt;&gt; SelectFiscalYear, 1, 0),0)), "")</f>
        <v/>
      </c>
    </row>
    <row r="104" spans="1:12" x14ac:dyDescent="0.25">
      <c r="A104">
        <v>98</v>
      </c>
      <c r="B104" t="str">
        <f>IF($A104 &gt; MemberOrgs_NumRow, "", IFERROR(IF(SelectMemberOrgs = "*", $A104, _xlfn.AGGREGATE(15, 6, (1/(MemberOrgsData[Auditee Name] = SelectMemberOrgs))*ROW(MemberOrgsData[Auditee Name])*(1/(MemberOrgsData[AUDITYEAR] = SelectFiscalYear))*(MemberOrgsData[AUDITYEAR] = SelectFiscalYear), $A104)-MemberOrgs_TopRow), ""))</f>
        <v/>
      </c>
      <c r="C104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04" t="str">
        <f t="array" ref="L104">IFERROR(INDEX(MemberOrgsData[Auditee Name], MATCH(0, INDEX(COUNTIF($L$2:L103, MemberOrgsData[Auditee Name]),)+IF(MemberOrgsData[AUDITYEAR] &lt;&gt; SelectFiscalYear, 1, 0),0)), "")</f>
        <v/>
      </c>
    </row>
    <row r="105" spans="1:12" x14ac:dyDescent="0.25">
      <c r="A105">
        <v>99</v>
      </c>
      <c r="B105" t="str">
        <f>IF($A105 &gt; MemberOrgs_NumRow, "", IFERROR(IF(SelectMemberOrgs = "*", $A105, _xlfn.AGGREGATE(15, 6, (1/(MemberOrgsData[Auditee Name] = SelectMemberOrgs))*ROW(MemberOrgsData[Auditee Name])*(1/(MemberOrgsData[AUDITYEAR] = SelectFiscalYear))*(MemberOrgsData[AUDITYEAR] = SelectFiscalYear), $A105)-MemberOrgs_TopRow), ""))</f>
        <v/>
      </c>
      <c r="C105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05" t="str">
        <f t="array" ref="L105">IFERROR(INDEX(MemberOrgsData[Auditee Name], MATCH(0, INDEX(COUNTIF($L$2:L104, MemberOrgsData[Auditee Name]),)+IF(MemberOrgsData[AUDITYEAR] &lt;&gt; SelectFiscalYear, 1, 0),0)), "")</f>
        <v/>
      </c>
    </row>
    <row r="106" spans="1:12" x14ac:dyDescent="0.25">
      <c r="A106">
        <v>100</v>
      </c>
      <c r="B106" t="str">
        <f>IF($A106 &gt; MemberOrgs_NumRow, "", IFERROR(IF(SelectMemberOrgs = "*", $A106, _xlfn.AGGREGATE(15, 6, (1/(MemberOrgsData[Auditee Name] = SelectMemberOrgs))*ROW(MemberOrgsData[Auditee Name])*(1/(MemberOrgsData[AUDITYEAR] = SelectFiscalYear))*(MemberOrgsData[AUDITYEAR] = SelectFiscalYear), $A106)-MemberOrgs_TopRow), ""))</f>
        <v/>
      </c>
      <c r="C106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06" t="str">
        <f t="array" ref="L106">IFERROR(INDEX(MemberOrgsData[Auditee Name], MATCH(0, INDEX(COUNTIF($L$2:L105, MemberOrgsData[Auditee Name]),)+IF(MemberOrgsData[AUDITYEAR] &lt;&gt; SelectFiscalYear, 1, 0),0)), "")</f>
        <v/>
      </c>
    </row>
    <row r="107" spans="1:12" x14ac:dyDescent="0.25">
      <c r="A107">
        <v>101</v>
      </c>
      <c r="B107" t="str">
        <f>IF($A107 &gt; MemberOrgs_NumRow, "", IFERROR(IF(SelectMemberOrgs = "*", $A107, _xlfn.AGGREGATE(15, 6, (1/(MemberOrgsData[Auditee Name] = SelectMemberOrgs))*ROW(MemberOrgsData[Auditee Name])*(1/(MemberOrgsData[AUDITYEAR] = SelectFiscalYear))*(MemberOrgsData[AUDITYEAR] = SelectFiscalYear), $A107)-MemberOrgs_TopRow), ""))</f>
        <v/>
      </c>
      <c r="C107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07" t="str">
        <f t="array" ref="L107">IFERROR(INDEX(MemberOrgsData[Auditee Name], MATCH(0, INDEX(COUNTIF($L$2:L106, MemberOrgsData[Auditee Name]),)+IF(MemberOrgsData[AUDITYEAR] &lt;&gt; SelectFiscalYear, 1, 0),0)), "")</f>
        <v/>
      </c>
    </row>
    <row r="108" spans="1:12" x14ac:dyDescent="0.25">
      <c r="A108">
        <v>102</v>
      </c>
      <c r="B108" t="str">
        <f>IF($A108 &gt; MemberOrgs_NumRow, "", IFERROR(IF(SelectMemberOrgs = "*", $A108, _xlfn.AGGREGATE(15, 6, (1/(MemberOrgsData[Auditee Name] = SelectMemberOrgs))*ROW(MemberOrgsData[Auditee Name])*(1/(MemberOrgsData[AUDITYEAR] = SelectFiscalYear))*(MemberOrgsData[AUDITYEAR] = SelectFiscalYear), $A108)-MemberOrgs_TopRow), ""))</f>
        <v/>
      </c>
      <c r="C108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08" t="str">
        <f t="array" ref="L108">IFERROR(INDEX(MemberOrgsData[Auditee Name], MATCH(0, INDEX(COUNTIF($L$2:L107, MemberOrgsData[Auditee Name]),)+IF(MemberOrgsData[AUDITYEAR] &lt;&gt; SelectFiscalYear, 1, 0),0)), "")</f>
        <v/>
      </c>
    </row>
    <row r="109" spans="1:12" x14ac:dyDescent="0.25">
      <c r="A109">
        <v>103</v>
      </c>
      <c r="B109" t="str">
        <f>IF($A109 &gt; MemberOrgs_NumRow, "", IFERROR(IF(SelectMemberOrgs = "*", $A109, _xlfn.AGGREGATE(15, 6, (1/(MemberOrgsData[Auditee Name] = SelectMemberOrgs))*ROW(MemberOrgsData[Auditee Name])*(1/(MemberOrgsData[AUDITYEAR] = SelectFiscalYear))*(MemberOrgsData[AUDITYEAR] = SelectFiscalYear), $A109)-MemberOrgs_TopRow), ""))</f>
        <v/>
      </c>
      <c r="C109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09" t="str">
        <f t="array" ref="L109">IFERROR(INDEX(MemberOrgsData[Auditee Name], MATCH(0, INDEX(COUNTIF($L$2:L108, MemberOrgsData[Auditee Name]),)+IF(MemberOrgsData[AUDITYEAR] &lt;&gt; SelectFiscalYear, 1, 0),0)), "")</f>
        <v/>
      </c>
    </row>
    <row r="110" spans="1:12" x14ac:dyDescent="0.25">
      <c r="A110">
        <v>104</v>
      </c>
      <c r="B110" t="str">
        <f>IF($A110 &gt; MemberOrgs_NumRow, "", IFERROR(IF(SelectMemberOrgs = "*", $A110, _xlfn.AGGREGATE(15, 6, (1/(MemberOrgsData[Auditee Name] = SelectMemberOrgs))*ROW(MemberOrgsData[Auditee Name])*(1/(MemberOrgsData[AUDITYEAR] = SelectFiscalYear))*(MemberOrgsData[AUDITYEAR] = SelectFiscalYear), $A110)-MemberOrgs_TopRow), ""))</f>
        <v/>
      </c>
      <c r="C110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10" t="str">
        <f t="array" ref="L110">IFERROR(INDEX(MemberOrgsData[Auditee Name], MATCH(0, INDEX(COUNTIF($L$2:L109, MemberOrgsData[Auditee Name]),)+IF(MemberOrgsData[AUDITYEAR] &lt;&gt; SelectFiscalYear, 1, 0),0)), "")</f>
        <v/>
      </c>
    </row>
    <row r="111" spans="1:12" x14ac:dyDescent="0.25">
      <c r="A111">
        <v>105</v>
      </c>
      <c r="B111" t="str">
        <f>IF($A111 &gt; MemberOrgs_NumRow, "", IFERROR(IF(SelectMemberOrgs = "*", $A111, _xlfn.AGGREGATE(15, 6, (1/(MemberOrgsData[Auditee Name] = SelectMemberOrgs))*ROW(MemberOrgsData[Auditee Name])*(1/(MemberOrgsData[AUDITYEAR] = SelectFiscalYear))*(MemberOrgsData[AUDITYEAR] = SelectFiscalYear), $A111)-MemberOrgs_TopRow), ""))</f>
        <v/>
      </c>
      <c r="C111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11" t="str">
        <f t="array" ref="L111">IFERROR(INDEX(MemberOrgsData[Auditee Name], MATCH(0, INDEX(COUNTIF($L$2:L110, MemberOrgsData[Auditee Name]),)+IF(MemberOrgsData[AUDITYEAR] &lt;&gt; SelectFiscalYear, 1, 0),0)), "")</f>
        <v/>
      </c>
    </row>
    <row r="112" spans="1:12" x14ac:dyDescent="0.25">
      <c r="A112">
        <v>106</v>
      </c>
      <c r="B112" t="str">
        <f>IF($A112 &gt; MemberOrgs_NumRow, "", IFERROR(IF(SelectMemberOrgs = "*", $A112, _xlfn.AGGREGATE(15, 6, (1/(MemberOrgsData[Auditee Name] = SelectMemberOrgs))*ROW(MemberOrgsData[Auditee Name])*(1/(MemberOrgsData[AUDITYEAR] = SelectFiscalYear))*(MemberOrgsData[AUDITYEAR] = SelectFiscalYear), $A112)-MemberOrgs_TopRow), ""))</f>
        <v/>
      </c>
      <c r="C112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12" t="str">
        <f t="array" ref="L112">IFERROR(INDEX(MemberOrgsData[Auditee Name], MATCH(0, INDEX(COUNTIF($L$2:L111, MemberOrgsData[Auditee Name]),)+IF(MemberOrgsData[AUDITYEAR] &lt;&gt; SelectFiscalYear, 1, 0),0)), "")</f>
        <v/>
      </c>
    </row>
    <row r="113" spans="1:12" x14ac:dyDescent="0.25">
      <c r="A113">
        <v>107</v>
      </c>
      <c r="B113" t="str">
        <f>IF($A113 &gt; MemberOrgs_NumRow, "", IFERROR(IF(SelectMemberOrgs = "*", $A113, _xlfn.AGGREGATE(15, 6, (1/(MemberOrgsData[Auditee Name] = SelectMemberOrgs))*ROW(MemberOrgsData[Auditee Name])*(1/(MemberOrgsData[AUDITYEAR] = SelectFiscalYear))*(MemberOrgsData[AUDITYEAR] = SelectFiscalYear), $A113)-MemberOrgs_TopRow), ""))</f>
        <v/>
      </c>
      <c r="C113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13" t="str">
        <f t="array" ref="L113">IFERROR(INDEX(MemberOrgsData[Auditee Name], MATCH(0, INDEX(COUNTIF($L$2:L112, MemberOrgsData[Auditee Name]),)+IF(MemberOrgsData[AUDITYEAR] &lt;&gt; SelectFiscalYear, 1, 0),0)), "")</f>
        <v/>
      </c>
    </row>
    <row r="114" spans="1:12" x14ac:dyDescent="0.25">
      <c r="A114">
        <v>108</v>
      </c>
      <c r="B114" t="str">
        <f>IF($A114 &gt; MemberOrgs_NumRow, "", IFERROR(IF(SelectMemberOrgs = "*", $A114, _xlfn.AGGREGATE(15, 6, (1/(MemberOrgsData[Auditee Name] = SelectMemberOrgs))*ROW(MemberOrgsData[Auditee Name])*(1/(MemberOrgsData[AUDITYEAR] = SelectFiscalYear))*(MemberOrgsData[AUDITYEAR] = SelectFiscalYear), $A114)-MemberOrgs_TopRow), ""))</f>
        <v/>
      </c>
      <c r="C114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14" t="str">
        <f t="array" ref="L114">IFERROR(INDEX(MemberOrgsData[Auditee Name], MATCH(0, INDEX(COUNTIF($L$2:L113, MemberOrgsData[Auditee Name]),)+IF(MemberOrgsData[AUDITYEAR] &lt;&gt; SelectFiscalYear, 1, 0),0)), "")</f>
        <v/>
      </c>
    </row>
    <row r="115" spans="1:12" x14ac:dyDescent="0.25">
      <c r="A115">
        <v>109</v>
      </c>
      <c r="B115" t="str">
        <f>IF($A115 &gt; MemberOrgs_NumRow, "", IFERROR(IF(SelectMemberOrgs = "*", $A115, _xlfn.AGGREGATE(15, 6, (1/(MemberOrgsData[Auditee Name] = SelectMemberOrgs))*ROW(MemberOrgsData[Auditee Name])*(1/(MemberOrgsData[AUDITYEAR] = SelectFiscalYear))*(MemberOrgsData[AUDITYEAR] = SelectFiscalYear), $A115)-MemberOrgs_TopRow), ""))</f>
        <v/>
      </c>
      <c r="C115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15" t="str">
        <f t="array" ref="L115">IFERROR(INDEX(MemberOrgsData[Auditee Name], MATCH(0, INDEX(COUNTIF($L$2:L114, MemberOrgsData[Auditee Name]),)+IF(MemberOrgsData[AUDITYEAR] &lt;&gt; SelectFiscalYear, 1, 0),0)), "")</f>
        <v/>
      </c>
    </row>
    <row r="116" spans="1:12" x14ac:dyDescent="0.25">
      <c r="A116">
        <v>110</v>
      </c>
      <c r="B116" t="str">
        <f>IF($A116 &gt; MemberOrgs_NumRow, "", IFERROR(IF(SelectMemberOrgs = "*", $A116, _xlfn.AGGREGATE(15, 6, (1/(MemberOrgsData[Auditee Name] = SelectMemberOrgs))*ROW(MemberOrgsData[Auditee Name])*(1/(MemberOrgsData[AUDITYEAR] = SelectFiscalYear))*(MemberOrgsData[AUDITYEAR] = SelectFiscalYear), $A116)-MemberOrgs_TopRow), ""))</f>
        <v/>
      </c>
      <c r="C116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16" t="str">
        <f t="array" ref="L116">IFERROR(INDEX(MemberOrgsData[Auditee Name], MATCH(0, INDEX(COUNTIF($L$2:L115, MemberOrgsData[Auditee Name]),)+IF(MemberOrgsData[AUDITYEAR] &lt;&gt; SelectFiscalYear, 1, 0),0)), "")</f>
        <v/>
      </c>
    </row>
    <row r="117" spans="1:12" x14ac:dyDescent="0.25">
      <c r="A117">
        <v>111</v>
      </c>
      <c r="B117" t="str">
        <f>IF($A117 &gt; MemberOrgs_NumRow, "", IFERROR(IF(SelectMemberOrgs = "*", $A117, _xlfn.AGGREGATE(15, 6, (1/(MemberOrgsData[Auditee Name] = SelectMemberOrgs))*ROW(MemberOrgsData[Auditee Name])*(1/(MemberOrgsData[AUDITYEAR] = SelectFiscalYear))*(MemberOrgsData[AUDITYEAR] = SelectFiscalYear), $A117)-MemberOrgs_TopRow), ""))</f>
        <v/>
      </c>
      <c r="C117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17" t="str">
        <f t="array" ref="L117">IFERROR(INDEX(MemberOrgsData[Auditee Name], MATCH(0, INDEX(COUNTIF($L$2:L116, MemberOrgsData[Auditee Name]),)+IF(MemberOrgsData[AUDITYEAR] &lt;&gt; SelectFiscalYear, 1, 0),0)), "")</f>
        <v/>
      </c>
    </row>
    <row r="118" spans="1:12" x14ac:dyDescent="0.25">
      <c r="A118">
        <v>112</v>
      </c>
      <c r="B118" t="str">
        <f>IF($A118 &gt; MemberOrgs_NumRow, "", IFERROR(IF(SelectMemberOrgs = "*", $A118, _xlfn.AGGREGATE(15, 6, (1/(MemberOrgsData[Auditee Name] = SelectMemberOrgs))*ROW(MemberOrgsData[Auditee Name])*(1/(MemberOrgsData[AUDITYEAR] = SelectFiscalYear))*(MemberOrgsData[AUDITYEAR] = SelectFiscalYear), $A118)-MemberOrgs_TopRow), ""))</f>
        <v/>
      </c>
      <c r="C118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18" t="str">
        <f t="array" ref="L118">IFERROR(INDEX(MemberOrgsData[Auditee Name], MATCH(0, INDEX(COUNTIF($L$2:L117, MemberOrgsData[Auditee Name]),)+IF(MemberOrgsData[AUDITYEAR] &lt;&gt; SelectFiscalYear, 1, 0),0)), "")</f>
        <v/>
      </c>
    </row>
    <row r="119" spans="1:12" x14ac:dyDescent="0.25">
      <c r="A119">
        <v>113</v>
      </c>
      <c r="B119" t="str">
        <f>IF($A119 &gt; MemberOrgs_NumRow, "", IFERROR(IF(SelectMemberOrgs = "*", $A119, _xlfn.AGGREGATE(15, 6, (1/(MemberOrgsData[Auditee Name] = SelectMemberOrgs))*ROW(MemberOrgsData[Auditee Name])*(1/(MemberOrgsData[AUDITYEAR] = SelectFiscalYear))*(MemberOrgsData[AUDITYEAR] = SelectFiscalYear), $A119)-MemberOrgs_TopRow), ""))</f>
        <v/>
      </c>
      <c r="C119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19" t="str">
        <f t="array" ref="L119">IFERROR(INDEX(MemberOrgsData[Auditee Name], MATCH(0, INDEX(COUNTIF($L$2:L118, MemberOrgsData[Auditee Name]),)+IF(MemberOrgsData[AUDITYEAR] &lt;&gt; SelectFiscalYear, 1, 0),0)), "")</f>
        <v/>
      </c>
    </row>
    <row r="120" spans="1:12" x14ac:dyDescent="0.25">
      <c r="A120">
        <v>114</v>
      </c>
      <c r="B120" t="str">
        <f>IF($A120 &gt; MemberOrgs_NumRow, "", IFERROR(IF(SelectMemberOrgs = "*", $A120, _xlfn.AGGREGATE(15, 6, (1/(MemberOrgsData[Auditee Name] = SelectMemberOrgs))*ROW(MemberOrgsData[Auditee Name])*(1/(MemberOrgsData[AUDITYEAR] = SelectFiscalYear))*(MemberOrgsData[AUDITYEAR] = SelectFiscalYear), $A120)-MemberOrgs_TopRow), ""))</f>
        <v/>
      </c>
      <c r="C120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20" t="str">
        <f t="array" ref="L120">IFERROR(INDEX(MemberOrgsData[Auditee Name], MATCH(0, INDEX(COUNTIF($L$2:L119, MemberOrgsData[Auditee Name]),)+IF(MemberOrgsData[AUDITYEAR] &lt;&gt; SelectFiscalYear, 1, 0),0)), "")</f>
        <v/>
      </c>
    </row>
    <row r="121" spans="1:12" x14ac:dyDescent="0.25">
      <c r="A121">
        <v>115</v>
      </c>
      <c r="B121" t="str">
        <f>IF($A121 &gt; MemberOrgs_NumRow, "", IFERROR(IF(SelectMemberOrgs = "*", $A121, _xlfn.AGGREGATE(15, 6, (1/(MemberOrgsData[Auditee Name] = SelectMemberOrgs))*ROW(MemberOrgsData[Auditee Name])*(1/(MemberOrgsData[AUDITYEAR] = SelectFiscalYear))*(MemberOrgsData[AUDITYEAR] = SelectFiscalYear), $A121)-MemberOrgs_TopRow), ""))</f>
        <v/>
      </c>
      <c r="C121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21" t="str">
        <f t="array" ref="L121">IFERROR(INDEX(MemberOrgsData[Auditee Name], MATCH(0, INDEX(COUNTIF($L$2:L120, MemberOrgsData[Auditee Name]),)+IF(MemberOrgsData[AUDITYEAR] &lt;&gt; SelectFiscalYear, 1, 0),0)), "")</f>
        <v/>
      </c>
    </row>
    <row r="122" spans="1:12" x14ac:dyDescent="0.25">
      <c r="A122">
        <v>116</v>
      </c>
      <c r="B122" t="str">
        <f>IF($A122 &gt; MemberOrgs_NumRow, "", IFERROR(IF(SelectMemberOrgs = "*", $A122, _xlfn.AGGREGATE(15, 6, (1/(MemberOrgsData[Auditee Name] = SelectMemberOrgs))*ROW(MemberOrgsData[Auditee Name])*(1/(MemberOrgsData[AUDITYEAR] = SelectFiscalYear))*(MemberOrgsData[AUDITYEAR] = SelectFiscalYear), $A122)-MemberOrgs_TopRow), ""))</f>
        <v/>
      </c>
      <c r="C122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22" t="str">
        <f t="array" ref="L122">IFERROR(INDEX(MemberOrgsData[Auditee Name], MATCH(0, INDEX(COUNTIF($L$2:L121, MemberOrgsData[Auditee Name]),)+IF(MemberOrgsData[AUDITYEAR] &lt;&gt; SelectFiscalYear, 1, 0),0)), "")</f>
        <v/>
      </c>
    </row>
    <row r="123" spans="1:12" x14ac:dyDescent="0.25">
      <c r="A123">
        <v>117</v>
      </c>
      <c r="B123" t="str">
        <f>IF($A123 &gt; MemberOrgs_NumRow, "", IFERROR(IF(SelectMemberOrgs = "*", $A123, _xlfn.AGGREGATE(15, 6, (1/(MemberOrgsData[Auditee Name] = SelectMemberOrgs))*ROW(MemberOrgsData[Auditee Name])*(1/(MemberOrgsData[AUDITYEAR] = SelectFiscalYear))*(MemberOrgsData[AUDITYEAR] = SelectFiscalYear), $A123)-MemberOrgs_TopRow), ""))</f>
        <v/>
      </c>
      <c r="C123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23" t="str">
        <f t="array" ref="L123">IFERROR(INDEX(MemberOrgsData[Auditee Name], MATCH(0, INDEX(COUNTIF($L$2:L122, MemberOrgsData[Auditee Name]),)+IF(MemberOrgsData[AUDITYEAR] &lt;&gt; SelectFiscalYear, 1, 0),0)), "")</f>
        <v/>
      </c>
    </row>
    <row r="124" spans="1:12" x14ac:dyDescent="0.25">
      <c r="A124">
        <v>118</v>
      </c>
      <c r="B124" t="str">
        <f>IF($A124 &gt; MemberOrgs_NumRow, "", IFERROR(IF(SelectMemberOrgs = "*", $A124, _xlfn.AGGREGATE(15, 6, (1/(MemberOrgsData[Auditee Name] = SelectMemberOrgs))*ROW(MemberOrgsData[Auditee Name])*(1/(MemberOrgsData[AUDITYEAR] = SelectFiscalYear))*(MemberOrgsData[AUDITYEAR] = SelectFiscalYear), $A124)-MemberOrgs_TopRow), ""))</f>
        <v/>
      </c>
      <c r="C124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24" t="str">
        <f t="array" ref="L124">IFERROR(INDEX(MemberOrgsData[Auditee Name], MATCH(0, INDEX(COUNTIF($L$2:L123, MemberOrgsData[Auditee Name]),)+IF(MemberOrgsData[AUDITYEAR] &lt;&gt; SelectFiscalYear, 1, 0),0)), "")</f>
        <v/>
      </c>
    </row>
    <row r="125" spans="1:12" x14ac:dyDescent="0.25">
      <c r="A125">
        <v>119</v>
      </c>
      <c r="B125" t="str">
        <f>IF($A125 &gt; MemberOrgs_NumRow, "", IFERROR(IF(SelectMemberOrgs = "*", $A125, _xlfn.AGGREGATE(15, 6, (1/(MemberOrgsData[Auditee Name] = SelectMemberOrgs))*ROW(MemberOrgsData[Auditee Name])*(1/(MemberOrgsData[AUDITYEAR] = SelectFiscalYear))*(MemberOrgsData[AUDITYEAR] = SelectFiscalYear), $A125)-MemberOrgs_TopRow), ""))</f>
        <v/>
      </c>
      <c r="C125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25" t="str">
        <f t="array" ref="L125">IFERROR(INDEX(MemberOrgsData[Auditee Name], MATCH(0, INDEX(COUNTIF($L$2:L124, MemberOrgsData[Auditee Name]),)+IF(MemberOrgsData[AUDITYEAR] &lt;&gt; SelectFiscalYear, 1, 0),0)), "")</f>
        <v/>
      </c>
    </row>
    <row r="126" spans="1:12" x14ac:dyDescent="0.25">
      <c r="A126">
        <v>120</v>
      </c>
      <c r="B126" t="str">
        <f>IF($A126 &gt; MemberOrgs_NumRow, "", IFERROR(IF(SelectMemberOrgs = "*", $A126, _xlfn.AGGREGATE(15, 6, (1/(MemberOrgsData[Auditee Name] = SelectMemberOrgs))*ROW(MemberOrgsData[Auditee Name])*(1/(MemberOrgsData[AUDITYEAR] = SelectFiscalYear))*(MemberOrgsData[AUDITYEAR] = SelectFiscalYear), $A126)-MemberOrgs_TopRow), ""))</f>
        <v/>
      </c>
      <c r="C126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26" t="str">
        <f t="array" ref="L126">IFERROR(INDEX(MemberOrgsData[Auditee Name], MATCH(0, INDEX(COUNTIF($L$2:L125, MemberOrgsData[Auditee Name]),)+IF(MemberOrgsData[AUDITYEAR] &lt;&gt; SelectFiscalYear, 1, 0),0)), "")</f>
        <v/>
      </c>
    </row>
    <row r="127" spans="1:12" x14ac:dyDescent="0.25">
      <c r="A127">
        <v>121</v>
      </c>
      <c r="B127" t="str">
        <f>IF($A127 &gt; MemberOrgs_NumRow, "", IFERROR(IF(SelectMemberOrgs = "*", $A127, _xlfn.AGGREGATE(15, 6, (1/(MemberOrgsData[Auditee Name] = SelectMemberOrgs))*ROW(MemberOrgsData[Auditee Name])*(1/(MemberOrgsData[AUDITYEAR] = SelectFiscalYear))*(MemberOrgsData[AUDITYEAR] = SelectFiscalYear), $A127)-MemberOrgs_TopRow), ""))</f>
        <v/>
      </c>
      <c r="C127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27" t="str">
        <f t="array" ref="L127">IFERROR(INDEX(MemberOrgsData[Auditee Name], MATCH(0, INDEX(COUNTIF($L$2:L126, MemberOrgsData[Auditee Name]),)+IF(MemberOrgsData[AUDITYEAR] &lt;&gt; SelectFiscalYear, 1, 0),0)), "")</f>
        <v/>
      </c>
    </row>
    <row r="128" spans="1:12" x14ac:dyDescent="0.25">
      <c r="A128">
        <v>122</v>
      </c>
      <c r="B128" t="str">
        <f>IF($A128 &gt; MemberOrgs_NumRow, "", IFERROR(IF(SelectMemberOrgs = "*", $A128, _xlfn.AGGREGATE(15, 6, (1/(MemberOrgsData[Auditee Name] = SelectMemberOrgs))*ROW(MemberOrgsData[Auditee Name])*(1/(MemberOrgsData[AUDITYEAR] = SelectFiscalYear))*(MemberOrgsData[AUDITYEAR] = SelectFiscalYear), $A128)-MemberOrgs_TopRow), ""))</f>
        <v/>
      </c>
      <c r="C128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28" t="str">
        <f t="array" ref="L128">IFERROR(INDEX(MemberOrgsData[Auditee Name], MATCH(0, INDEX(COUNTIF($L$2:L127, MemberOrgsData[Auditee Name]),)+IF(MemberOrgsData[AUDITYEAR] &lt;&gt; SelectFiscalYear, 1, 0),0)), "")</f>
        <v/>
      </c>
    </row>
    <row r="129" spans="1:12" x14ac:dyDescent="0.25">
      <c r="A129">
        <v>123</v>
      </c>
      <c r="B129" t="str">
        <f>IF($A129 &gt; MemberOrgs_NumRow, "", IFERROR(IF(SelectMemberOrgs = "*", $A129, _xlfn.AGGREGATE(15, 6, (1/(MemberOrgsData[Auditee Name] = SelectMemberOrgs))*ROW(MemberOrgsData[Auditee Name])*(1/(MemberOrgsData[AUDITYEAR] = SelectFiscalYear))*(MemberOrgsData[AUDITYEAR] = SelectFiscalYear), $A129)-MemberOrgs_TopRow), ""))</f>
        <v/>
      </c>
      <c r="C129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29" t="str">
        <f t="array" ref="L129">IFERROR(INDEX(MemberOrgsData[Auditee Name], MATCH(0, INDEX(COUNTIF($L$2:L128, MemberOrgsData[Auditee Name]),)+IF(MemberOrgsData[AUDITYEAR] &lt;&gt; SelectFiscalYear, 1, 0),0)), "")</f>
        <v/>
      </c>
    </row>
    <row r="130" spans="1:12" x14ac:dyDescent="0.25">
      <c r="A130">
        <v>124</v>
      </c>
      <c r="B130" t="str">
        <f>IF($A130 &gt; MemberOrgs_NumRow, "", IFERROR(IF(SelectMemberOrgs = "*", $A130, _xlfn.AGGREGATE(15, 6, (1/(MemberOrgsData[Auditee Name] = SelectMemberOrgs))*ROW(MemberOrgsData[Auditee Name])*(1/(MemberOrgsData[AUDITYEAR] = SelectFiscalYear))*(MemberOrgsData[AUDITYEAR] = SelectFiscalYear), $A130)-MemberOrgs_TopRow), ""))</f>
        <v/>
      </c>
      <c r="C130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30" t="str">
        <f t="array" ref="L130">IFERROR(INDEX(MemberOrgsData[Auditee Name], MATCH(0, INDEX(COUNTIF($L$2:L129, MemberOrgsData[Auditee Name]),)+IF(MemberOrgsData[AUDITYEAR] &lt;&gt; SelectFiscalYear, 1, 0),0)), "")</f>
        <v/>
      </c>
    </row>
    <row r="131" spans="1:12" x14ac:dyDescent="0.25">
      <c r="A131">
        <v>125</v>
      </c>
      <c r="B131" t="str">
        <f>IF($A131 &gt; MemberOrgs_NumRow, "", IFERROR(IF(SelectMemberOrgs = "*", $A131, _xlfn.AGGREGATE(15, 6, (1/(MemberOrgsData[Auditee Name] = SelectMemberOrgs))*ROW(MemberOrgsData[Auditee Name])*(1/(MemberOrgsData[AUDITYEAR] = SelectFiscalYear))*(MemberOrgsData[AUDITYEAR] = SelectFiscalYear), $A131)-MemberOrgs_TopRow), ""))</f>
        <v/>
      </c>
      <c r="C131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31" t="str">
        <f t="array" ref="L131">IFERROR(INDEX(MemberOrgsData[Auditee Name], MATCH(0, INDEX(COUNTIF($L$2:L130, MemberOrgsData[Auditee Name]),)+IF(MemberOrgsData[AUDITYEAR] &lt;&gt; SelectFiscalYear, 1, 0),0)), "")</f>
        <v/>
      </c>
    </row>
    <row r="132" spans="1:12" x14ac:dyDescent="0.25">
      <c r="A132">
        <v>126</v>
      </c>
      <c r="B132" t="str">
        <f>IF($A132 &gt; MemberOrgs_NumRow, "", IFERROR(IF(SelectMemberOrgs = "*", $A132, _xlfn.AGGREGATE(15, 6, (1/(MemberOrgsData[Auditee Name] = SelectMemberOrgs))*ROW(MemberOrgsData[Auditee Name])*(1/(MemberOrgsData[AUDITYEAR] = SelectFiscalYear))*(MemberOrgsData[AUDITYEAR] = SelectFiscalYear), $A132)-MemberOrgs_TopRow), ""))</f>
        <v/>
      </c>
      <c r="C132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32" t="str">
        <f t="array" ref="L132">IFERROR(INDEX(MemberOrgsData[Auditee Name], MATCH(0, INDEX(COUNTIF($L$2:L131, MemberOrgsData[Auditee Name]),)+IF(MemberOrgsData[AUDITYEAR] &lt;&gt; SelectFiscalYear, 1, 0),0)), "")</f>
        <v/>
      </c>
    </row>
    <row r="133" spans="1:12" x14ac:dyDescent="0.25">
      <c r="A133">
        <v>127</v>
      </c>
      <c r="B133" t="str">
        <f>IF($A133 &gt; MemberOrgs_NumRow, "", IFERROR(IF(SelectMemberOrgs = "*", $A133, _xlfn.AGGREGATE(15, 6, (1/(MemberOrgsData[Auditee Name] = SelectMemberOrgs))*ROW(MemberOrgsData[Auditee Name])*(1/(MemberOrgsData[AUDITYEAR] = SelectFiscalYear))*(MemberOrgsData[AUDITYEAR] = SelectFiscalYear), $A133)-MemberOrgs_TopRow), ""))</f>
        <v/>
      </c>
      <c r="C133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33" t="str">
        <f t="array" ref="L133">IFERROR(INDEX(MemberOrgsData[Auditee Name], MATCH(0, INDEX(COUNTIF($L$2:L132, MemberOrgsData[Auditee Name]),)+IF(MemberOrgsData[AUDITYEAR] &lt;&gt; SelectFiscalYear, 1, 0),0)), "")</f>
        <v/>
      </c>
    </row>
    <row r="134" spans="1:12" x14ac:dyDescent="0.25">
      <c r="A134">
        <v>128</v>
      </c>
      <c r="B134" t="str">
        <f>IF($A134 &gt; MemberOrgs_NumRow, "", IFERROR(IF(SelectMemberOrgs = "*", $A134, _xlfn.AGGREGATE(15, 6, (1/(MemberOrgsData[Auditee Name] = SelectMemberOrgs))*ROW(MemberOrgsData[Auditee Name])*(1/(MemberOrgsData[AUDITYEAR] = SelectFiscalYear))*(MemberOrgsData[AUDITYEAR] = SelectFiscalYear), $A134)-MemberOrgs_TopRow), ""))</f>
        <v/>
      </c>
      <c r="C134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34" t="str">
        <f t="array" ref="L134">IFERROR(INDEX(MemberOrgsData[Auditee Name], MATCH(0, INDEX(COUNTIF($L$2:L133, MemberOrgsData[Auditee Name]),)+IF(MemberOrgsData[AUDITYEAR] &lt;&gt; SelectFiscalYear, 1, 0),0)), "")</f>
        <v/>
      </c>
    </row>
    <row r="135" spans="1:12" x14ac:dyDescent="0.25">
      <c r="A135">
        <v>129</v>
      </c>
      <c r="B135" t="str">
        <f>IF($A135 &gt; MemberOrgs_NumRow, "", IFERROR(IF(SelectMemberOrgs = "*", $A135, _xlfn.AGGREGATE(15, 6, (1/(MemberOrgsData[Auditee Name] = SelectMemberOrgs))*ROW(MemberOrgsData[Auditee Name])*(1/(MemberOrgsData[AUDITYEAR] = SelectFiscalYear))*(MemberOrgsData[AUDITYEAR] = SelectFiscalYear), $A135)-MemberOrgs_TopRow), ""))</f>
        <v/>
      </c>
      <c r="C135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35" t="str">
        <f t="array" ref="L135">IFERROR(INDEX(MemberOrgsData[Auditee Name], MATCH(0, INDEX(COUNTIF($L$2:L134, MemberOrgsData[Auditee Name]),)+IF(MemberOrgsData[AUDITYEAR] &lt;&gt; SelectFiscalYear, 1, 0),0)), "")</f>
        <v/>
      </c>
    </row>
    <row r="136" spans="1:12" x14ac:dyDescent="0.25">
      <c r="A136">
        <v>130</v>
      </c>
      <c r="B136" t="str">
        <f>IF($A136 &gt; MemberOrgs_NumRow, "", IFERROR(IF(SelectMemberOrgs = "*", $A136, _xlfn.AGGREGATE(15, 6, (1/(MemberOrgsData[Auditee Name] = SelectMemberOrgs))*ROW(MemberOrgsData[Auditee Name])*(1/(MemberOrgsData[AUDITYEAR] = SelectFiscalYear))*(MemberOrgsData[AUDITYEAR] = SelectFiscalYear), $A136)-MemberOrgs_TopRow), ""))</f>
        <v/>
      </c>
      <c r="C136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36" t="str">
        <f t="array" ref="L136">IFERROR(INDEX(MemberOrgsData[Auditee Name], MATCH(0, INDEX(COUNTIF($L$2:L135, MemberOrgsData[Auditee Name]),)+IF(MemberOrgsData[AUDITYEAR] &lt;&gt; SelectFiscalYear, 1, 0),0)), "")</f>
        <v/>
      </c>
    </row>
    <row r="137" spans="1:12" x14ac:dyDescent="0.25">
      <c r="A137">
        <v>131</v>
      </c>
      <c r="B137" t="str">
        <f>IF($A137 &gt; MemberOrgs_NumRow, "", IFERROR(IF(SelectMemberOrgs = "*", $A137, _xlfn.AGGREGATE(15, 6, (1/(MemberOrgsData[Auditee Name] = SelectMemberOrgs))*ROW(MemberOrgsData[Auditee Name])*(1/(MemberOrgsData[AUDITYEAR] = SelectFiscalYear))*(MemberOrgsData[AUDITYEAR] = SelectFiscalYear), $A137)-MemberOrgs_TopRow), ""))</f>
        <v/>
      </c>
      <c r="C137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37" t="str">
        <f t="array" ref="L137">IFERROR(INDEX(MemberOrgsData[Auditee Name], MATCH(0, INDEX(COUNTIF($L$2:L136, MemberOrgsData[Auditee Name]),)+IF(MemberOrgsData[AUDITYEAR] &lt;&gt; SelectFiscalYear, 1, 0),0)), "")</f>
        <v/>
      </c>
    </row>
    <row r="138" spans="1:12" x14ac:dyDescent="0.25">
      <c r="A138">
        <v>132</v>
      </c>
      <c r="B138" t="str">
        <f>IF($A138 &gt; MemberOrgs_NumRow, "", IFERROR(IF(SelectMemberOrgs = "*", $A138, _xlfn.AGGREGATE(15, 6, (1/(MemberOrgsData[Auditee Name] = SelectMemberOrgs))*ROW(MemberOrgsData[Auditee Name])*(1/(MemberOrgsData[AUDITYEAR] = SelectFiscalYear))*(MemberOrgsData[AUDITYEAR] = SelectFiscalYear), $A138)-MemberOrgs_TopRow), ""))</f>
        <v/>
      </c>
      <c r="C138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38" t="str">
        <f t="array" ref="L138">IFERROR(INDEX(MemberOrgsData[Auditee Name], MATCH(0, INDEX(COUNTIF($L$2:L137, MemberOrgsData[Auditee Name]),)+IF(MemberOrgsData[AUDITYEAR] &lt;&gt; SelectFiscalYear, 1, 0),0)), "")</f>
        <v/>
      </c>
    </row>
    <row r="139" spans="1:12" x14ac:dyDescent="0.25">
      <c r="A139">
        <v>133</v>
      </c>
      <c r="B139" t="str">
        <f>IF($A139 &gt; MemberOrgs_NumRow, "", IFERROR(IF(SelectMemberOrgs = "*", $A139, _xlfn.AGGREGATE(15, 6, (1/(MemberOrgsData[Auditee Name] = SelectMemberOrgs))*ROW(MemberOrgsData[Auditee Name])*(1/(MemberOrgsData[AUDITYEAR] = SelectFiscalYear))*(MemberOrgsData[AUDITYEAR] = SelectFiscalYear), $A139)-MemberOrgs_TopRow), ""))</f>
        <v/>
      </c>
      <c r="C139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39" t="str">
        <f t="array" ref="L139">IFERROR(INDEX(MemberOrgsData[Auditee Name], MATCH(0, INDEX(COUNTIF($L$2:L138, MemberOrgsData[Auditee Name]),)+IF(MemberOrgsData[AUDITYEAR] &lt;&gt; SelectFiscalYear, 1, 0),0)), "")</f>
        <v/>
      </c>
    </row>
    <row r="140" spans="1:12" x14ac:dyDescent="0.25">
      <c r="A140">
        <v>134</v>
      </c>
      <c r="B140" t="str">
        <f>IF($A140 &gt; MemberOrgs_NumRow, "", IFERROR(IF(SelectMemberOrgs = "*", $A140, _xlfn.AGGREGATE(15, 6, (1/(MemberOrgsData[Auditee Name] = SelectMemberOrgs))*ROW(MemberOrgsData[Auditee Name])*(1/(MemberOrgsData[AUDITYEAR] = SelectFiscalYear))*(MemberOrgsData[AUDITYEAR] = SelectFiscalYear), $A140)-MemberOrgs_TopRow), ""))</f>
        <v/>
      </c>
      <c r="C140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40" t="str">
        <f t="array" ref="L140">IFERROR(INDEX(MemberOrgsData[Auditee Name], MATCH(0, INDEX(COUNTIF($L$2:L139, MemberOrgsData[Auditee Name]),)+IF(MemberOrgsData[AUDITYEAR] &lt;&gt; SelectFiscalYear, 1, 0),0)), "")</f>
        <v/>
      </c>
    </row>
    <row r="141" spans="1:12" x14ac:dyDescent="0.25">
      <c r="A141">
        <v>135</v>
      </c>
      <c r="B141" t="str">
        <f>IF($A141 &gt; MemberOrgs_NumRow, "", IFERROR(IF(SelectMemberOrgs = "*", $A141, _xlfn.AGGREGATE(15, 6, (1/(MemberOrgsData[Auditee Name] = SelectMemberOrgs))*ROW(MemberOrgsData[Auditee Name])*(1/(MemberOrgsData[AUDITYEAR] = SelectFiscalYear))*(MemberOrgsData[AUDITYEAR] = SelectFiscalYear), $A141)-MemberOrgs_TopRow), ""))</f>
        <v/>
      </c>
      <c r="C141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41" t="str">
        <f t="array" ref="L141">IFERROR(INDEX(MemberOrgsData[Auditee Name], MATCH(0, INDEX(COUNTIF($L$2:L140, MemberOrgsData[Auditee Name]),)+IF(MemberOrgsData[AUDITYEAR] &lt;&gt; SelectFiscalYear, 1, 0),0)), "")</f>
        <v/>
      </c>
    </row>
    <row r="142" spans="1:12" x14ac:dyDescent="0.25">
      <c r="A142">
        <v>136</v>
      </c>
      <c r="B142" t="str">
        <f>IF($A142 &gt; MemberOrgs_NumRow, "", IFERROR(IF(SelectMemberOrgs = "*", $A142, _xlfn.AGGREGATE(15, 6, (1/(MemberOrgsData[Auditee Name] = SelectMemberOrgs))*ROW(MemberOrgsData[Auditee Name])*(1/(MemberOrgsData[AUDITYEAR] = SelectFiscalYear))*(MemberOrgsData[AUDITYEAR] = SelectFiscalYear), $A142)-MemberOrgs_TopRow), ""))</f>
        <v/>
      </c>
      <c r="C142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42" t="str">
        <f t="array" ref="L142">IFERROR(INDEX(MemberOrgsData[Auditee Name], MATCH(0, INDEX(COUNTIF($L$2:L141, MemberOrgsData[Auditee Name]),)+IF(MemberOrgsData[AUDITYEAR] &lt;&gt; SelectFiscalYear, 1, 0),0)), "")</f>
        <v/>
      </c>
    </row>
    <row r="143" spans="1:12" x14ac:dyDescent="0.25">
      <c r="A143">
        <v>137</v>
      </c>
      <c r="B143" t="str">
        <f>IF($A143 &gt; MemberOrgs_NumRow, "", IFERROR(IF(SelectMemberOrgs = "*", $A143, _xlfn.AGGREGATE(15, 6, (1/(MemberOrgsData[Auditee Name] = SelectMemberOrgs))*ROW(MemberOrgsData[Auditee Name])*(1/(MemberOrgsData[AUDITYEAR] = SelectFiscalYear))*(MemberOrgsData[AUDITYEAR] = SelectFiscalYear), $A143)-MemberOrgs_TopRow), ""))</f>
        <v/>
      </c>
      <c r="C143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43" t="str">
        <f t="array" ref="L143">IFERROR(INDEX(MemberOrgsData[Auditee Name], MATCH(0, INDEX(COUNTIF($L$2:L142, MemberOrgsData[Auditee Name]),)+IF(MemberOrgsData[AUDITYEAR] &lt;&gt; SelectFiscalYear, 1, 0),0)), "")</f>
        <v/>
      </c>
    </row>
    <row r="144" spans="1:12" x14ac:dyDescent="0.25">
      <c r="A144">
        <v>138</v>
      </c>
      <c r="B144" t="str">
        <f>IF($A144 &gt; MemberOrgs_NumRow, "", IFERROR(IF(SelectMemberOrgs = "*", $A144, _xlfn.AGGREGATE(15, 6, (1/(MemberOrgsData[Auditee Name] = SelectMemberOrgs))*ROW(MemberOrgsData[Auditee Name])*(1/(MemberOrgsData[AUDITYEAR] = SelectFiscalYear))*(MemberOrgsData[AUDITYEAR] = SelectFiscalYear), $A144)-MemberOrgs_TopRow), ""))</f>
        <v/>
      </c>
      <c r="C144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44" t="str">
        <f t="array" ref="L144">IFERROR(INDEX(MemberOrgsData[Auditee Name], MATCH(0, INDEX(COUNTIF($L$2:L143, MemberOrgsData[Auditee Name]),)+IF(MemberOrgsData[AUDITYEAR] &lt;&gt; SelectFiscalYear, 1, 0),0)), "")</f>
        <v/>
      </c>
    </row>
    <row r="145" spans="1:12" x14ac:dyDescent="0.25">
      <c r="A145">
        <v>139</v>
      </c>
      <c r="B145" t="str">
        <f>IF($A145 &gt; MemberOrgs_NumRow, "", IFERROR(IF(SelectMemberOrgs = "*", $A145, _xlfn.AGGREGATE(15, 6, (1/(MemberOrgsData[Auditee Name] = SelectMemberOrgs))*ROW(MemberOrgsData[Auditee Name])*(1/(MemberOrgsData[AUDITYEAR] = SelectFiscalYear))*(MemberOrgsData[AUDITYEAR] = SelectFiscalYear), $A145)-MemberOrgs_TopRow), ""))</f>
        <v/>
      </c>
      <c r="C145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45" t="str">
        <f t="array" ref="L145">IFERROR(INDEX(MemberOrgsData[Auditee Name], MATCH(0, INDEX(COUNTIF($L$2:L144, MemberOrgsData[Auditee Name]),)+IF(MemberOrgsData[AUDITYEAR] &lt;&gt; SelectFiscalYear, 1, 0),0)), "")</f>
        <v/>
      </c>
    </row>
    <row r="146" spans="1:12" x14ac:dyDescent="0.25">
      <c r="A146">
        <v>140</v>
      </c>
      <c r="B146" t="str">
        <f>IF($A146 &gt; MemberOrgs_NumRow, "", IFERROR(IF(SelectMemberOrgs = "*", $A146, _xlfn.AGGREGATE(15, 6, (1/(MemberOrgsData[Auditee Name] = SelectMemberOrgs))*ROW(MemberOrgsData[Auditee Name])*(1/(MemberOrgsData[AUDITYEAR] = SelectFiscalYear))*(MemberOrgsData[AUDITYEAR] = SelectFiscalYear), $A146)-MemberOrgs_TopRow), ""))</f>
        <v/>
      </c>
      <c r="C146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46" t="str">
        <f t="array" ref="L146">IFERROR(INDEX(MemberOrgsData[Auditee Name], MATCH(0, INDEX(COUNTIF($L$2:L145, MemberOrgsData[Auditee Name]),)+IF(MemberOrgsData[AUDITYEAR] &lt;&gt; SelectFiscalYear, 1, 0),0)), "")</f>
        <v/>
      </c>
    </row>
    <row r="147" spans="1:12" x14ac:dyDescent="0.25">
      <c r="A147">
        <v>141</v>
      </c>
      <c r="B147" t="str">
        <f>IF($A147 &gt; MemberOrgs_NumRow, "", IFERROR(IF(SelectMemberOrgs = "*", $A147, _xlfn.AGGREGATE(15, 6, (1/(MemberOrgsData[Auditee Name] = SelectMemberOrgs))*ROW(MemberOrgsData[Auditee Name])*(1/(MemberOrgsData[AUDITYEAR] = SelectFiscalYear))*(MemberOrgsData[AUDITYEAR] = SelectFiscalYear), $A147)-MemberOrgs_TopRow), ""))</f>
        <v/>
      </c>
      <c r="C147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47" t="str">
        <f t="array" ref="L147">IFERROR(INDEX(MemberOrgsData[Auditee Name], MATCH(0, INDEX(COUNTIF($L$2:L146, MemberOrgsData[Auditee Name]),)+IF(MemberOrgsData[AUDITYEAR] &lt;&gt; SelectFiscalYear, 1, 0),0)), "")</f>
        <v/>
      </c>
    </row>
    <row r="148" spans="1:12" x14ac:dyDescent="0.25">
      <c r="A148">
        <v>142</v>
      </c>
      <c r="B148" t="str">
        <f>IF($A148 &gt; MemberOrgs_NumRow, "", IFERROR(IF(SelectMemberOrgs = "*", $A148, _xlfn.AGGREGATE(15, 6, (1/(MemberOrgsData[Auditee Name] = SelectMemberOrgs))*ROW(MemberOrgsData[Auditee Name])*(1/(MemberOrgsData[AUDITYEAR] = SelectFiscalYear))*(MemberOrgsData[AUDITYEAR] = SelectFiscalYear), $A148)-MemberOrgs_TopRow), ""))</f>
        <v/>
      </c>
      <c r="C148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48" t="str">
        <f t="array" ref="L148">IFERROR(INDEX(MemberOrgsData[Auditee Name], MATCH(0, INDEX(COUNTIF($L$2:L147, MemberOrgsData[Auditee Name]),)+IF(MemberOrgsData[AUDITYEAR] &lt;&gt; SelectFiscalYear, 1, 0),0)), "")</f>
        <v/>
      </c>
    </row>
    <row r="149" spans="1:12" x14ac:dyDescent="0.25">
      <c r="A149">
        <v>143</v>
      </c>
      <c r="B149" t="str">
        <f>IF($A149 &gt; MemberOrgs_NumRow, "", IFERROR(IF(SelectMemberOrgs = "*", $A149, _xlfn.AGGREGATE(15, 6, (1/(MemberOrgsData[Auditee Name] = SelectMemberOrgs))*ROW(MemberOrgsData[Auditee Name])*(1/(MemberOrgsData[AUDITYEAR] = SelectFiscalYear))*(MemberOrgsData[AUDITYEAR] = SelectFiscalYear), $A149)-MemberOrgs_TopRow), ""))</f>
        <v/>
      </c>
      <c r="C149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49" t="str">
        <f t="array" ref="L149">IFERROR(INDEX(MemberOrgsData[Auditee Name], MATCH(0, INDEX(COUNTIF($L$2:L148, MemberOrgsData[Auditee Name]),)+IF(MemberOrgsData[AUDITYEAR] &lt;&gt; SelectFiscalYear, 1, 0),0)), "")</f>
        <v/>
      </c>
    </row>
    <row r="150" spans="1:12" x14ac:dyDescent="0.25">
      <c r="A150">
        <v>144</v>
      </c>
      <c r="B150" t="str">
        <f>IF($A150 &gt; MemberOrgs_NumRow, "", IFERROR(IF(SelectMemberOrgs = "*", $A150, _xlfn.AGGREGATE(15, 6, (1/(MemberOrgsData[Auditee Name] = SelectMemberOrgs))*ROW(MemberOrgsData[Auditee Name])*(1/(MemberOrgsData[AUDITYEAR] = SelectFiscalYear))*(MemberOrgsData[AUDITYEAR] = SelectFiscalYear), $A150)-MemberOrgs_TopRow), ""))</f>
        <v/>
      </c>
      <c r="C150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50" t="str">
        <f t="array" ref="L150">IFERROR(INDEX(MemberOrgsData[Auditee Name], MATCH(0, INDEX(COUNTIF($L$2:L149, MemberOrgsData[Auditee Name]),)+IF(MemberOrgsData[AUDITYEAR] &lt;&gt; SelectFiscalYear, 1, 0),0)), "")</f>
        <v/>
      </c>
    </row>
    <row r="151" spans="1:12" x14ac:dyDescent="0.25">
      <c r="A151">
        <v>145</v>
      </c>
      <c r="B151" t="str">
        <f>IF($A151 &gt; MemberOrgs_NumRow, "", IFERROR(IF(SelectMemberOrgs = "*", $A151, _xlfn.AGGREGATE(15, 6, (1/(MemberOrgsData[Auditee Name] = SelectMemberOrgs))*ROW(MemberOrgsData[Auditee Name])*(1/(MemberOrgsData[AUDITYEAR] = SelectFiscalYear))*(MemberOrgsData[AUDITYEAR] = SelectFiscalYear), $A151)-MemberOrgs_TopRow), ""))</f>
        <v/>
      </c>
      <c r="C151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51" t="str">
        <f t="array" ref="L151">IFERROR(INDEX(MemberOrgsData[Auditee Name], MATCH(0, INDEX(COUNTIF($L$2:L150, MemberOrgsData[Auditee Name]),)+IF(MemberOrgsData[AUDITYEAR] &lt;&gt; SelectFiscalYear, 1, 0),0)), "")</f>
        <v/>
      </c>
    </row>
    <row r="152" spans="1:12" x14ac:dyDescent="0.25">
      <c r="A152">
        <v>146</v>
      </c>
      <c r="B152" t="str">
        <f>IF($A152 &gt; MemberOrgs_NumRow, "", IFERROR(IF(SelectMemberOrgs = "*", $A152, _xlfn.AGGREGATE(15, 6, (1/(MemberOrgsData[Auditee Name] = SelectMemberOrgs))*ROW(MemberOrgsData[Auditee Name])*(1/(MemberOrgsData[AUDITYEAR] = SelectFiscalYear))*(MemberOrgsData[AUDITYEAR] = SelectFiscalYear), $A152)-MemberOrgs_TopRow), ""))</f>
        <v/>
      </c>
      <c r="C152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52" t="str">
        <f t="array" ref="L152">IFERROR(INDEX(MemberOrgsData[Auditee Name], MATCH(0, INDEX(COUNTIF($L$2:L151, MemberOrgsData[Auditee Name]),)+IF(MemberOrgsData[AUDITYEAR] &lt;&gt; SelectFiscalYear, 1, 0),0)), "")</f>
        <v/>
      </c>
    </row>
    <row r="153" spans="1:12" x14ac:dyDescent="0.25">
      <c r="A153">
        <v>147</v>
      </c>
      <c r="B153" t="str">
        <f>IF($A153 &gt; MemberOrgs_NumRow, "", IFERROR(IF(SelectMemberOrgs = "*", $A153, _xlfn.AGGREGATE(15, 6, (1/(MemberOrgsData[Auditee Name] = SelectMemberOrgs))*ROW(MemberOrgsData[Auditee Name])*(1/(MemberOrgsData[AUDITYEAR] = SelectFiscalYear))*(MemberOrgsData[AUDITYEAR] = SelectFiscalYear), $A153)-MemberOrgs_TopRow), ""))</f>
        <v/>
      </c>
      <c r="C153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53" t="str">
        <f t="array" ref="L153">IFERROR(INDEX(MemberOrgsData[Auditee Name], MATCH(0, INDEX(COUNTIF($L$2:L152, MemberOrgsData[Auditee Name]),)+IF(MemberOrgsData[AUDITYEAR] &lt;&gt; SelectFiscalYear, 1, 0),0)), "")</f>
        <v/>
      </c>
    </row>
    <row r="154" spans="1:12" x14ac:dyDescent="0.25">
      <c r="A154">
        <v>148</v>
      </c>
      <c r="B154" t="str">
        <f>IF($A154 &gt; MemberOrgs_NumRow, "", IFERROR(IF(SelectMemberOrgs = "*", $A154, _xlfn.AGGREGATE(15, 6, (1/(MemberOrgsData[Auditee Name] = SelectMemberOrgs))*ROW(MemberOrgsData[Auditee Name])*(1/(MemberOrgsData[AUDITYEAR] = SelectFiscalYear))*(MemberOrgsData[AUDITYEAR] = SelectFiscalYear), $A154)-MemberOrgs_TopRow), ""))</f>
        <v/>
      </c>
      <c r="C154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54" t="str">
        <f t="array" ref="L154">IFERROR(INDEX(MemberOrgsData[Auditee Name], MATCH(0, INDEX(COUNTIF($L$2:L153, MemberOrgsData[Auditee Name]),)+IF(MemberOrgsData[AUDITYEAR] &lt;&gt; SelectFiscalYear, 1, 0),0)), "")</f>
        <v/>
      </c>
    </row>
    <row r="155" spans="1:12" x14ac:dyDescent="0.25">
      <c r="A155">
        <v>149</v>
      </c>
      <c r="B155" t="str">
        <f>IF($A155 &gt; MemberOrgs_NumRow, "", IFERROR(IF(SelectMemberOrgs = "*", $A155, _xlfn.AGGREGATE(15, 6, (1/(MemberOrgsData[Auditee Name] = SelectMemberOrgs))*ROW(MemberOrgsData[Auditee Name])*(1/(MemberOrgsData[AUDITYEAR] = SelectFiscalYear))*(MemberOrgsData[AUDITYEAR] = SelectFiscalYear), $A155)-MemberOrgs_TopRow), ""))</f>
        <v/>
      </c>
      <c r="C155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55" t="str">
        <f t="array" ref="L155">IFERROR(INDEX(MemberOrgsData[Auditee Name], MATCH(0, INDEX(COUNTIF($L$2:L154, MemberOrgsData[Auditee Name]),)+IF(MemberOrgsData[AUDITYEAR] &lt;&gt; SelectFiscalYear, 1, 0),0)), "")</f>
        <v/>
      </c>
    </row>
    <row r="156" spans="1:12" x14ac:dyDescent="0.25">
      <c r="A156">
        <v>150</v>
      </c>
      <c r="B156" t="str">
        <f>IF($A156 &gt; MemberOrgs_NumRow, "", IFERROR(IF(SelectMemberOrgs = "*", $A156, _xlfn.AGGREGATE(15, 6, (1/(MemberOrgsData[Auditee Name] = SelectMemberOrgs))*ROW(MemberOrgsData[Auditee Name])*(1/(MemberOrgsData[AUDITYEAR] = SelectFiscalYear))*(MemberOrgsData[AUDITYEAR] = SelectFiscalYear), $A156)-MemberOrgs_TopRow), ""))</f>
        <v/>
      </c>
      <c r="C156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56" t="str">
        <f t="array" ref="L156">IFERROR(INDEX(MemberOrgsData[Auditee Name], MATCH(0, INDEX(COUNTIF($L$2:L155, MemberOrgsData[Auditee Name]),)+IF(MemberOrgsData[AUDITYEAR] &lt;&gt; SelectFiscalYear, 1, 0),0)), "")</f>
        <v/>
      </c>
    </row>
    <row r="157" spans="1:12" x14ac:dyDescent="0.25">
      <c r="A157">
        <v>151</v>
      </c>
      <c r="B157" t="str">
        <f>IF($A157 &gt; MemberOrgs_NumRow, "", IFERROR(IF(SelectMemberOrgs = "*", $A157, _xlfn.AGGREGATE(15, 6, (1/(MemberOrgsData[Auditee Name] = SelectMemberOrgs))*ROW(MemberOrgsData[Auditee Name])*(1/(MemberOrgsData[AUDITYEAR] = SelectFiscalYear))*(MemberOrgsData[AUDITYEAR] = SelectFiscalYear), $A157)-MemberOrgs_TopRow), ""))</f>
        <v/>
      </c>
      <c r="C157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57" t="str">
        <f t="array" ref="L157">IFERROR(INDEX(MemberOrgsData[Auditee Name], MATCH(0, INDEX(COUNTIF($L$2:L156, MemberOrgsData[Auditee Name]),)+IF(MemberOrgsData[AUDITYEAR] &lt;&gt; SelectFiscalYear, 1, 0),0)), "")</f>
        <v/>
      </c>
    </row>
    <row r="158" spans="1:12" x14ac:dyDescent="0.25">
      <c r="A158">
        <v>152</v>
      </c>
      <c r="B158" t="str">
        <f>IF($A158 &gt; MemberOrgs_NumRow, "", IFERROR(IF(SelectMemberOrgs = "*", $A158, _xlfn.AGGREGATE(15, 6, (1/(MemberOrgsData[Auditee Name] = SelectMemberOrgs))*ROW(MemberOrgsData[Auditee Name])*(1/(MemberOrgsData[AUDITYEAR] = SelectFiscalYear))*(MemberOrgsData[AUDITYEAR] = SelectFiscalYear), $A158)-MemberOrgs_TopRow), ""))</f>
        <v/>
      </c>
      <c r="C158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58" t="str">
        <f t="array" ref="L158">IFERROR(INDEX(MemberOrgsData[Auditee Name], MATCH(0, INDEX(COUNTIF($L$2:L157, MemberOrgsData[Auditee Name]),)+IF(MemberOrgsData[AUDITYEAR] &lt;&gt; SelectFiscalYear, 1, 0),0)), "")</f>
        <v/>
      </c>
    </row>
    <row r="159" spans="1:12" x14ac:dyDescent="0.25">
      <c r="A159">
        <v>153</v>
      </c>
      <c r="B159" t="str">
        <f>IF($A159 &gt; MemberOrgs_NumRow, "", IFERROR(IF(SelectMemberOrgs = "*", $A159, _xlfn.AGGREGATE(15, 6, (1/(MemberOrgsData[Auditee Name] = SelectMemberOrgs))*ROW(MemberOrgsData[Auditee Name])*(1/(MemberOrgsData[AUDITYEAR] = SelectFiscalYear))*(MemberOrgsData[AUDITYEAR] = SelectFiscalYear), $A159)-MemberOrgs_TopRow), ""))</f>
        <v/>
      </c>
      <c r="C159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59" t="str">
        <f t="array" ref="L159">IFERROR(INDEX(MemberOrgsData[Auditee Name], MATCH(0, INDEX(COUNTIF($L$2:L158, MemberOrgsData[Auditee Name]),)+IF(MemberOrgsData[AUDITYEAR] &lt;&gt; SelectFiscalYear, 1, 0),0)), "")</f>
        <v/>
      </c>
    </row>
    <row r="160" spans="1:12" x14ac:dyDescent="0.25">
      <c r="A160">
        <v>154</v>
      </c>
      <c r="B160" t="str">
        <f>IF($A160 &gt; MemberOrgs_NumRow, "", IFERROR(IF(SelectMemberOrgs = "*", $A160, _xlfn.AGGREGATE(15, 6, (1/(MemberOrgsData[Auditee Name] = SelectMemberOrgs))*ROW(MemberOrgsData[Auditee Name])*(1/(MemberOrgsData[AUDITYEAR] = SelectFiscalYear))*(MemberOrgsData[AUDITYEAR] = SelectFiscalYear), $A160)-MemberOrgs_TopRow), ""))</f>
        <v/>
      </c>
      <c r="C160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60" t="str">
        <f t="array" ref="L160">IFERROR(INDEX(MemberOrgsData[Auditee Name], MATCH(0, INDEX(COUNTIF($L$2:L159, MemberOrgsData[Auditee Name]),)+IF(MemberOrgsData[AUDITYEAR] &lt;&gt; SelectFiscalYear, 1, 0),0)), "")</f>
        <v/>
      </c>
    </row>
    <row r="161" spans="1:12" x14ac:dyDescent="0.25">
      <c r="A161">
        <v>155</v>
      </c>
      <c r="B161" t="str">
        <f>IF($A161 &gt; MemberOrgs_NumRow, "", IFERROR(IF(SelectMemberOrgs = "*", $A161, _xlfn.AGGREGATE(15, 6, (1/(MemberOrgsData[Auditee Name] = SelectMemberOrgs))*ROW(MemberOrgsData[Auditee Name])*(1/(MemberOrgsData[AUDITYEAR] = SelectFiscalYear))*(MemberOrgsData[AUDITYEAR] = SelectFiscalYear), $A161)-MemberOrgs_TopRow), ""))</f>
        <v/>
      </c>
      <c r="C161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61" t="str">
        <f t="array" ref="L161">IFERROR(INDEX(MemberOrgsData[Auditee Name], MATCH(0, INDEX(COUNTIF($L$2:L160, MemberOrgsData[Auditee Name]),)+IF(MemberOrgsData[AUDITYEAR] &lt;&gt; SelectFiscalYear, 1, 0),0)), "")</f>
        <v/>
      </c>
    </row>
    <row r="162" spans="1:12" x14ac:dyDescent="0.25">
      <c r="A162">
        <v>156</v>
      </c>
      <c r="B162" t="str">
        <f>IF($A162 &gt; MemberOrgs_NumRow, "", IFERROR(IF(SelectMemberOrgs = "*", $A162, _xlfn.AGGREGATE(15, 6, (1/(MemberOrgsData[Auditee Name] = SelectMemberOrgs))*ROW(MemberOrgsData[Auditee Name])*(1/(MemberOrgsData[AUDITYEAR] = SelectFiscalYear))*(MemberOrgsData[AUDITYEAR] = SelectFiscalYear), $A162)-MemberOrgs_TopRow), ""))</f>
        <v/>
      </c>
      <c r="C162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62" t="str">
        <f t="array" ref="L162">IFERROR(INDEX(MemberOrgsData[Auditee Name], MATCH(0, INDEX(COUNTIF($L$2:L161, MemberOrgsData[Auditee Name]),)+IF(MemberOrgsData[AUDITYEAR] &lt;&gt; SelectFiscalYear, 1, 0),0)), "")</f>
        <v/>
      </c>
    </row>
    <row r="163" spans="1:12" x14ac:dyDescent="0.25">
      <c r="A163">
        <v>157</v>
      </c>
      <c r="B163" t="str">
        <f>IF($A163 &gt; MemberOrgs_NumRow, "", IFERROR(IF(SelectMemberOrgs = "*", $A163, _xlfn.AGGREGATE(15, 6, (1/(MemberOrgsData[Auditee Name] = SelectMemberOrgs))*ROW(MemberOrgsData[Auditee Name])*(1/(MemberOrgsData[AUDITYEAR] = SelectFiscalYear))*(MemberOrgsData[AUDITYEAR] = SelectFiscalYear), $A163)-MemberOrgs_TopRow), ""))</f>
        <v/>
      </c>
      <c r="C163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63" t="str">
        <f t="array" ref="L163">IFERROR(INDEX(MemberOrgsData[Auditee Name], MATCH(0, INDEX(COUNTIF($L$2:L162, MemberOrgsData[Auditee Name]),)+IF(MemberOrgsData[AUDITYEAR] &lt;&gt; SelectFiscalYear, 1, 0),0)), "")</f>
        <v/>
      </c>
    </row>
    <row r="164" spans="1:12" x14ac:dyDescent="0.25">
      <c r="A164">
        <v>158</v>
      </c>
      <c r="B164" t="str">
        <f>IF($A164 &gt; MemberOrgs_NumRow, "", IFERROR(IF(SelectMemberOrgs = "*", $A164, _xlfn.AGGREGATE(15, 6, (1/(MemberOrgsData[Auditee Name] = SelectMemberOrgs))*ROW(MemberOrgsData[Auditee Name])*(1/(MemberOrgsData[AUDITYEAR] = SelectFiscalYear))*(MemberOrgsData[AUDITYEAR] = SelectFiscalYear), $A164)-MemberOrgs_TopRow), ""))</f>
        <v/>
      </c>
      <c r="C164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64" t="str">
        <f t="array" ref="L164">IFERROR(INDEX(MemberOrgsData[Auditee Name], MATCH(0, INDEX(COUNTIF($L$2:L163, MemberOrgsData[Auditee Name]),)+IF(MemberOrgsData[AUDITYEAR] &lt;&gt; SelectFiscalYear, 1, 0),0)), "")</f>
        <v/>
      </c>
    </row>
    <row r="165" spans="1:12" x14ac:dyDescent="0.25">
      <c r="A165">
        <v>159</v>
      </c>
      <c r="B165" t="str">
        <f>IF($A165 &gt; MemberOrgs_NumRow, "", IFERROR(IF(SelectMemberOrgs = "*", $A165, _xlfn.AGGREGATE(15, 6, (1/(MemberOrgsData[Auditee Name] = SelectMemberOrgs))*ROW(MemberOrgsData[Auditee Name])*(1/(MemberOrgsData[AUDITYEAR] = SelectFiscalYear))*(MemberOrgsData[AUDITYEAR] = SelectFiscalYear), $A165)-MemberOrgs_TopRow), ""))</f>
        <v/>
      </c>
      <c r="C165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65" t="str">
        <f t="array" ref="L165">IFERROR(INDEX(MemberOrgsData[Auditee Name], MATCH(0, INDEX(COUNTIF($L$2:L164, MemberOrgsData[Auditee Name]),)+IF(MemberOrgsData[AUDITYEAR] &lt;&gt; SelectFiscalYear, 1, 0),0)), "")</f>
        <v/>
      </c>
    </row>
    <row r="166" spans="1:12" x14ac:dyDescent="0.25">
      <c r="A166">
        <v>160</v>
      </c>
      <c r="B166" t="str">
        <f>IF($A166 &gt; MemberOrgs_NumRow, "", IFERROR(IF(SelectMemberOrgs = "*", $A166, _xlfn.AGGREGATE(15, 6, (1/(MemberOrgsData[Auditee Name] = SelectMemberOrgs))*ROW(MemberOrgsData[Auditee Name])*(1/(MemberOrgsData[AUDITYEAR] = SelectFiscalYear))*(MemberOrgsData[AUDITYEAR] = SelectFiscalYear), $A166)-MemberOrgs_TopRow), ""))</f>
        <v/>
      </c>
      <c r="C166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66" t="str">
        <f t="array" ref="L166">IFERROR(INDEX(MemberOrgsData[Auditee Name], MATCH(0, INDEX(COUNTIF($L$2:L165, MemberOrgsData[Auditee Name]),)+IF(MemberOrgsData[AUDITYEAR] &lt;&gt; SelectFiscalYear, 1, 0),0)), "")</f>
        <v/>
      </c>
    </row>
    <row r="167" spans="1:12" x14ac:dyDescent="0.25">
      <c r="A167">
        <v>161</v>
      </c>
      <c r="B167" t="str">
        <f>IF($A167 &gt; MemberOrgs_NumRow, "", IFERROR(IF(SelectMemberOrgs = "*", $A167, _xlfn.AGGREGATE(15, 6, (1/(MemberOrgsData[Auditee Name] = SelectMemberOrgs))*ROW(MemberOrgsData[Auditee Name])*(1/(MemberOrgsData[AUDITYEAR] = SelectFiscalYear))*(MemberOrgsData[AUDITYEAR] = SelectFiscalYear), $A167)-MemberOrgs_TopRow), ""))</f>
        <v/>
      </c>
      <c r="C167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67" t="str">
        <f t="array" ref="L167">IFERROR(INDEX(MemberOrgsData[Auditee Name], MATCH(0, INDEX(COUNTIF($L$2:L166, MemberOrgsData[Auditee Name]),)+IF(MemberOrgsData[AUDITYEAR] &lt;&gt; SelectFiscalYear, 1, 0),0)), "")</f>
        <v/>
      </c>
    </row>
    <row r="168" spans="1:12" x14ac:dyDescent="0.25">
      <c r="A168">
        <v>162</v>
      </c>
      <c r="B168" t="str">
        <f>IF($A168 &gt; MemberOrgs_NumRow, "", IFERROR(IF(SelectMemberOrgs = "*", $A168, _xlfn.AGGREGATE(15, 6, (1/(MemberOrgsData[Auditee Name] = SelectMemberOrgs))*ROW(MemberOrgsData[Auditee Name])*(1/(MemberOrgsData[AUDITYEAR] = SelectFiscalYear))*(MemberOrgsData[AUDITYEAR] = SelectFiscalYear), $A168)-MemberOrgs_TopRow), ""))</f>
        <v/>
      </c>
      <c r="C168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68" t="str">
        <f t="array" ref="L168">IFERROR(INDEX(MemberOrgsData[Auditee Name], MATCH(0, INDEX(COUNTIF($L$2:L167, MemberOrgsData[Auditee Name]),)+IF(MemberOrgsData[AUDITYEAR] &lt;&gt; SelectFiscalYear, 1, 0),0)), "")</f>
        <v/>
      </c>
    </row>
    <row r="169" spans="1:12" x14ac:dyDescent="0.25">
      <c r="A169">
        <v>163</v>
      </c>
      <c r="B169" t="str">
        <f>IF($A169 &gt; MemberOrgs_NumRow, "", IFERROR(IF(SelectMemberOrgs = "*", $A169, _xlfn.AGGREGATE(15, 6, (1/(MemberOrgsData[Auditee Name] = SelectMemberOrgs))*ROW(MemberOrgsData[Auditee Name])*(1/(MemberOrgsData[AUDITYEAR] = SelectFiscalYear))*(MemberOrgsData[AUDITYEAR] = SelectFiscalYear), $A169)-MemberOrgs_TopRow), ""))</f>
        <v/>
      </c>
      <c r="C169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69" t="str">
        <f t="array" ref="L169">IFERROR(INDEX(MemberOrgsData[Auditee Name], MATCH(0, INDEX(COUNTIF($L$2:L168, MemberOrgsData[Auditee Name]),)+IF(MemberOrgsData[AUDITYEAR] &lt;&gt; SelectFiscalYear, 1, 0),0)), "")</f>
        <v/>
      </c>
    </row>
    <row r="170" spans="1:12" x14ac:dyDescent="0.25">
      <c r="A170">
        <v>164</v>
      </c>
      <c r="B170" t="str">
        <f>IF($A170 &gt; MemberOrgs_NumRow, "", IFERROR(IF(SelectMemberOrgs = "*", $A170, _xlfn.AGGREGATE(15, 6, (1/(MemberOrgsData[Auditee Name] = SelectMemberOrgs))*ROW(MemberOrgsData[Auditee Name])*(1/(MemberOrgsData[AUDITYEAR] = SelectFiscalYear))*(MemberOrgsData[AUDITYEAR] = SelectFiscalYear), $A170)-MemberOrgs_TopRow), ""))</f>
        <v/>
      </c>
      <c r="C170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70" t="str">
        <f t="array" ref="L170">IFERROR(INDEX(MemberOrgsData[Auditee Name], MATCH(0, INDEX(COUNTIF($L$2:L169, MemberOrgsData[Auditee Name]),)+IF(MemberOrgsData[AUDITYEAR] &lt;&gt; SelectFiscalYear, 1, 0),0)), "")</f>
        <v/>
      </c>
    </row>
    <row r="171" spans="1:12" x14ac:dyDescent="0.25">
      <c r="A171">
        <v>165</v>
      </c>
      <c r="B171" t="str">
        <f>IF($A171 &gt; MemberOrgs_NumRow, "", IFERROR(IF(SelectMemberOrgs = "*", $A171, _xlfn.AGGREGATE(15, 6, (1/(MemberOrgsData[Auditee Name] = SelectMemberOrgs))*ROW(MemberOrgsData[Auditee Name])*(1/(MemberOrgsData[AUDITYEAR] = SelectFiscalYear))*(MemberOrgsData[AUDITYEAR] = SelectFiscalYear), $A171)-MemberOrgs_TopRow), ""))</f>
        <v/>
      </c>
      <c r="C171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71" t="str">
        <f t="array" ref="L171">IFERROR(INDEX(MemberOrgsData[Auditee Name], MATCH(0, INDEX(COUNTIF($L$2:L170, MemberOrgsData[Auditee Name]),)+IF(MemberOrgsData[AUDITYEAR] &lt;&gt; SelectFiscalYear, 1, 0),0)), "")</f>
        <v/>
      </c>
    </row>
    <row r="172" spans="1:12" x14ac:dyDescent="0.25">
      <c r="A172">
        <v>166</v>
      </c>
      <c r="B172" t="str">
        <f>IF($A172 &gt; MemberOrgs_NumRow, "", IFERROR(IF(SelectMemberOrgs = "*", $A172, _xlfn.AGGREGATE(15, 6, (1/(MemberOrgsData[Auditee Name] = SelectMemberOrgs))*ROW(MemberOrgsData[Auditee Name])*(1/(MemberOrgsData[AUDITYEAR] = SelectFiscalYear))*(MemberOrgsData[AUDITYEAR] = SelectFiscalYear), $A172)-MemberOrgs_TopRow), ""))</f>
        <v/>
      </c>
      <c r="C172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72" t="str">
        <f t="array" ref="L172">IFERROR(INDEX(MemberOrgsData[Auditee Name], MATCH(0, INDEX(COUNTIF($L$2:L171, MemberOrgsData[Auditee Name]),)+IF(MemberOrgsData[AUDITYEAR] &lt;&gt; SelectFiscalYear, 1, 0),0)), "")</f>
        <v/>
      </c>
    </row>
    <row r="173" spans="1:12" x14ac:dyDescent="0.25">
      <c r="A173">
        <v>167</v>
      </c>
      <c r="B173" t="str">
        <f>IF($A173 &gt; MemberOrgs_NumRow, "", IFERROR(IF(SelectMemberOrgs = "*", $A173, _xlfn.AGGREGATE(15, 6, (1/(MemberOrgsData[Auditee Name] = SelectMemberOrgs))*ROW(MemberOrgsData[Auditee Name])*(1/(MemberOrgsData[AUDITYEAR] = SelectFiscalYear))*(MemberOrgsData[AUDITYEAR] = SelectFiscalYear), $A173)-MemberOrgs_TopRow), ""))</f>
        <v/>
      </c>
      <c r="C173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73" t="str">
        <f t="array" ref="L173">IFERROR(INDEX(MemberOrgsData[Auditee Name], MATCH(0, INDEX(COUNTIF($L$2:L172, MemberOrgsData[Auditee Name]),)+IF(MemberOrgsData[AUDITYEAR] &lt;&gt; SelectFiscalYear, 1, 0),0)), "")</f>
        <v/>
      </c>
    </row>
    <row r="174" spans="1:12" x14ac:dyDescent="0.25">
      <c r="A174">
        <v>168</v>
      </c>
      <c r="B174" t="str">
        <f>IF($A174 &gt; MemberOrgs_NumRow, "", IFERROR(IF(SelectMemberOrgs = "*", $A174, _xlfn.AGGREGATE(15, 6, (1/(MemberOrgsData[Auditee Name] = SelectMemberOrgs))*ROW(MemberOrgsData[Auditee Name])*(1/(MemberOrgsData[AUDITYEAR] = SelectFiscalYear))*(MemberOrgsData[AUDITYEAR] = SelectFiscalYear), $A174)-MemberOrgs_TopRow), ""))</f>
        <v/>
      </c>
      <c r="C174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74" t="str">
        <f t="array" ref="L174">IFERROR(INDEX(MemberOrgsData[Auditee Name], MATCH(0, INDEX(COUNTIF($L$2:L173, MemberOrgsData[Auditee Name]),)+IF(MemberOrgsData[AUDITYEAR] &lt;&gt; SelectFiscalYear, 1, 0),0)), "")</f>
        <v/>
      </c>
    </row>
    <row r="175" spans="1:12" x14ac:dyDescent="0.25">
      <c r="A175">
        <v>169</v>
      </c>
      <c r="B175" t="str">
        <f>IF($A175 &gt; MemberOrgs_NumRow, "", IFERROR(IF(SelectMemberOrgs = "*", $A175, _xlfn.AGGREGATE(15, 6, (1/(MemberOrgsData[Auditee Name] = SelectMemberOrgs))*ROW(MemberOrgsData[Auditee Name])*(1/(MemberOrgsData[AUDITYEAR] = SelectFiscalYear))*(MemberOrgsData[AUDITYEAR] = SelectFiscalYear), $A175)-MemberOrgs_TopRow), ""))</f>
        <v/>
      </c>
      <c r="C175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75" t="str">
        <f t="array" ref="L175">IFERROR(INDEX(MemberOrgsData[Auditee Name], MATCH(0, INDEX(COUNTIF($L$2:L174, MemberOrgsData[Auditee Name]),)+IF(MemberOrgsData[AUDITYEAR] &lt;&gt; SelectFiscalYear, 1, 0),0)), "")</f>
        <v/>
      </c>
    </row>
    <row r="176" spans="1:12" x14ac:dyDescent="0.25">
      <c r="A176">
        <v>170</v>
      </c>
      <c r="B176" t="str">
        <f>IF($A176 &gt; MemberOrgs_NumRow, "", IFERROR(IF(SelectMemberOrgs = "*", $A176, _xlfn.AGGREGATE(15, 6, (1/(MemberOrgsData[Auditee Name] = SelectMemberOrgs))*ROW(MemberOrgsData[Auditee Name])*(1/(MemberOrgsData[AUDITYEAR] = SelectFiscalYear))*(MemberOrgsData[AUDITYEAR] = SelectFiscalYear), $A176)-MemberOrgs_TopRow), ""))</f>
        <v/>
      </c>
      <c r="C176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76" t="str">
        <f t="array" ref="L176">IFERROR(INDEX(MemberOrgsData[Auditee Name], MATCH(0, INDEX(COUNTIF($L$2:L175, MemberOrgsData[Auditee Name]),)+IF(MemberOrgsData[AUDITYEAR] &lt;&gt; SelectFiscalYear, 1, 0),0)), "")</f>
        <v/>
      </c>
    </row>
    <row r="177" spans="1:12" x14ac:dyDescent="0.25">
      <c r="A177">
        <v>171</v>
      </c>
      <c r="B177" t="str">
        <f>IF($A177 &gt; MemberOrgs_NumRow, "", IFERROR(IF(SelectMemberOrgs = "*", $A177, _xlfn.AGGREGATE(15, 6, (1/(MemberOrgsData[Auditee Name] = SelectMemberOrgs))*ROW(MemberOrgsData[Auditee Name])*(1/(MemberOrgsData[AUDITYEAR] = SelectFiscalYear))*(MemberOrgsData[AUDITYEAR] = SelectFiscalYear), $A177)-MemberOrgs_TopRow), ""))</f>
        <v/>
      </c>
      <c r="C177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77" t="str">
        <f t="array" ref="L177">IFERROR(INDEX(MemberOrgsData[Auditee Name], MATCH(0, INDEX(COUNTIF($L$2:L176, MemberOrgsData[Auditee Name]),)+IF(MemberOrgsData[AUDITYEAR] &lt;&gt; SelectFiscalYear, 1, 0),0)), "")</f>
        <v/>
      </c>
    </row>
    <row r="178" spans="1:12" x14ac:dyDescent="0.25">
      <c r="A178">
        <v>172</v>
      </c>
      <c r="B178" t="str">
        <f>IF($A178 &gt; MemberOrgs_NumRow, "", IFERROR(IF(SelectMemberOrgs = "*", $A178, _xlfn.AGGREGATE(15, 6, (1/(MemberOrgsData[Auditee Name] = SelectMemberOrgs))*ROW(MemberOrgsData[Auditee Name])*(1/(MemberOrgsData[AUDITYEAR] = SelectFiscalYear))*(MemberOrgsData[AUDITYEAR] = SelectFiscalYear), $A178)-MemberOrgs_TopRow), ""))</f>
        <v/>
      </c>
      <c r="C178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78" t="str">
        <f t="array" ref="L178">IFERROR(INDEX(MemberOrgsData[Auditee Name], MATCH(0, INDEX(COUNTIF($L$2:L177, MemberOrgsData[Auditee Name]),)+IF(MemberOrgsData[AUDITYEAR] &lt;&gt; SelectFiscalYear, 1, 0),0)), "")</f>
        <v/>
      </c>
    </row>
    <row r="179" spans="1:12" x14ac:dyDescent="0.25">
      <c r="A179">
        <v>173</v>
      </c>
      <c r="B179" t="str">
        <f>IF($A179 &gt; MemberOrgs_NumRow, "", IFERROR(IF(SelectMemberOrgs = "*", $A179, _xlfn.AGGREGATE(15, 6, (1/(MemberOrgsData[Auditee Name] = SelectMemberOrgs))*ROW(MemberOrgsData[Auditee Name])*(1/(MemberOrgsData[AUDITYEAR] = SelectFiscalYear))*(MemberOrgsData[AUDITYEAR] = SelectFiscalYear), $A179)-MemberOrgs_TopRow), ""))</f>
        <v/>
      </c>
      <c r="C179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79" t="str">
        <f t="array" ref="L179">IFERROR(INDEX(MemberOrgsData[Auditee Name], MATCH(0, INDEX(COUNTIF($L$2:L178, MemberOrgsData[Auditee Name]),)+IF(MemberOrgsData[AUDITYEAR] &lt;&gt; SelectFiscalYear, 1, 0),0)), "")</f>
        <v/>
      </c>
    </row>
    <row r="180" spans="1:12" x14ac:dyDescent="0.25">
      <c r="A180">
        <v>174</v>
      </c>
      <c r="B180" t="str">
        <f>IF($A180 &gt; MemberOrgs_NumRow, "", IFERROR(IF(SelectMemberOrgs = "*", $A180, _xlfn.AGGREGATE(15, 6, (1/(MemberOrgsData[Auditee Name] = SelectMemberOrgs))*ROW(MemberOrgsData[Auditee Name])*(1/(MemberOrgsData[AUDITYEAR] = SelectFiscalYear))*(MemberOrgsData[AUDITYEAR] = SelectFiscalYear), $A180)-MemberOrgs_TopRow), ""))</f>
        <v/>
      </c>
      <c r="C180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80" t="str">
        <f t="array" ref="L180">IFERROR(INDEX(MemberOrgsData[Auditee Name], MATCH(0, INDEX(COUNTIF($L$2:L179, MemberOrgsData[Auditee Name]),)+IF(MemberOrgsData[AUDITYEAR] &lt;&gt; SelectFiscalYear, 1, 0),0)), "")</f>
        <v/>
      </c>
    </row>
    <row r="181" spans="1:12" x14ac:dyDescent="0.25">
      <c r="A181">
        <v>175</v>
      </c>
      <c r="B181" t="str">
        <f>IF($A181 &gt; MemberOrgs_NumRow, "", IFERROR(IF(SelectMemberOrgs = "*", $A181, _xlfn.AGGREGATE(15, 6, (1/(MemberOrgsData[Auditee Name] = SelectMemberOrgs))*ROW(MemberOrgsData[Auditee Name])*(1/(MemberOrgsData[AUDITYEAR] = SelectFiscalYear))*(MemberOrgsData[AUDITYEAR] = SelectFiscalYear), $A181)-MemberOrgs_TopRow), ""))</f>
        <v/>
      </c>
      <c r="C181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81" t="str">
        <f t="array" ref="L181">IFERROR(INDEX(MemberOrgsData[Auditee Name], MATCH(0, INDEX(COUNTIF($L$2:L180, MemberOrgsData[Auditee Name]),)+IF(MemberOrgsData[AUDITYEAR] &lt;&gt; SelectFiscalYear, 1, 0),0)), "")</f>
        <v/>
      </c>
    </row>
    <row r="182" spans="1:12" x14ac:dyDescent="0.25">
      <c r="A182">
        <v>176</v>
      </c>
      <c r="B182" t="str">
        <f>IF($A182 &gt; MemberOrgs_NumRow, "", IFERROR(IF(SelectMemberOrgs = "*", $A182, _xlfn.AGGREGATE(15, 6, (1/(MemberOrgsData[Auditee Name] = SelectMemberOrgs))*ROW(MemberOrgsData[Auditee Name])*(1/(MemberOrgsData[AUDITYEAR] = SelectFiscalYear))*(MemberOrgsData[AUDITYEAR] = SelectFiscalYear), $A182)-MemberOrgs_TopRow), ""))</f>
        <v/>
      </c>
      <c r="C182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82" t="str">
        <f t="array" ref="L182">IFERROR(INDEX(MemberOrgsData[Auditee Name], MATCH(0, INDEX(COUNTIF($L$2:L181, MemberOrgsData[Auditee Name]),)+IF(MemberOrgsData[AUDITYEAR] &lt;&gt; SelectFiscalYear, 1, 0),0)), "")</f>
        <v/>
      </c>
    </row>
    <row r="183" spans="1:12" x14ac:dyDescent="0.25">
      <c r="A183">
        <v>177</v>
      </c>
      <c r="B183" t="str">
        <f>IF($A183 &gt; MemberOrgs_NumRow, "", IFERROR(IF(SelectMemberOrgs = "*", $A183, _xlfn.AGGREGATE(15, 6, (1/(MemberOrgsData[Auditee Name] = SelectMemberOrgs))*ROW(MemberOrgsData[Auditee Name])*(1/(MemberOrgsData[AUDITYEAR] = SelectFiscalYear))*(MemberOrgsData[AUDITYEAR] = SelectFiscalYear), $A183)-MemberOrgs_TopRow), ""))</f>
        <v/>
      </c>
      <c r="C183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83" t="str">
        <f t="array" ref="L183">IFERROR(INDEX(MemberOrgsData[Auditee Name], MATCH(0, INDEX(COUNTIF($L$2:L182, MemberOrgsData[Auditee Name]),)+IF(MemberOrgsData[AUDITYEAR] &lt;&gt; SelectFiscalYear, 1, 0),0)), "")</f>
        <v/>
      </c>
    </row>
    <row r="184" spans="1:12" x14ac:dyDescent="0.25">
      <c r="A184">
        <v>178</v>
      </c>
      <c r="B184" t="str">
        <f>IF($A184 &gt; MemberOrgs_NumRow, "", IFERROR(IF(SelectMemberOrgs = "*", $A184, _xlfn.AGGREGATE(15, 6, (1/(MemberOrgsData[Auditee Name] = SelectMemberOrgs))*ROW(MemberOrgsData[Auditee Name])*(1/(MemberOrgsData[AUDITYEAR] = SelectFiscalYear))*(MemberOrgsData[AUDITYEAR] = SelectFiscalYear), $A184)-MemberOrgs_TopRow), ""))</f>
        <v/>
      </c>
      <c r="C184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84" t="str">
        <f t="array" ref="L184">IFERROR(INDEX(MemberOrgsData[Auditee Name], MATCH(0, INDEX(COUNTIF($L$2:L183, MemberOrgsData[Auditee Name]),)+IF(MemberOrgsData[AUDITYEAR] &lt;&gt; SelectFiscalYear, 1, 0),0)), "")</f>
        <v/>
      </c>
    </row>
    <row r="185" spans="1:12" x14ac:dyDescent="0.25">
      <c r="A185">
        <v>179</v>
      </c>
      <c r="B185" t="str">
        <f>IF($A185 &gt; MemberOrgs_NumRow, "", IFERROR(IF(SelectMemberOrgs = "*", $A185, _xlfn.AGGREGATE(15, 6, (1/(MemberOrgsData[Auditee Name] = SelectMemberOrgs))*ROW(MemberOrgsData[Auditee Name])*(1/(MemberOrgsData[AUDITYEAR] = SelectFiscalYear))*(MemberOrgsData[AUDITYEAR] = SelectFiscalYear), $A185)-MemberOrgs_TopRow), ""))</f>
        <v/>
      </c>
      <c r="C185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85" t="str">
        <f t="array" ref="L185">IFERROR(INDEX(MemberOrgsData[Auditee Name], MATCH(0, INDEX(COUNTIF($L$2:L184, MemberOrgsData[Auditee Name]),)+IF(MemberOrgsData[AUDITYEAR] &lt;&gt; SelectFiscalYear, 1, 0),0)), "")</f>
        <v/>
      </c>
    </row>
    <row r="186" spans="1:12" x14ac:dyDescent="0.25">
      <c r="A186">
        <v>180</v>
      </c>
      <c r="B186" t="str">
        <f>IF($A186 &gt; MemberOrgs_NumRow, "", IFERROR(IF(SelectMemberOrgs = "*", $A186, _xlfn.AGGREGATE(15, 6, (1/(MemberOrgsData[Auditee Name] = SelectMemberOrgs))*ROW(MemberOrgsData[Auditee Name])*(1/(MemberOrgsData[AUDITYEAR] = SelectFiscalYear))*(MemberOrgsData[AUDITYEAR] = SelectFiscalYear), $A186)-MemberOrgs_TopRow), ""))</f>
        <v/>
      </c>
      <c r="C186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86" t="str">
        <f t="array" ref="L186">IFERROR(INDEX(MemberOrgsData[Auditee Name], MATCH(0, INDEX(COUNTIF($L$2:L185, MemberOrgsData[Auditee Name]),)+IF(MemberOrgsData[AUDITYEAR] &lt;&gt; SelectFiscalYear, 1, 0),0)), "")</f>
        <v/>
      </c>
    </row>
    <row r="187" spans="1:12" x14ac:dyDescent="0.25">
      <c r="A187">
        <v>181</v>
      </c>
      <c r="B187" t="str">
        <f>IF($A187 &gt; MemberOrgs_NumRow, "", IFERROR(IF(SelectMemberOrgs = "*", $A187, _xlfn.AGGREGATE(15, 6, (1/(MemberOrgsData[Auditee Name] = SelectMemberOrgs))*ROW(MemberOrgsData[Auditee Name])*(1/(MemberOrgsData[AUDITYEAR] = SelectFiscalYear))*(MemberOrgsData[AUDITYEAR] = SelectFiscalYear), $A187)-MemberOrgs_TopRow), ""))</f>
        <v/>
      </c>
      <c r="C187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87" t="str">
        <f t="array" ref="L187">IFERROR(INDEX(MemberOrgsData[Auditee Name], MATCH(0, INDEX(COUNTIF($L$2:L186, MemberOrgsData[Auditee Name]),)+IF(MemberOrgsData[AUDITYEAR] &lt;&gt; SelectFiscalYear, 1, 0),0)), "")</f>
        <v/>
      </c>
    </row>
    <row r="188" spans="1:12" x14ac:dyDescent="0.25">
      <c r="A188">
        <v>182</v>
      </c>
      <c r="B188" t="str">
        <f>IF($A188 &gt; MemberOrgs_NumRow, "", IFERROR(IF(SelectMemberOrgs = "*", $A188, _xlfn.AGGREGATE(15, 6, (1/(MemberOrgsData[Auditee Name] = SelectMemberOrgs))*ROW(MemberOrgsData[Auditee Name])*(1/(MemberOrgsData[AUDITYEAR] = SelectFiscalYear))*(MemberOrgsData[AUDITYEAR] = SelectFiscalYear), $A188)-MemberOrgs_TopRow), ""))</f>
        <v/>
      </c>
      <c r="C188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88" t="str">
        <f t="array" ref="L188">IFERROR(INDEX(MemberOrgsData[Auditee Name], MATCH(0, INDEX(COUNTIF($L$2:L187, MemberOrgsData[Auditee Name]),)+IF(MemberOrgsData[AUDITYEAR] &lt;&gt; SelectFiscalYear, 1, 0),0)), "")</f>
        <v/>
      </c>
    </row>
    <row r="189" spans="1:12" x14ac:dyDescent="0.25">
      <c r="A189">
        <v>183</v>
      </c>
      <c r="B189" t="str">
        <f>IF($A189 &gt; MemberOrgs_NumRow, "", IFERROR(IF(SelectMemberOrgs = "*", $A189, _xlfn.AGGREGATE(15, 6, (1/(MemberOrgsData[Auditee Name] = SelectMemberOrgs))*ROW(MemberOrgsData[Auditee Name])*(1/(MemberOrgsData[AUDITYEAR] = SelectFiscalYear))*(MemberOrgsData[AUDITYEAR] = SelectFiscalYear), $A189)-MemberOrgs_TopRow), ""))</f>
        <v/>
      </c>
      <c r="C189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89" t="str">
        <f t="array" ref="L189">IFERROR(INDEX(MemberOrgsData[Auditee Name], MATCH(0, INDEX(COUNTIF($L$2:L188, MemberOrgsData[Auditee Name]),)+IF(MemberOrgsData[AUDITYEAR] &lt;&gt; SelectFiscalYear, 1, 0),0)), "")</f>
        <v/>
      </c>
    </row>
    <row r="190" spans="1:12" x14ac:dyDescent="0.25">
      <c r="A190">
        <v>184</v>
      </c>
      <c r="B190" t="str">
        <f>IF($A190 &gt; MemberOrgs_NumRow, "", IFERROR(IF(SelectMemberOrgs = "*", $A190, _xlfn.AGGREGATE(15, 6, (1/(MemberOrgsData[Auditee Name] = SelectMemberOrgs))*ROW(MemberOrgsData[Auditee Name])*(1/(MemberOrgsData[AUDITYEAR] = SelectFiscalYear))*(MemberOrgsData[AUDITYEAR] = SelectFiscalYear), $A190)-MemberOrgs_TopRow), ""))</f>
        <v/>
      </c>
      <c r="C190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90" t="str">
        <f t="array" ref="L190">IFERROR(INDEX(MemberOrgsData[Auditee Name], MATCH(0, INDEX(COUNTIF($L$2:L189, MemberOrgsData[Auditee Name]),)+IF(MemberOrgsData[AUDITYEAR] &lt;&gt; SelectFiscalYear, 1, 0),0)), "")</f>
        <v/>
      </c>
    </row>
    <row r="191" spans="1:12" x14ac:dyDescent="0.25">
      <c r="A191">
        <v>185</v>
      </c>
      <c r="B191" t="str">
        <f>IF($A191 &gt; MemberOrgs_NumRow, "", IFERROR(IF(SelectMemberOrgs = "*", $A191, _xlfn.AGGREGATE(15, 6, (1/(MemberOrgsData[Auditee Name] = SelectMemberOrgs))*ROW(MemberOrgsData[Auditee Name])*(1/(MemberOrgsData[AUDITYEAR] = SelectFiscalYear))*(MemberOrgsData[AUDITYEAR] = SelectFiscalYear), $A191)-MemberOrgs_TopRow), ""))</f>
        <v/>
      </c>
      <c r="C191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91" t="str">
        <f t="array" ref="L191">IFERROR(INDEX(MemberOrgsData[Auditee Name], MATCH(0, INDEX(COUNTIF($L$2:L190, MemberOrgsData[Auditee Name]),)+IF(MemberOrgsData[AUDITYEAR] &lt;&gt; SelectFiscalYear, 1, 0),0)), "")</f>
        <v/>
      </c>
    </row>
    <row r="192" spans="1:12" x14ac:dyDescent="0.25">
      <c r="A192">
        <v>186</v>
      </c>
      <c r="B192" t="str">
        <f>IF($A192 &gt; MemberOrgs_NumRow, "", IFERROR(IF(SelectMemberOrgs = "*", $A192, _xlfn.AGGREGATE(15, 6, (1/(MemberOrgsData[Auditee Name] = SelectMemberOrgs))*ROW(MemberOrgsData[Auditee Name])*(1/(MemberOrgsData[AUDITYEAR] = SelectFiscalYear))*(MemberOrgsData[AUDITYEAR] = SelectFiscalYear), $A192)-MemberOrgs_TopRow), ""))</f>
        <v/>
      </c>
      <c r="C192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92" t="str">
        <f t="array" ref="L192">IFERROR(INDEX(MemberOrgsData[Auditee Name], MATCH(0, INDEX(COUNTIF($L$2:L191, MemberOrgsData[Auditee Name]),)+IF(MemberOrgsData[AUDITYEAR] &lt;&gt; SelectFiscalYear, 1, 0),0)), "")</f>
        <v/>
      </c>
    </row>
    <row r="193" spans="1:12" x14ac:dyDescent="0.25">
      <c r="A193">
        <v>187</v>
      </c>
      <c r="B193" t="str">
        <f>IF($A193 &gt; MemberOrgs_NumRow, "", IFERROR(IF(SelectMemberOrgs = "*", $A193, _xlfn.AGGREGATE(15, 6, (1/(MemberOrgsData[Auditee Name] = SelectMemberOrgs))*ROW(MemberOrgsData[Auditee Name])*(1/(MemberOrgsData[AUDITYEAR] = SelectFiscalYear))*(MemberOrgsData[AUDITYEAR] = SelectFiscalYear), $A193)-MemberOrgs_TopRow), ""))</f>
        <v/>
      </c>
      <c r="C193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93" t="str">
        <f t="array" ref="L193">IFERROR(INDEX(MemberOrgsData[Auditee Name], MATCH(0, INDEX(COUNTIF($L$2:L192, MemberOrgsData[Auditee Name]),)+IF(MemberOrgsData[AUDITYEAR] &lt;&gt; SelectFiscalYear, 1, 0),0)), "")</f>
        <v/>
      </c>
    </row>
    <row r="194" spans="1:12" x14ac:dyDescent="0.25">
      <c r="A194">
        <v>188</v>
      </c>
      <c r="B194" t="str">
        <f>IF($A194 &gt; MemberOrgs_NumRow, "", IFERROR(IF(SelectMemberOrgs = "*", $A194, _xlfn.AGGREGATE(15, 6, (1/(MemberOrgsData[Auditee Name] = SelectMemberOrgs))*ROW(MemberOrgsData[Auditee Name])*(1/(MemberOrgsData[AUDITYEAR] = SelectFiscalYear))*(MemberOrgsData[AUDITYEAR] = SelectFiscalYear), $A194)-MemberOrgs_TopRow), ""))</f>
        <v/>
      </c>
      <c r="C194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94" t="str">
        <f t="array" ref="L194">IFERROR(INDEX(MemberOrgsData[Auditee Name], MATCH(0, INDEX(COUNTIF($L$2:L193, MemberOrgsData[Auditee Name]),)+IF(MemberOrgsData[AUDITYEAR] &lt;&gt; SelectFiscalYear, 1, 0),0)), "")</f>
        <v/>
      </c>
    </row>
    <row r="195" spans="1:12" x14ac:dyDescent="0.25">
      <c r="A195">
        <v>189</v>
      </c>
      <c r="B195" t="str">
        <f>IF($A195 &gt; MemberOrgs_NumRow, "", IFERROR(IF(SelectMemberOrgs = "*", $A195, _xlfn.AGGREGATE(15, 6, (1/(MemberOrgsData[Auditee Name] = SelectMemberOrgs))*ROW(MemberOrgsData[Auditee Name])*(1/(MemberOrgsData[AUDITYEAR] = SelectFiscalYear))*(MemberOrgsData[AUDITYEAR] = SelectFiscalYear), $A195)-MemberOrgs_TopRow), ""))</f>
        <v/>
      </c>
      <c r="C195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95" t="str">
        <f t="array" ref="L195">IFERROR(INDEX(MemberOrgsData[Auditee Name], MATCH(0, INDEX(COUNTIF($L$2:L194, MemberOrgsData[Auditee Name]),)+IF(MemberOrgsData[AUDITYEAR] &lt;&gt; SelectFiscalYear, 1, 0),0)), "")</f>
        <v/>
      </c>
    </row>
    <row r="196" spans="1:12" x14ac:dyDescent="0.25">
      <c r="A196">
        <v>190</v>
      </c>
      <c r="B196" t="str">
        <f>IF($A196 &gt; MemberOrgs_NumRow, "", IFERROR(IF(SelectMemberOrgs = "*", $A196, _xlfn.AGGREGATE(15, 6, (1/(MemberOrgsData[Auditee Name] = SelectMemberOrgs))*ROW(MemberOrgsData[Auditee Name])*(1/(MemberOrgsData[AUDITYEAR] = SelectFiscalYear))*(MemberOrgsData[AUDITYEAR] = SelectFiscalYear), $A196)-MemberOrgs_TopRow), ""))</f>
        <v/>
      </c>
      <c r="C196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96" t="str">
        <f t="array" ref="L196">IFERROR(INDEX(MemberOrgsData[Auditee Name], MATCH(0, INDEX(COUNTIF($L$2:L195, MemberOrgsData[Auditee Name]),)+IF(MemberOrgsData[AUDITYEAR] &lt;&gt; SelectFiscalYear, 1, 0),0)), "")</f>
        <v/>
      </c>
    </row>
    <row r="197" spans="1:12" x14ac:dyDescent="0.25">
      <c r="A197">
        <v>191</v>
      </c>
      <c r="B197" t="str">
        <f>IF($A197 &gt; MemberOrgs_NumRow, "", IFERROR(IF(SelectMemberOrgs = "*", $A197, _xlfn.AGGREGATE(15, 6, (1/(MemberOrgsData[Auditee Name] = SelectMemberOrgs))*ROW(MemberOrgsData[Auditee Name])*(1/(MemberOrgsData[AUDITYEAR] = SelectFiscalYear))*(MemberOrgsData[AUDITYEAR] = SelectFiscalYear), $A197)-MemberOrgs_TopRow), ""))</f>
        <v/>
      </c>
      <c r="C197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97" t="str">
        <f t="array" ref="L197">IFERROR(INDEX(MemberOrgsData[Auditee Name], MATCH(0, INDEX(COUNTIF($L$2:L196, MemberOrgsData[Auditee Name]),)+IF(MemberOrgsData[AUDITYEAR] &lt;&gt; SelectFiscalYear, 1, 0),0)), "")</f>
        <v/>
      </c>
    </row>
    <row r="198" spans="1:12" x14ac:dyDescent="0.25">
      <c r="A198">
        <v>192</v>
      </c>
      <c r="B198" t="str">
        <f>IF($A198 &gt; MemberOrgs_NumRow, "", IFERROR(IF(SelectMemberOrgs = "*", $A198, _xlfn.AGGREGATE(15, 6, (1/(MemberOrgsData[Auditee Name] = SelectMemberOrgs))*ROW(MemberOrgsData[Auditee Name])*(1/(MemberOrgsData[AUDITYEAR] = SelectFiscalYear))*(MemberOrgsData[AUDITYEAR] = SelectFiscalYear), $A198)-MemberOrgs_TopRow), ""))</f>
        <v/>
      </c>
      <c r="C198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98" t="str">
        <f t="array" ref="L198">IFERROR(INDEX(MemberOrgsData[Auditee Name], MATCH(0, INDEX(COUNTIF($L$2:L197, MemberOrgsData[Auditee Name]),)+IF(MemberOrgsData[AUDITYEAR] &lt;&gt; SelectFiscalYear, 1, 0),0)), "")</f>
        <v/>
      </c>
    </row>
    <row r="199" spans="1:12" x14ac:dyDescent="0.25">
      <c r="A199">
        <v>193</v>
      </c>
      <c r="B199" t="str">
        <f>IF($A199 &gt; MemberOrgs_NumRow, "", IFERROR(IF(SelectMemberOrgs = "*", $A199, _xlfn.AGGREGATE(15, 6, (1/(MemberOrgsData[Auditee Name] = SelectMemberOrgs))*ROW(MemberOrgsData[Auditee Name])*(1/(MemberOrgsData[AUDITYEAR] = SelectFiscalYear))*(MemberOrgsData[AUDITYEAR] = SelectFiscalYear), $A199)-MemberOrgs_TopRow), ""))</f>
        <v/>
      </c>
      <c r="C199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99" t="str">
        <f t="array" ref="L199">IFERROR(INDEX(MemberOrgsData[Auditee Name], MATCH(0, INDEX(COUNTIF($L$2:L198, MemberOrgsData[Auditee Name]),)+IF(MemberOrgsData[AUDITYEAR] &lt;&gt; SelectFiscalYear, 1, 0),0)), "")</f>
        <v/>
      </c>
    </row>
    <row r="200" spans="1:12" x14ac:dyDescent="0.25">
      <c r="A200">
        <v>194</v>
      </c>
      <c r="B200" t="str">
        <f>IF($A200 &gt; MemberOrgs_NumRow, "", IFERROR(IF(SelectMemberOrgs = "*", $A200, _xlfn.AGGREGATE(15, 6, (1/(MemberOrgsData[Auditee Name] = SelectMemberOrgs))*ROW(MemberOrgsData[Auditee Name])*(1/(MemberOrgsData[AUDITYEAR] = SelectFiscalYear))*(MemberOrgsData[AUDITYEAR] = SelectFiscalYear), $A200)-MemberOrgs_TopRow), ""))</f>
        <v/>
      </c>
      <c r="C200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00" t="str">
        <f t="array" ref="L200">IFERROR(INDEX(MemberOrgsData[Auditee Name], MATCH(0, INDEX(COUNTIF($L$2:L199, MemberOrgsData[Auditee Name]),)+IF(MemberOrgsData[AUDITYEAR] &lt;&gt; SelectFiscalYear, 1, 0),0)), "")</f>
        <v/>
      </c>
    </row>
    <row r="201" spans="1:12" x14ac:dyDescent="0.25">
      <c r="A201">
        <v>195</v>
      </c>
      <c r="B201" t="str">
        <f>IF($A201 &gt; MemberOrgs_NumRow, "", IFERROR(IF(SelectMemberOrgs = "*", $A201, _xlfn.AGGREGATE(15, 6, (1/(MemberOrgsData[Auditee Name] = SelectMemberOrgs))*ROW(MemberOrgsData[Auditee Name])*(1/(MemberOrgsData[AUDITYEAR] = SelectFiscalYear))*(MemberOrgsData[AUDITYEAR] = SelectFiscalYear), $A201)-MemberOrgs_TopRow), ""))</f>
        <v/>
      </c>
      <c r="C201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01" t="str">
        <f t="array" ref="L201">IFERROR(INDEX(MemberOrgsData[Auditee Name], MATCH(0, INDEX(COUNTIF($L$2:L200, MemberOrgsData[Auditee Name]),)+IF(MemberOrgsData[AUDITYEAR] &lt;&gt; SelectFiscalYear, 1, 0),0)), "")</f>
        <v/>
      </c>
    </row>
    <row r="202" spans="1:12" x14ac:dyDescent="0.25">
      <c r="A202">
        <v>196</v>
      </c>
      <c r="B202" t="str">
        <f>IF($A202 &gt; MemberOrgs_NumRow, "", IFERROR(IF(SelectMemberOrgs = "*", $A202, _xlfn.AGGREGATE(15, 6, (1/(MemberOrgsData[Auditee Name] = SelectMemberOrgs))*ROW(MemberOrgsData[Auditee Name])*(1/(MemberOrgsData[AUDITYEAR] = SelectFiscalYear))*(MemberOrgsData[AUDITYEAR] = SelectFiscalYear), $A202)-MemberOrgs_TopRow), ""))</f>
        <v/>
      </c>
      <c r="C202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02" t="str">
        <f t="array" ref="L202">IFERROR(INDEX(MemberOrgsData[Auditee Name], MATCH(0, INDEX(COUNTIF($L$2:L201, MemberOrgsData[Auditee Name]),)+IF(MemberOrgsData[AUDITYEAR] &lt;&gt; SelectFiscalYear, 1, 0),0)), "")</f>
        <v/>
      </c>
    </row>
    <row r="203" spans="1:12" x14ac:dyDescent="0.25">
      <c r="A203">
        <v>197</v>
      </c>
      <c r="B203" t="str">
        <f>IF($A203 &gt; MemberOrgs_NumRow, "", IFERROR(IF(SelectMemberOrgs = "*", $A203, _xlfn.AGGREGATE(15, 6, (1/(MemberOrgsData[Auditee Name] = SelectMemberOrgs))*ROW(MemberOrgsData[Auditee Name])*(1/(MemberOrgsData[AUDITYEAR] = SelectFiscalYear))*(MemberOrgsData[AUDITYEAR] = SelectFiscalYear), $A203)-MemberOrgs_TopRow), ""))</f>
        <v/>
      </c>
      <c r="C203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03" t="str">
        <f t="array" ref="L203">IFERROR(INDEX(MemberOrgsData[Auditee Name], MATCH(0, INDEX(COUNTIF($L$2:L202, MemberOrgsData[Auditee Name]),)+IF(MemberOrgsData[AUDITYEAR] &lt;&gt; SelectFiscalYear, 1, 0),0)), "")</f>
        <v/>
      </c>
    </row>
    <row r="204" spans="1:12" x14ac:dyDescent="0.25">
      <c r="A204">
        <v>198</v>
      </c>
      <c r="B204" t="str">
        <f>IF($A204 &gt; MemberOrgs_NumRow, "", IFERROR(IF(SelectMemberOrgs = "*", $A204, _xlfn.AGGREGATE(15, 6, (1/(MemberOrgsData[Auditee Name] = SelectMemberOrgs))*ROW(MemberOrgsData[Auditee Name])*(1/(MemberOrgsData[AUDITYEAR] = SelectFiscalYear))*(MemberOrgsData[AUDITYEAR] = SelectFiscalYear), $A204)-MemberOrgs_TopRow), ""))</f>
        <v/>
      </c>
      <c r="C204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04" t="str">
        <f t="array" ref="L204">IFERROR(INDEX(MemberOrgsData[Auditee Name], MATCH(0, INDEX(COUNTIF($L$2:L203, MemberOrgsData[Auditee Name]),)+IF(MemberOrgsData[AUDITYEAR] &lt;&gt; SelectFiscalYear, 1, 0),0)), "")</f>
        <v/>
      </c>
    </row>
    <row r="205" spans="1:12" x14ac:dyDescent="0.25">
      <c r="A205">
        <v>199</v>
      </c>
      <c r="B205" t="str">
        <f>IF($A205 &gt; MemberOrgs_NumRow, "", IFERROR(IF(SelectMemberOrgs = "*", $A205, _xlfn.AGGREGATE(15, 6, (1/(MemberOrgsData[Auditee Name] = SelectMemberOrgs))*ROW(MemberOrgsData[Auditee Name])*(1/(MemberOrgsData[AUDITYEAR] = SelectFiscalYear))*(MemberOrgsData[AUDITYEAR] = SelectFiscalYear), $A205)-MemberOrgs_TopRow), ""))</f>
        <v/>
      </c>
      <c r="C205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05" t="str">
        <f t="array" ref="L205">IFERROR(INDEX(MemberOrgsData[Auditee Name], MATCH(0, INDEX(COUNTIF($L$2:L204, MemberOrgsData[Auditee Name]),)+IF(MemberOrgsData[AUDITYEAR] &lt;&gt; SelectFiscalYear, 1, 0),0)), "")</f>
        <v/>
      </c>
    </row>
    <row r="206" spans="1:12" x14ac:dyDescent="0.25">
      <c r="A206">
        <v>200</v>
      </c>
      <c r="B206" t="str">
        <f>IF($A206 &gt; MemberOrgs_NumRow, "", IFERROR(IF(SelectMemberOrgs = "*", $A206, _xlfn.AGGREGATE(15, 6, (1/(MemberOrgsData[Auditee Name] = SelectMemberOrgs))*ROW(MemberOrgsData[Auditee Name])*(1/(MemberOrgsData[AUDITYEAR] = SelectFiscalYear))*(MemberOrgsData[AUDITYEAR] = SelectFiscalYear), $A206)-MemberOrgs_TopRow), ""))</f>
        <v/>
      </c>
      <c r="C206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06" t="str">
        <f t="array" ref="L206">IFERROR(INDEX(MemberOrgsData[Auditee Name], MATCH(0, INDEX(COUNTIF($L$2:L205, MemberOrgsData[Auditee Name]),)+IF(MemberOrgsData[AUDITYEAR] &lt;&gt; SelectFiscalYear, 1, 0),0)), "")</f>
        <v/>
      </c>
    </row>
    <row r="207" spans="1:12" x14ac:dyDescent="0.25">
      <c r="A207">
        <v>201</v>
      </c>
      <c r="B207" t="str">
        <f>IF($A207 &gt; MemberOrgs_NumRow, "", IFERROR(IF(SelectMemberOrgs = "*", $A207, _xlfn.AGGREGATE(15, 6, (1/(MemberOrgsData[Auditee Name] = SelectMemberOrgs))*ROW(MemberOrgsData[Auditee Name])*(1/(MemberOrgsData[AUDITYEAR] = SelectFiscalYear))*(MemberOrgsData[AUDITYEAR] = SelectFiscalYear), $A207)-MemberOrgs_TopRow), ""))</f>
        <v/>
      </c>
      <c r="C207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07" t="str">
        <f t="array" ref="L207">IFERROR(INDEX(MemberOrgsData[Auditee Name], MATCH(0, INDEX(COUNTIF($L$2:L206, MemberOrgsData[Auditee Name]),)+IF(MemberOrgsData[AUDITYEAR] &lt;&gt; SelectFiscalYear, 1, 0),0)), "")</f>
        <v/>
      </c>
    </row>
    <row r="208" spans="1:12" x14ac:dyDescent="0.25">
      <c r="A208">
        <v>202</v>
      </c>
      <c r="B208" t="str">
        <f>IF($A208 &gt; MemberOrgs_NumRow, "", IFERROR(IF(SelectMemberOrgs = "*", $A208, _xlfn.AGGREGATE(15, 6, (1/(MemberOrgsData[Auditee Name] = SelectMemberOrgs))*ROW(MemberOrgsData[Auditee Name])*(1/(MemberOrgsData[AUDITYEAR] = SelectFiscalYear))*(MemberOrgsData[AUDITYEAR] = SelectFiscalYear), $A208)-MemberOrgs_TopRow), ""))</f>
        <v/>
      </c>
      <c r="C208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08" t="str">
        <f t="array" ref="L208">IFERROR(INDEX(MemberOrgsData[Auditee Name], MATCH(0, INDEX(COUNTIF($L$2:L207, MemberOrgsData[Auditee Name]),)+IF(MemberOrgsData[AUDITYEAR] &lt;&gt; SelectFiscalYear, 1, 0),0)), "")</f>
        <v/>
      </c>
    </row>
    <row r="209" spans="1:12" x14ac:dyDescent="0.25">
      <c r="A209">
        <v>203</v>
      </c>
      <c r="B209" t="str">
        <f>IF($A209 &gt; MemberOrgs_NumRow, "", IFERROR(IF(SelectMemberOrgs = "*", $A209, _xlfn.AGGREGATE(15, 6, (1/(MemberOrgsData[Auditee Name] = SelectMemberOrgs))*ROW(MemberOrgsData[Auditee Name])*(1/(MemberOrgsData[AUDITYEAR] = SelectFiscalYear))*(MemberOrgsData[AUDITYEAR] = SelectFiscalYear), $A209)-MemberOrgs_TopRow), ""))</f>
        <v/>
      </c>
      <c r="C209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09" t="str">
        <f t="array" ref="L209">IFERROR(INDEX(MemberOrgsData[Auditee Name], MATCH(0, INDEX(COUNTIF($L$2:L208, MemberOrgsData[Auditee Name]),)+IF(MemberOrgsData[AUDITYEAR] &lt;&gt; SelectFiscalYear, 1, 0),0)), "")</f>
        <v/>
      </c>
    </row>
    <row r="210" spans="1:12" x14ac:dyDescent="0.25">
      <c r="A210">
        <v>204</v>
      </c>
      <c r="B210" t="str">
        <f>IF($A210 &gt; MemberOrgs_NumRow, "", IFERROR(IF(SelectMemberOrgs = "*", $A210, _xlfn.AGGREGATE(15, 6, (1/(MemberOrgsData[Auditee Name] = SelectMemberOrgs))*ROW(MemberOrgsData[Auditee Name])*(1/(MemberOrgsData[AUDITYEAR] = SelectFiscalYear))*(MemberOrgsData[AUDITYEAR] = SelectFiscalYear), $A210)-MemberOrgs_TopRow), ""))</f>
        <v/>
      </c>
      <c r="C210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10" t="str">
        <f t="array" ref="L210">IFERROR(INDEX(MemberOrgsData[Auditee Name], MATCH(0, INDEX(COUNTIF($L$2:L209, MemberOrgsData[Auditee Name]),)+IF(MemberOrgsData[AUDITYEAR] &lt;&gt; SelectFiscalYear, 1, 0),0)), "")</f>
        <v/>
      </c>
    </row>
    <row r="211" spans="1:12" x14ac:dyDescent="0.25">
      <c r="A211">
        <v>205</v>
      </c>
      <c r="B211" t="str">
        <f>IF($A211 &gt; MemberOrgs_NumRow, "", IFERROR(IF(SelectMemberOrgs = "*", $A211, _xlfn.AGGREGATE(15, 6, (1/(MemberOrgsData[Auditee Name] = SelectMemberOrgs))*ROW(MemberOrgsData[Auditee Name])*(1/(MemberOrgsData[AUDITYEAR] = SelectFiscalYear))*(MemberOrgsData[AUDITYEAR] = SelectFiscalYear), $A211)-MemberOrgs_TopRow), ""))</f>
        <v/>
      </c>
      <c r="C211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11" t="str">
        <f t="array" ref="L211">IFERROR(INDEX(MemberOrgsData[Auditee Name], MATCH(0, INDEX(COUNTIF($L$2:L210, MemberOrgsData[Auditee Name]),)+IF(MemberOrgsData[AUDITYEAR] &lt;&gt; SelectFiscalYear, 1, 0),0)), "")</f>
        <v/>
      </c>
    </row>
    <row r="212" spans="1:12" x14ac:dyDescent="0.25">
      <c r="A212">
        <v>206</v>
      </c>
      <c r="B212" t="str">
        <f>IF($A212 &gt; MemberOrgs_NumRow, "", IFERROR(IF(SelectMemberOrgs = "*", $A212, _xlfn.AGGREGATE(15, 6, (1/(MemberOrgsData[Auditee Name] = SelectMemberOrgs))*ROW(MemberOrgsData[Auditee Name])*(1/(MemberOrgsData[AUDITYEAR] = SelectFiscalYear))*(MemberOrgsData[AUDITYEAR] = SelectFiscalYear), $A212)-MemberOrgs_TopRow), ""))</f>
        <v/>
      </c>
      <c r="C212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12" t="str">
        <f t="array" ref="L212">IFERROR(INDEX(MemberOrgsData[Auditee Name], MATCH(0, INDEX(COUNTIF($L$2:L211, MemberOrgsData[Auditee Name]),)+IF(MemberOrgsData[AUDITYEAR] &lt;&gt; SelectFiscalYear, 1, 0),0)), "")</f>
        <v/>
      </c>
    </row>
    <row r="213" spans="1:12" x14ac:dyDescent="0.25">
      <c r="A213">
        <v>207</v>
      </c>
      <c r="B213" t="str">
        <f>IF($A213 &gt; MemberOrgs_NumRow, "", IFERROR(IF(SelectMemberOrgs = "*", $A213, _xlfn.AGGREGATE(15, 6, (1/(MemberOrgsData[Auditee Name] = SelectMemberOrgs))*ROW(MemberOrgsData[Auditee Name])*(1/(MemberOrgsData[AUDITYEAR] = SelectFiscalYear))*(MemberOrgsData[AUDITYEAR] = SelectFiscalYear), $A213)-MemberOrgs_TopRow), ""))</f>
        <v/>
      </c>
      <c r="C213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13" t="str">
        <f t="array" ref="L213">IFERROR(INDEX(MemberOrgsData[Auditee Name], MATCH(0, INDEX(COUNTIF($L$2:L212, MemberOrgsData[Auditee Name]),)+IF(MemberOrgsData[AUDITYEAR] &lt;&gt; SelectFiscalYear, 1, 0),0)), "")</f>
        <v/>
      </c>
    </row>
    <row r="214" spans="1:12" x14ac:dyDescent="0.25">
      <c r="A214">
        <v>208</v>
      </c>
      <c r="B214" t="str">
        <f>IF($A214 &gt; MemberOrgs_NumRow, "", IFERROR(IF(SelectMemberOrgs = "*", $A214, _xlfn.AGGREGATE(15, 6, (1/(MemberOrgsData[Auditee Name] = SelectMemberOrgs))*ROW(MemberOrgsData[Auditee Name])*(1/(MemberOrgsData[AUDITYEAR] = SelectFiscalYear))*(MemberOrgsData[AUDITYEAR] = SelectFiscalYear), $A214)-MemberOrgs_TopRow), ""))</f>
        <v/>
      </c>
      <c r="C214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14" t="str">
        <f t="array" ref="L214">IFERROR(INDEX(MemberOrgsData[Auditee Name], MATCH(0, INDEX(COUNTIF($L$2:L213, MemberOrgsData[Auditee Name]),)+IF(MemberOrgsData[AUDITYEAR] &lt;&gt; SelectFiscalYear, 1, 0),0)), "")</f>
        <v/>
      </c>
    </row>
    <row r="215" spans="1:12" x14ac:dyDescent="0.25">
      <c r="A215">
        <v>209</v>
      </c>
      <c r="B215" t="str">
        <f>IF($A215 &gt; MemberOrgs_NumRow, "", IFERROR(IF(SelectMemberOrgs = "*", $A215, _xlfn.AGGREGATE(15, 6, (1/(MemberOrgsData[Auditee Name] = SelectMemberOrgs))*ROW(MemberOrgsData[Auditee Name])*(1/(MemberOrgsData[AUDITYEAR] = SelectFiscalYear))*(MemberOrgsData[AUDITYEAR] = SelectFiscalYear), $A215)-MemberOrgs_TopRow), ""))</f>
        <v/>
      </c>
      <c r="C215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15" t="str">
        <f t="array" ref="L215">IFERROR(INDEX(MemberOrgsData[Auditee Name], MATCH(0, INDEX(COUNTIF($L$2:L214, MemberOrgsData[Auditee Name]),)+IF(MemberOrgsData[AUDITYEAR] &lt;&gt; SelectFiscalYear, 1, 0),0)), "")</f>
        <v/>
      </c>
    </row>
    <row r="216" spans="1:12" x14ac:dyDescent="0.25">
      <c r="A216">
        <v>210</v>
      </c>
      <c r="B216" t="str">
        <f>IF($A216 &gt; MemberOrgs_NumRow, "", IFERROR(IF(SelectMemberOrgs = "*", $A216, _xlfn.AGGREGATE(15, 6, (1/(MemberOrgsData[Auditee Name] = SelectMemberOrgs))*ROW(MemberOrgsData[Auditee Name])*(1/(MemberOrgsData[AUDITYEAR] = SelectFiscalYear))*(MemberOrgsData[AUDITYEAR] = SelectFiscalYear), $A216)-MemberOrgs_TopRow), ""))</f>
        <v/>
      </c>
      <c r="C216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16" t="str">
        <f t="array" ref="L216">IFERROR(INDEX(MemberOrgsData[Auditee Name], MATCH(0, INDEX(COUNTIF($L$2:L215, MemberOrgsData[Auditee Name]),)+IF(MemberOrgsData[AUDITYEAR] &lt;&gt; SelectFiscalYear, 1, 0),0)), "")</f>
        <v/>
      </c>
    </row>
    <row r="217" spans="1:12" x14ac:dyDescent="0.25">
      <c r="A217">
        <v>211</v>
      </c>
      <c r="B217" t="str">
        <f>IF($A217 &gt; MemberOrgs_NumRow, "", IFERROR(IF(SelectMemberOrgs = "*", $A217, _xlfn.AGGREGATE(15, 6, (1/(MemberOrgsData[Auditee Name] = SelectMemberOrgs))*ROW(MemberOrgsData[Auditee Name])*(1/(MemberOrgsData[AUDITYEAR] = SelectFiscalYear))*(MemberOrgsData[AUDITYEAR] = SelectFiscalYear), $A217)-MemberOrgs_TopRow), ""))</f>
        <v/>
      </c>
      <c r="C217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17" t="str">
        <f t="array" ref="L217">IFERROR(INDEX(MemberOrgsData[Auditee Name], MATCH(0, INDEX(COUNTIF($L$2:L216, MemberOrgsData[Auditee Name]),)+IF(MemberOrgsData[AUDITYEAR] &lt;&gt; SelectFiscalYear, 1, 0),0)), "")</f>
        <v/>
      </c>
    </row>
    <row r="218" spans="1:12" x14ac:dyDescent="0.25">
      <c r="A218">
        <v>212</v>
      </c>
      <c r="B218" t="str">
        <f>IF($A218 &gt; MemberOrgs_NumRow, "", IFERROR(IF(SelectMemberOrgs = "*", $A218, _xlfn.AGGREGATE(15, 6, (1/(MemberOrgsData[Auditee Name] = SelectMemberOrgs))*ROW(MemberOrgsData[Auditee Name])*(1/(MemberOrgsData[AUDITYEAR] = SelectFiscalYear))*(MemberOrgsData[AUDITYEAR] = SelectFiscalYear), $A218)-MemberOrgs_TopRow), ""))</f>
        <v/>
      </c>
      <c r="C218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18" t="str">
        <f t="array" ref="L218">IFERROR(INDEX(MemberOrgsData[Auditee Name], MATCH(0, INDEX(COUNTIF($L$2:L217, MemberOrgsData[Auditee Name]),)+IF(MemberOrgsData[AUDITYEAR] &lt;&gt; SelectFiscalYear, 1, 0),0)), "")</f>
        <v/>
      </c>
    </row>
    <row r="219" spans="1:12" x14ac:dyDescent="0.25">
      <c r="A219">
        <v>213</v>
      </c>
      <c r="B219" t="str">
        <f>IF($A219 &gt; MemberOrgs_NumRow, "", IFERROR(IF(SelectMemberOrgs = "*", $A219, _xlfn.AGGREGATE(15, 6, (1/(MemberOrgsData[Auditee Name] = SelectMemberOrgs))*ROW(MemberOrgsData[Auditee Name])*(1/(MemberOrgsData[AUDITYEAR] = SelectFiscalYear))*(MemberOrgsData[AUDITYEAR] = SelectFiscalYear), $A219)-MemberOrgs_TopRow), ""))</f>
        <v/>
      </c>
      <c r="C219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19" t="str">
        <f t="array" ref="L219">IFERROR(INDEX(MemberOrgsData[Auditee Name], MATCH(0, INDEX(COUNTIF($L$2:L218, MemberOrgsData[Auditee Name]),)+IF(MemberOrgsData[AUDITYEAR] &lt;&gt; SelectFiscalYear, 1, 0),0)), "")</f>
        <v/>
      </c>
    </row>
    <row r="220" spans="1:12" x14ac:dyDescent="0.25">
      <c r="A220">
        <v>214</v>
      </c>
      <c r="B220" t="str">
        <f>IF($A220 &gt; MemberOrgs_NumRow, "", IFERROR(IF(SelectMemberOrgs = "*", $A220, _xlfn.AGGREGATE(15, 6, (1/(MemberOrgsData[Auditee Name] = SelectMemberOrgs))*ROW(MemberOrgsData[Auditee Name])*(1/(MemberOrgsData[AUDITYEAR] = SelectFiscalYear))*(MemberOrgsData[AUDITYEAR] = SelectFiscalYear), $A220)-MemberOrgs_TopRow), ""))</f>
        <v/>
      </c>
      <c r="C220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20" t="str">
        <f t="array" ref="L220">IFERROR(INDEX(MemberOrgsData[Auditee Name], MATCH(0, INDEX(COUNTIF($L$2:L219, MemberOrgsData[Auditee Name]),)+IF(MemberOrgsData[AUDITYEAR] &lt;&gt; SelectFiscalYear, 1, 0),0)), "")</f>
        <v/>
      </c>
    </row>
    <row r="221" spans="1:12" x14ac:dyDescent="0.25">
      <c r="A221">
        <v>215</v>
      </c>
      <c r="B221" t="str">
        <f>IF($A221 &gt; MemberOrgs_NumRow, "", IFERROR(IF(SelectMemberOrgs = "*", $A221, _xlfn.AGGREGATE(15, 6, (1/(MemberOrgsData[Auditee Name] = SelectMemberOrgs))*ROW(MemberOrgsData[Auditee Name])*(1/(MemberOrgsData[AUDITYEAR] = SelectFiscalYear))*(MemberOrgsData[AUDITYEAR] = SelectFiscalYear), $A221)-MemberOrgs_TopRow), ""))</f>
        <v/>
      </c>
      <c r="C221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21" t="str">
        <f t="array" ref="L221">IFERROR(INDEX(MemberOrgsData[Auditee Name], MATCH(0, INDEX(COUNTIF($L$2:L220, MemberOrgsData[Auditee Name]),)+IF(MemberOrgsData[AUDITYEAR] &lt;&gt; SelectFiscalYear, 1, 0),0)), "")</f>
        <v/>
      </c>
    </row>
    <row r="222" spans="1:12" x14ac:dyDescent="0.25">
      <c r="A222">
        <v>216</v>
      </c>
      <c r="B222" t="str">
        <f>IF($A222 &gt; MemberOrgs_NumRow, "", IFERROR(IF(SelectMemberOrgs = "*", $A222, _xlfn.AGGREGATE(15, 6, (1/(MemberOrgsData[Auditee Name] = SelectMemberOrgs))*ROW(MemberOrgsData[Auditee Name])*(1/(MemberOrgsData[AUDITYEAR] = SelectFiscalYear))*(MemberOrgsData[AUDITYEAR] = SelectFiscalYear), $A222)-MemberOrgs_TopRow), ""))</f>
        <v/>
      </c>
      <c r="C222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22" t="str">
        <f t="array" ref="L222">IFERROR(INDEX(MemberOrgsData[Auditee Name], MATCH(0, INDEX(COUNTIF($L$2:L221, MemberOrgsData[Auditee Name]),)+IF(MemberOrgsData[AUDITYEAR] &lt;&gt; SelectFiscalYear, 1, 0),0)), "")</f>
        <v/>
      </c>
    </row>
    <row r="223" spans="1:12" x14ac:dyDescent="0.25">
      <c r="A223">
        <v>217</v>
      </c>
      <c r="B223" t="str">
        <f>IF($A223 &gt; MemberOrgs_NumRow, "", IFERROR(IF(SelectMemberOrgs = "*", $A223, _xlfn.AGGREGATE(15, 6, (1/(MemberOrgsData[Auditee Name] = SelectMemberOrgs))*ROW(MemberOrgsData[Auditee Name])*(1/(MemberOrgsData[AUDITYEAR] = SelectFiscalYear))*(MemberOrgsData[AUDITYEAR] = SelectFiscalYear), $A223)-MemberOrgs_TopRow), ""))</f>
        <v/>
      </c>
      <c r="C223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23" t="str">
        <f t="array" ref="L223">IFERROR(INDEX(MemberOrgsData[Auditee Name], MATCH(0, INDEX(COUNTIF($L$2:L222, MemberOrgsData[Auditee Name]),)+IF(MemberOrgsData[AUDITYEAR] &lt;&gt; SelectFiscalYear, 1, 0),0)), "")</f>
        <v/>
      </c>
    </row>
    <row r="224" spans="1:12" x14ac:dyDescent="0.25">
      <c r="A224">
        <v>218</v>
      </c>
      <c r="B224" t="str">
        <f>IF($A224 &gt; MemberOrgs_NumRow, "", IFERROR(IF(SelectMemberOrgs = "*", $A224, _xlfn.AGGREGATE(15, 6, (1/(MemberOrgsData[Auditee Name] = SelectMemberOrgs))*ROW(MemberOrgsData[Auditee Name])*(1/(MemberOrgsData[AUDITYEAR] = SelectFiscalYear))*(MemberOrgsData[AUDITYEAR] = SelectFiscalYear), $A224)-MemberOrgs_TopRow), ""))</f>
        <v/>
      </c>
      <c r="C224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24" t="str">
        <f t="array" ref="L224">IFERROR(INDEX(MemberOrgsData[Auditee Name], MATCH(0, INDEX(COUNTIF($L$2:L223, MemberOrgsData[Auditee Name]),)+IF(MemberOrgsData[AUDITYEAR] &lt;&gt; SelectFiscalYear, 1, 0),0)), "")</f>
        <v/>
      </c>
    </row>
    <row r="225" spans="1:12" x14ac:dyDescent="0.25">
      <c r="A225">
        <v>219</v>
      </c>
      <c r="B225" t="str">
        <f>IF($A225 &gt; MemberOrgs_NumRow, "", IFERROR(IF(SelectMemberOrgs = "*", $A225, _xlfn.AGGREGATE(15, 6, (1/(MemberOrgsData[Auditee Name] = SelectMemberOrgs))*ROW(MemberOrgsData[Auditee Name])*(1/(MemberOrgsData[AUDITYEAR] = SelectFiscalYear))*(MemberOrgsData[AUDITYEAR] = SelectFiscalYear), $A225)-MemberOrgs_TopRow), ""))</f>
        <v/>
      </c>
      <c r="C225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25" t="str">
        <f t="array" ref="L225">IFERROR(INDEX(MemberOrgsData[Auditee Name], MATCH(0, INDEX(COUNTIF($L$2:L224, MemberOrgsData[Auditee Name]),)+IF(MemberOrgsData[AUDITYEAR] &lt;&gt; SelectFiscalYear, 1, 0),0)), "")</f>
        <v/>
      </c>
    </row>
    <row r="226" spans="1:12" x14ac:dyDescent="0.25">
      <c r="A226">
        <v>220</v>
      </c>
      <c r="B226" t="str">
        <f>IF($A226 &gt; MemberOrgs_NumRow, "", IFERROR(IF(SelectMemberOrgs = "*", $A226, _xlfn.AGGREGATE(15, 6, (1/(MemberOrgsData[Auditee Name] = SelectMemberOrgs))*ROW(MemberOrgsData[Auditee Name])*(1/(MemberOrgsData[AUDITYEAR] = SelectFiscalYear))*(MemberOrgsData[AUDITYEAR] = SelectFiscalYear), $A226)-MemberOrgs_TopRow), ""))</f>
        <v/>
      </c>
      <c r="C226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26" t="str">
        <f t="array" ref="L226">IFERROR(INDEX(MemberOrgsData[Auditee Name], MATCH(0, INDEX(COUNTIF($L$2:L225, MemberOrgsData[Auditee Name]),)+IF(MemberOrgsData[AUDITYEAR] &lt;&gt; SelectFiscalYear, 1, 0),0)), "")</f>
        <v/>
      </c>
    </row>
    <row r="227" spans="1:12" x14ac:dyDescent="0.25">
      <c r="A227">
        <v>221</v>
      </c>
      <c r="B227" t="str">
        <f>IF($A227 &gt; MemberOrgs_NumRow, "", IFERROR(IF(SelectMemberOrgs = "*", $A227, _xlfn.AGGREGATE(15, 6, (1/(MemberOrgsData[Auditee Name] = SelectMemberOrgs))*ROW(MemberOrgsData[Auditee Name])*(1/(MemberOrgsData[AUDITYEAR] = SelectFiscalYear))*(MemberOrgsData[AUDITYEAR] = SelectFiscalYear), $A227)-MemberOrgs_TopRow), ""))</f>
        <v/>
      </c>
      <c r="C227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27" t="str">
        <f t="array" ref="L227">IFERROR(INDEX(MemberOrgsData[Auditee Name], MATCH(0, INDEX(COUNTIF($L$2:L226, MemberOrgsData[Auditee Name]),)+IF(MemberOrgsData[AUDITYEAR] &lt;&gt; SelectFiscalYear, 1, 0),0)), "")</f>
        <v/>
      </c>
    </row>
    <row r="228" spans="1:12" x14ac:dyDescent="0.25">
      <c r="A228">
        <v>222</v>
      </c>
      <c r="B228" t="str">
        <f>IF($A228 &gt; MemberOrgs_NumRow, "", IFERROR(IF(SelectMemberOrgs = "*", $A228, _xlfn.AGGREGATE(15, 6, (1/(MemberOrgsData[Auditee Name] = SelectMemberOrgs))*ROW(MemberOrgsData[Auditee Name])*(1/(MemberOrgsData[AUDITYEAR] = SelectFiscalYear))*(MemberOrgsData[AUDITYEAR] = SelectFiscalYear), $A228)-MemberOrgs_TopRow), ""))</f>
        <v/>
      </c>
      <c r="C228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28" t="str">
        <f t="array" ref="L228">IFERROR(INDEX(MemberOrgsData[Auditee Name], MATCH(0, INDEX(COUNTIF($L$2:L227, MemberOrgsData[Auditee Name]),)+IF(MemberOrgsData[AUDITYEAR] &lt;&gt; SelectFiscalYear, 1, 0),0)), "")</f>
        <v/>
      </c>
    </row>
    <row r="229" spans="1:12" x14ac:dyDescent="0.25">
      <c r="A229">
        <v>223</v>
      </c>
      <c r="B229" t="str">
        <f>IF($A229 &gt; MemberOrgs_NumRow, "", IFERROR(IF(SelectMemberOrgs = "*", $A229, _xlfn.AGGREGATE(15, 6, (1/(MemberOrgsData[Auditee Name] = SelectMemberOrgs))*ROW(MemberOrgsData[Auditee Name])*(1/(MemberOrgsData[AUDITYEAR] = SelectFiscalYear))*(MemberOrgsData[AUDITYEAR] = SelectFiscalYear), $A229)-MemberOrgs_TopRow), ""))</f>
        <v/>
      </c>
      <c r="C229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29" t="str">
        <f t="array" ref="L229">IFERROR(INDEX(MemberOrgsData[Auditee Name], MATCH(0, INDEX(COUNTIF($L$2:L228, MemberOrgsData[Auditee Name]),)+IF(MemberOrgsData[AUDITYEAR] &lt;&gt; SelectFiscalYear, 1, 0),0)), "")</f>
        <v/>
      </c>
    </row>
    <row r="230" spans="1:12" x14ac:dyDescent="0.25">
      <c r="A230">
        <v>224</v>
      </c>
      <c r="B230" t="str">
        <f>IF($A230 &gt; MemberOrgs_NumRow, "", IFERROR(IF(SelectMemberOrgs = "*", $A230, _xlfn.AGGREGATE(15, 6, (1/(MemberOrgsData[Auditee Name] = SelectMemberOrgs))*ROW(MemberOrgsData[Auditee Name])*(1/(MemberOrgsData[AUDITYEAR] = SelectFiscalYear))*(MemberOrgsData[AUDITYEAR] = SelectFiscalYear), $A230)-MemberOrgs_TopRow), ""))</f>
        <v/>
      </c>
      <c r="C230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30" t="str">
        <f t="array" ref="L230">IFERROR(INDEX(MemberOrgsData[Auditee Name], MATCH(0, INDEX(COUNTIF($L$2:L229, MemberOrgsData[Auditee Name]),)+IF(MemberOrgsData[AUDITYEAR] &lt;&gt; SelectFiscalYear, 1, 0),0)), "")</f>
        <v/>
      </c>
    </row>
    <row r="231" spans="1:12" x14ac:dyDescent="0.25">
      <c r="A231">
        <v>225</v>
      </c>
      <c r="B231" t="str">
        <f>IF($A231 &gt; MemberOrgs_NumRow, "", IFERROR(IF(SelectMemberOrgs = "*", $A231, _xlfn.AGGREGATE(15, 6, (1/(MemberOrgsData[Auditee Name] = SelectMemberOrgs))*ROW(MemberOrgsData[Auditee Name])*(1/(MemberOrgsData[AUDITYEAR] = SelectFiscalYear))*(MemberOrgsData[AUDITYEAR] = SelectFiscalYear), $A231)-MemberOrgs_TopRow), ""))</f>
        <v/>
      </c>
      <c r="C231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31" t="str">
        <f t="array" ref="L231">IFERROR(INDEX(MemberOrgsData[Auditee Name], MATCH(0, INDEX(COUNTIF($L$2:L230, MemberOrgsData[Auditee Name]),)+IF(MemberOrgsData[AUDITYEAR] &lt;&gt; SelectFiscalYear, 1, 0),0)), "")</f>
        <v/>
      </c>
    </row>
    <row r="232" spans="1:12" x14ac:dyDescent="0.25">
      <c r="A232">
        <v>226</v>
      </c>
      <c r="B232" t="str">
        <f>IF($A232 &gt; MemberOrgs_NumRow, "", IFERROR(IF(SelectMemberOrgs = "*", $A232, _xlfn.AGGREGATE(15, 6, (1/(MemberOrgsData[Auditee Name] = SelectMemberOrgs))*ROW(MemberOrgsData[Auditee Name])*(1/(MemberOrgsData[AUDITYEAR] = SelectFiscalYear))*(MemberOrgsData[AUDITYEAR] = SelectFiscalYear), $A232)-MemberOrgs_TopRow), ""))</f>
        <v/>
      </c>
      <c r="C232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32" t="str">
        <f t="array" ref="L232">IFERROR(INDEX(MemberOrgsData[Auditee Name], MATCH(0, INDEX(COUNTIF($L$2:L231, MemberOrgsData[Auditee Name]),)+IF(MemberOrgsData[AUDITYEAR] &lt;&gt; SelectFiscalYear, 1, 0),0)), "")</f>
        <v/>
      </c>
    </row>
    <row r="233" spans="1:12" x14ac:dyDescent="0.25">
      <c r="A233">
        <v>227</v>
      </c>
      <c r="B233" t="str">
        <f>IF($A233 &gt; MemberOrgs_NumRow, "", IFERROR(IF(SelectMemberOrgs = "*", $A233, _xlfn.AGGREGATE(15, 6, (1/(MemberOrgsData[Auditee Name] = SelectMemberOrgs))*ROW(MemberOrgsData[Auditee Name])*(1/(MemberOrgsData[AUDITYEAR] = SelectFiscalYear))*(MemberOrgsData[AUDITYEAR] = SelectFiscalYear), $A233)-MemberOrgs_TopRow), ""))</f>
        <v/>
      </c>
      <c r="C233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33" t="str">
        <f t="array" ref="L233">IFERROR(INDEX(MemberOrgsData[Auditee Name], MATCH(0, INDEX(COUNTIF($L$2:L232, MemberOrgsData[Auditee Name]),)+IF(MemberOrgsData[AUDITYEAR] &lt;&gt; SelectFiscalYear, 1, 0),0)), "")</f>
        <v/>
      </c>
    </row>
    <row r="234" spans="1:12" x14ac:dyDescent="0.25">
      <c r="A234">
        <v>228</v>
      </c>
      <c r="B234" t="str">
        <f>IF($A234 &gt; MemberOrgs_NumRow, "", IFERROR(IF(SelectMemberOrgs = "*", $A234, _xlfn.AGGREGATE(15, 6, (1/(MemberOrgsData[Auditee Name] = SelectMemberOrgs))*ROW(MemberOrgsData[Auditee Name])*(1/(MemberOrgsData[AUDITYEAR] = SelectFiscalYear))*(MemberOrgsData[AUDITYEAR] = SelectFiscalYear), $A234)-MemberOrgs_TopRow), ""))</f>
        <v/>
      </c>
      <c r="C234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34" t="str">
        <f t="array" ref="L234">IFERROR(INDEX(MemberOrgsData[Auditee Name], MATCH(0, INDEX(COUNTIF($L$2:L233, MemberOrgsData[Auditee Name]),)+IF(MemberOrgsData[AUDITYEAR] &lt;&gt; SelectFiscalYear, 1, 0),0)), "")</f>
        <v/>
      </c>
    </row>
    <row r="235" spans="1:12" x14ac:dyDescent="0.25">
      <c r="A235">
        <v>229</v>
      </c>
      <c r="B235" t="str">
        <f>IF($A235 &gt; MemberOrgs_NumRow, "", IFERROR(IF(SelectMemberOrgs = "*", $A235, _xlfn.AGGREGATE(15, 6, (1/(MemberOrgsData[Auditee Name] = SelectMemberOrgs))*ROW(MemberOrgsData[Auditee Name])*(1/(MemberOrgsData[AUDITYEAR] = SelectFiscalYear))*(MemberOrgsData[AUDITYEAR] = SelectFiscalYear), $A235)-MemberOrgs_TopRow), ""))</f>
        <v/>
      </c>
      <c r="C235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35" t="str">
        <f t="array" ref="L235">IFERROR(INDEX(MemberOrgsData[Auditee Name], MATCH(0, INDEX(COUNTIF($L$2:L234, MemberOrgsData[Auditee Name]),)+IF(MemberOrgsData[AUDITYEAR] &lt;&gt; SelectFiscalYear, 1, 0),0)), "")</f>
        <v/>
      </c>
    </row>
    <row r="236" spans="1:12" x14ac:dyDescent="0.25">
      <c r="A236">
        <v>230</v>
      </c>
      <c r="B236" t="str">
        <f>IF($A236 &gt; MemberOrgs_NumRow, "", IFERROR(IF(SelectMemberOrgs = "*", $A236, _xlfn.AGGREGATE(15, 6, (1/(MemberOrgsData[Auditee Name] = SelectMemberOrgs))*ROW(MemberOrgsData[Auditee Name])*(1/(MemberOrgsData[AUDITYEAR] = SelectFiscalYear))*(MemberOrgsData[AUDITYEAR] = SelectFiscalYear), $A236)-MemberOrgs_TopRow), ""))</f>
        <v/>
      </c>
      <c r="C236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36" t="str">
        <f t="array" ref="L236">IFERROR(INDEX(MemberOrgsData[Auditee Name], MATCH(0, INDEX(COUNTIF($L$2:L235, MemberOrgsData[Auditee Name]),)+IF(MemberOrgsData[AUDITYEAR] &lt;&gt; SelectFiscalYear, 1, 0),0)), "")</f>
        <v/>
      </c>
    </row>
    <row r="237" spans="1:12" x14ac:dyDescent="0.25">
      <c r="A237">
        <v>231</v>
      </c>
      <c r="B237" t="str">
        <f>IF($A237 &gt; MemberOrgs_NumRow, "", IFERROR(IF(SelectMemberOrgs = "*", $A237, _xlfn.AGGREGATE(15, 6, (1/(MemberOrgsData[Auditee Name] = SelectMemberOrgs))*ROW(MemberOrgsData[Auditee Name])*(1/(MemberOrgsData[AUDITYEAR] = SelectFiscalYear))*(MemberOrgsData[AUDITYEAR] = SelectFiscalYear), $A237)-MemberOrgs_TopRow), ""))</f>
        <v/>
      </c>
      <c r="C237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37" t="str">
        <f t="array" ref="L237">IFERROR(INDEX(MemberOrgsData[Auditee Name], MATCH(0, INDEX(COUNTIF($L$2:L236, MemberOrgsData[Auditee Name]),)+IF(MemberOrgsData[AUDITYEAR] &lt;&gt; SelectFiscalYear, 1, 0),0)), "")</f>
        <v/>
      </c>
    </row>
    <row r="238" spans="1:12" x14ac:dyDescent="0.25">
      <c r="A238">
        <v>232</v>
      </c>
      <c r="B238" t="str">
        <f>IF($A238 &gt; MemberOrgs_NumRow, "", IFERROR(IF(SelectMemberOrgs = "*", $A238, _xlfn.AGGREGATE(15, 6, (1/(MemberOrgsData[Auditee Name] = SelectMemberOrgs))*ROW(MemberOrgsData[Auditee Name])*(1/(MemberOrgsData[AUDITYEAR] = SelectFiscalYear))*(MemberOrgsData[AUDITYEAR] = SelectFiscalYear), $A238)-MemberOrgs_TopRow), ""))</f>
        <v/>
      </c>
      <c r="C238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38" t="str">
        <f t="array" ref="L238">IFERROR(INDEX(MemberOrgsData[Auditee Name], MATCH(0, INDEX(COUNTIF($L$2:L237, MemberOrgsData[Auditee Name]),)+IF(MemberOrgsData[AUDITYEAR] &lt;&gt; SelectFiscalYear, 1, 0),0)), "")</f>
        <v/>
      </c>
    </row>
    <row r="239" spans="1:12" x14ac:dyDescent="0.25">
      <c r="A239">
        <v>233</v>
      </c>
      <c r="B239" t="str">
        <f>IF($A239 &gt; MemberOrgs_NumRow, "", IFERROR(IF(SelectMemberOrgs = "*", $A239, _xlfn.AGGREGATE(15, 6, (1/(MemberOrgsData[Auditee Name] = SelectMemberOrgs))*ROW(MemberOrgsData[Auditee Name])*(1/(MemberOrgsData[AUDITYEAR] = SelectFiscalYear))*(MemberOrgsData[AUDITYEAR] = SelectFiscalYear), $A239)-MemberOrgs_TopRow), ""))</f>
        <v/>
      </c>
      <c r="C239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39" t="str">
        <f t="array" ref="L239">IFERROR(INDEX(MemberOrgsData[Auditee Name], MATCH(0, INDEX(COUNTIF($L$2:L238, MemberOrgsData[Auditee Name]),)+IF(MemberOrgsData[AUDITYEAR] &lt;&gt; SelectFiscalYear, 1, 0),0)), "")</f>
        <v/>
      </c>
    </row>
    <row r="240" spans="1:12" x14ac:dyDescent="0.25">
      <c r="A240">
        <v>234</v>
      </c>
      <c r="B240" t="str">
        <f>IF($A240 &gt; MemberOrgs_NumRow, "", IFERROR(IF(SelectMemberOrgs = "*", $A240, _xlfn.AGGREGATE(15, 6, (1/(MemberOrgsData[Auditee Name] = SelectMemberOrgs))*ROW(MemberOrgsData[Auditee Name])*(1/(MemberOrgsData[AUDITYEAR] = SelectFiscalYear))*(MemberOrgsData[AUDITYEAR] = SelectFiscalYear), $A240)-MemberOrgs_TopRow), ""))</f>
        <v/>
      </c>
      <c r="C240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40" t="str">
        <f t="array" ref="L240">IFERROR(INDEX(MemberOrgsData[Auditee Name], MATCH(0, INDEX(COUNTIF($L$2:L239, MemberOrgsData[Auditee Name]),)+IF(MemberOrgsData[AUDITYEAR] &lt;&gt; SelectFiscalYear, 1, 0),0)), "")</f>
        <v/>
      </c>
    </row>
    <row r="241" spans="1:12" x14ac:dyDescent="0.25">
      <c r="A241">
        <v>235</v>
      </c>
      <c r="B241" t="str">
        <f>IF($A241 &gt; MemberOrgs_NumRow, "", IFERROR(IF(SelectMemberOrgs = "*", $A241, _xlfn.AGGREGATE(15, 6, (1/(MemberOrgsData[Auditee Name] = SelectMemberOrgs))*ROW(MemberOrgsData[Auditee Name])*(1/(MemberOrgsData[AUDITYEAR] = SelectFiscalYear))*(MemberOrgsData[AUDITYEAR] = SelectFiscalYear), $A241)-MemberOrgs_TopRow), ""))</f>
        <v/>
      </c>
      <c r="C241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41" t="str">
        <f t="array" ref="L241">IFERROR(INDEX(MemberOrgsData[Auditee Name], MATCH(0, INDEX(COUNTIF($L$2:L240, MemberOrgsData[Auditee Name]),)+IF(MemberOrgsData[AUDITYEAR] &lt;&gt; SelectFiscalYear, 1, 0),0)), "")</f>
        <v/>
      </c>
    </row>
    <row r="242" spans="1:12" x14ac:dyDescent="0.25">
      <c r="A242">
        <v>236</v>
      </c>
      <c r="B242" t="str">
        <f>IF($A242 &gt; MemberOrgs_NumRow, "", IFERROR(IF(SelectMemberOrgs = "*", $A242, _xlfn.AGGREGATE(15, 6, (1/(MemberOrgsData[Auditee Name] = SelectMemberOrgs))*ROW(MemberOrgsData[Auditee Name])*(1/(MemberOrgsData[AUDITYEAR] = SelectFiscalYear))*(MemberOrgsData[AUDITYEAR] = SelectFiscalYear), $A242)-MemberOrgs_TopRow), ""))</f>
        <v/>
      </c>
      <c r="C242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42" t="str">
        <f t="array" ref="L242">IFERROR(INDEX(MemberOrgsData[Auditee Name], MATCH(0, INDEX(COUNTIF($L$2:L241, MemberOrgsData[Auditee Name]),)+IF(MemberOrgsData[AUDITYEAR] &lt;&gt; SelectFiscalYear, 1, 0),0)), "")</f>
        <v/>
      </c>
    </row>
    <row r="243" spans="1:12" x14ac:dyDescent="0.25">
      <c r="A243">
        <v>237</v>
      </c>
      <c r="B243" t="str">
        <f>IF($A243 &gt; MemberOrgs_NumRow, "", IFERROR(IF(SelectMemberOrgs = "*", $A243, _xlfn.AGGREGATE(15, 6, (1/(MemberOrgsData[Auditee Name] = SelectMemberOrgs))*ROW(MemberOrgsData[Auditee Name])*(1/(MemberOrgsData[AUDITYEAR] = SelectFiscalYear))*(MemberOrgsData[AUDITYEAR] = SelectFiscalYear), $A243)-MemberOrgs_TopRow), ""))</f>
        <v/>
      </c>
      <c r="C243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43" t="str">
        <f t="array" ref="L243">IFERROR(INDEX(MemberOrgsData[Auditee Name], MATCH(0, INDEX(COUNTIF($L$2:L242, MemberOrgsData[Auditee Name]),)+IF(MemberOrgsData[AUDITYEAR] &lt;&gt; SelectFiscalYear, 1, 0),0)), "")</f>
        <v/>
      </c>
    </row>
    <row r="244" spans="1:12" x14ac:dyDescent="0.25">
      <c r="A244">
        <v>238</v>
      </c>
      <c r="B244" t="str">
        <f>IF($A244 &gt; MemberOrgs_NumRow, "", IFERROR(IF(SelectMemberOrgs = "*", $A244, _xlfn.AGGREGATE(15, 6, (1/(MemberOrgsData[Auditee Name] = SelectMemberOrgs))*ROW(MemberOrgsData[Auditee Name])*(1/(MemberOrgsData[AUDITYEAR] = SelectFiscalYear))*(MemberOrgsData[AUDITYEAR] = SelectFiscalYear), $A244)-MemberOrgs_TopRow), ""))</f>
        <v/>
      </c>
      <c r="C244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44" t="str">
        <f t="array" ref="L244">IFERROR(INDEX(MemberOrgsData[Auditee Name], MATCH(0, INDEX(COUNTIF($L$2:L243, MemberOrgsData[Auditee Name]),)+IF(MemberOrgsData[AUDITYEAR] &lt;&gt; SelectFiscalYear, 1, 0),0)), "")</f>
        <v/>
      </c>
    </row>
    <row r="245" spans="1:12" x14ac:dyDescent="0.25">
      <c r="A245">
        <v>239</v>
      </c>
      <c r="B245" t="str">
        <f>IF($A245 &gt; MemberOrgs_NumRow, "", IFERROR(IF(SelectMemberOrgs = "*", $A245, _xlfn.AGGREGATE(15, 6, (1/(MemberOrgsData[Auditee Name] = SelectMemberOrgs))*ROW(MemberOrgsData[Auditee Name])*(1/(MemberOrgsData[AUDITYEAR] = SelectFiscalYear))*(MemberOrgsData[AUDITYEAR] = SelectFiscalYear), $A245)-MemberOrgs_TopRow), ""))</f>
        <v/>
      </c>
      <c r="C245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45" t="str">
        <f t="array" ref="L245">IFERROR(INDEX(MemberOrgsData[Auditee Name], MATCH(0, INDEX(COUNTIF($L$2:L244, MemberOrgsData[Auditee Name]),)+IF(MemberOrgsData[AUDITYEAR] &lt;&gt; SelectFiscalYear, 1, 0),0)), "")</f>
        <v/>
      </c>
    </row>
    <row r="246" spans="1:12" x14ac:dyDescent="0.25">
      <c r="A246">
        <v>240</v>
      </c>
      <c r="B246" t="str">
        <f>IF($A246 &gt; MemberOrgs_NumRow, "", IFERROR(IF(SelectMemberOrgs = "*", $A246, _xlfn.AGGREGATE(15, 6, (1/(MemberOrgsData[Auditee Name] = SelectMemberOrgs))*ROW(MemberOrgsData[Auditee Name])*(1/(MemberOrgsData[AUDITYEAR] = SelectFiscalYear))*(MemberOrgsData[AUDITYEAR] = SelectFiscalYear), $A246)-MemberOrgs_TopRow), ""))</f>
        <v/>
      </c>
      <c r="C246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46" t="str">
        <f t="array" ref="L246">IFERROR(INDEX(MemberOrgsData[Auditee Name], MATCH(0, INDEX(COUNTIF($L$2:L245, MemberOrgsData[Auditee Name]),)+IF(MemberOrgsData[AUDITYEAR] &lt;&gt; SelectFiscalYear, 1, 0),0)), "")</f>
        <v/>
      </c>
    </row>
    <row r="247" spans="1:12" x14ac:dyDescent="0.25">
      <c r="A247">
        <v>241</v>
      </c>
      <c r="B247" t="str">
        <f>IF($A247 &gt; MemberOrgs_NumRow, "", IFERROR(IF(SelectMemberOrgs = "*", $A247, _xlfn.AGGREGATE(15, 6, (1/(MemberOrgsData[Auditee Name] = SelectMemberOrgs))*ROW(MemberOrgsData[Auditee Name])*(1/(MemberOrgsData[AUDITYEAR] = SelectFiscalYear))*(MemberOrgsData[AUDITYEAR] = SelectFiscalYear), $A247)-MemberOrgs_TopRow), ""))</f>
        <v/>
      </c>
      <c r="C247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47" t="str">
        <f t="array" ref="L247">IFERROR(INDEX(MemberOrgsData[Auditee Name], MATCH(0, INDEX(COUNTIF($L$2:L246, MemberOrgsData[Auditee Name]),)+IF(MemberOrgsData[AUDITYEAR] &lt;&gt; SelectFiscalYear, 1, 0),0)), "")</f>
        <v/>
      </c>
    </row>
    <row r="248" spans="1:12" x14ac:dyDescent="0.25">
      <c r="A248">
        <v>242</v>
      </c>
      <c r="B248" t="str">
        <f>IF($A248 &gt; MemberOrgs_NumRow, "", IFERROR(IF(SelectMemberOrgs = "*", $A248, _xlfn.AGGREGATE(15, 6, (1/(MemberOrgsData[Auditee Name] = SelectMemberOrgs))*ROW(MemberOrgsData[Auditee Name])*(1/(MemberOrgsData[AUDITYEAR] = SelectFiscalYear))*(MemberOrgsData[AUDITYEAR] = SelectFiscalYear), $A248)-MemberOrgs_TopRow), ""))</f>
        <v/>
      </c>
      <c r="C248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48" t="str">
        <f t="array" ref="L248">IFERROR(INDEX(MemberOrgsData[Auditee Name], MATCH(0, INDEX(COUNTIF($L$2:L247, MemberOrgsData[Auditee Name]),)+IF(MemberOrgsData[AUDITYEAR] &lt;&gt; SelectFiscalYear, 1, 0),0)), "")</f>
        <v/>
      </c>
    </row>
    <row r="249" spans="1:12" x14ac:dyDescent="0.25">
      <c r="A249">
        <v>243</v>
      </c>
      <c r="B249" t="str">
        <f>IF($A249 &gt; MemberOrgs_NumRow, "", IFERROR(IF(SelectMemberOrgs = "*", $A249, _xlfn.AGGREGATE(15, 6, (1/(MemberOrgsData[Auditee Name] = SelectMemberOrgs))*ROW(MemberOrgsData[Auditee Name])*(1/(MemberOrgsData[AUDITYEAR] = SelectFiscalYear))*(MemberOrgsData[AUDITYEAR] = SelectFiscalYear), $A249)-MemberOrgs_TopRow), ""))</f>
        <v/>
      </c>
      <c r="C249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49" t="str">
        <f t="array" ref="L249">IFERROR(INDEX(MemberOrgsData[Auditee Name], MATCH(0, INDEX(COUNTIF($L$2:L248, MemberOrgsData[Auditee Name]),)+IF(MemberOrgsData[AUDITYEAR] &lt;&gt; SelectFiscalYear, 1, 0),0)), "")</f>
        <v/>
      </c>
    </row>
    <row r="250" spans="1:12" x14ac:dyDescent="0.25">
      <c r="A250">
        <v>244</v>
      </c>
      <c r="B250" t="str">
        <f>IF($A250 &gt; MemberOrgs_NumRow, "", IFERROR(IF(SelectMemberOrgs = "*", $A250, _xlfn.AGGREGATE(15, 6, (1/(MemberOrgsData[Auditee Name] = SelectMemberOrgs))*ROW(MemberOrgsData[Auditee Name])*(1/(MemberOrgsData[AUDITYEAR] = SelectFiscalYear))*(MemberOrgsData[AUDITYEAR] = SelectFiscalYear), $A250)-MemberOrgs_TopRow), ""))</f>
        <v/>
      </c>
      <c r="C250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50" t="str">
        <f t="array" ref="L250">IFERROR(INDEX(MemberOrgsData[Auditee Name], MATCH(0, INDEX(COUNTIF($L$2:L249, MemberOrgsData[Auditee Name]),)+IF(MemberOrgsData[AUDITYEAR] &lt;&gt; SelectFiscalYear, 1, 0),0)), "")</f>
        <v/>
      </c>
    </row>
    <row r="251" spans="1:12" x14ac:dyDescent="0.25">
      <c r="A251">
        <v>245</v>
      </c>
      <c r="B251" t="str">
        <f>IF($A251 &gt; MemberOrgs_NumRow, "", IFERROR(IF(SelectMemberOrgs = "*", $A251, _xlfn.AGGREGATE(15, 6, (1/(MemberOrgsData[Auditee Name] = SelectMemberOrgs))*ROW(MemberOrgsData[Auditee Name])*(1/(MemberOrgsData[AUDITYEAR] = SelectFiscalYear))*(MemberOrgsData[AUDITYEAR] = SelectFiscalYear), $A251)-MemberOrgs_TopRow), ""))</f>
        <v/>
      </c>
      <c r="C251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51" t="str">
        <f t="array" ref="L251">IFERROR(INDEX(MemberOrgsData[Auditee Name], MATCH(0, INDEX(COUNTIF($L$2:L250, MemberOrgsData[Auditee Name]),)+IF(MemberOrgsData[AUDITYEAR] &lt;&gt; SelectFiscalYear, 1, 0),0)), "")</f>
        <v/>
      </c>
    </row>
    <row r="252" spans="1:12" x14ac:dyDescent="0.25">
      <c r="A252">
        <v>246</v>
      </c>
      <c r="B252" t="str">
        <f>IF($A252 &gt; MemberOrgs_NumRow, "", IFERROR(IF(SelectMemberOrgs = "*", $A252, _xlfn.AGGREGATE(15, 6, (1/(MemberOrgsData[Auditee Name] = SelectMemberOrgs))*ROW(MemberOrgsData[Auditee Name])*(1/(MemberOrgsData[AUDITYEAR] = SelectFiscalYear))*(MemberOrgsData[AUDITYEAR] = SelectFiscalYear), $A252)-MemberOrgs_TopRow), ""))</f>
        <v/>
      </c>
      <c r="C252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52" t="str">
        <f t="array" ref="L252">IFERROR(INDEX(MemberOrgsData[Auditee Name], MATCH(0, INDEX(COUNTIF($L$2:L251, MemberOrgsData[Auditee Name]),)+IF(MemberOrgsData[AUDITYEAR] &lt;&gt; SelectFiscalYear, 1, 0),0)), "")</f>
        <v/>
      </c>
    </row>
    <row r="253" spans="1:12" x14ac:dyDescent="0.25">
      <c r="A253">
        <v>247</v>
      </c>
      <c r="B253" t="str">
        <f>IF($A253 &gt; MemberOrgs_NumRow, "", IFERROR(IF(SelectMemberOrgs = "*", $A253, _xlfn.AGGREGATE(15, 6, (1/(MemberOrgsData[Auditee Name] = SelectMemberOrgs))*ROW(MemberOrgsData[Auditee Name])*(1/(MemberOrgsData[AUDITYEAR] = SelectFiscalYear))*(MemberOrgsData[AUDITYEAR] = SelectFiscalYear), $A253)-MemberOrgs_TopRow), ""))</f>
        <v/>
      </c>
      <c r="C253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53" t="str">
        <f t="array" ref="L253">IFERROR(INDEX(MemberOrgsData[Auditee Name], MATCH(0, INDEX(COUNTIF($L$2:L252, MemberOrgsData[Auditee Name]),)+IF(MemberOrgsData[AUDITYEAR] &lt;&gt; SelectFiscalYear, 1, 0),0)), "")</f>
        <v/>
      </c>
    </row>
    <row r="254" spans="1:12" x14ac:dyDescent="0.25">
      <c r="A254">
        <v>248</v>
      </c>
      <c r="B254" t="str">
        <f>IF($A254 &gt; MemberOrgs_NumRow, "", IFERROR(IF(SelectMemberOrgs = "*", $A254, _xlfn.AGGREGATE(15, 6, (1/(MemberOrgsData[Auditee Name] = SelectMemberOrgs))*ROW(MemberOrgsData[Auditee Name])*(1/(MemberOrgsData[AUDITYEAR] = SelectFiscalYear))*(MemberOrgsData[AUDITYEAR] = SelectFiscalYear), $A254)-MemberOrgs_TopRow), ""))</f>
        <v/>
      </c>
      <c r="C254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54" t="str">
        <f t="array" ref="L254">IFERROR(INDEX(MemberOrgsData[Auditee Name], MATCH(0, INDEX(COUNTIF($L$2:L253, MemberOrgsData[Auditee Name]),)+IF(MemberOrgsData[AUDITYEAR] &lt;&gt; SelectFiscalYear, 1, 0),0)), "")</f>
        <v/>
      </c>
    </row>
    <row r="255" spans="1:12" x14ac:dyDescent="0.25">
      <c r="A255">
        <v>249</v>
      </c>
      <c r="B255" t="str">
        <f>IF($A255 &gt; MemberOrgs_NumRow, "", IFERROR(IF(SelectMemberOrgs = "*", $A255, _xlfn.AGGREGATE(15, 6, (1/(MemberOrgsData[Auditee Name] = SelectMemberOrgs))*ROW(MemberOrgsData[Auditee Name])*(1/(MemberOrgsData[AUDITYEAR] = SelectFiscalYear))*(MemberOrgsData[AUDITYEAR] = SelectFiscalYear), $A255)-MemberOrgs_TopRow), ""))</f>
        <v/>
      </c>
      <c r="C255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55" t="str">
        <f t="array" ref="L255">IFERROR(INDEX(MemberOrgsData[Auditee Name], MATCH(0, INDEX(COUNTIF($L$2:L254, MemberOrgsData[Auditee Name]),)+IF(MemberOrgsData[AUDITYEAR] &lt;&gt; SelectFiscalYear, 1, 0),0)), "")</f>
        <v/>
      </c>
    </row>
    <row r="256" spans="1:12" x14ac:dyDescent="0.25">
      <c r="A256">
        <v>250</v>
      </c>
      <c r="B256" t="str">
        <f>IF($A256 &gt; MemberOrgs_NumRow, "", IFERROR(IF(SelectMemberOrgs = "*", $A256, _xlfn.AGGREGATE(15, 6, (1/(MemberOrgsData[Auditee Name] = SelectMemberOrgs))*ROW(MemberOrgsData[Auditee Name])*(1/(MemberOrgsData[AUDITYEAR] = SelectFiscalYear))*(MemberOrgsData[AUDITYEAR] = SelectFiscalYear), $A256)-MemberOrgs_TopRow), ""))</f>
        <v/>
      </c>
      <c r="C256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56" t="str">
        <f t="array" ref="L256">IFERROR(INDEX(MemberOrgsData[Auditee Name], MATCH(0, INDEX(COUNTIF($L$2:L255, MemberOrgsData[Auditee Name]),)+IF(MemberOrgsData[AUDITYEAR] &lt;&gt; SelectFiscalYear, 1, 0),0)), "")</f>
        <v/>
      </c>
    </row>
    <row r="257" spans="1:12" x14ac:dyDescent="0.25">
      <c r="A257">
        <v>251</v>
      </c>
      <c r="B257" t="str">
        <f>IF($A257 &gt; MemberOrgs_NumRow, "", IFERROR(IF(SelectMemberOrgs = "*", $A257, _xlfn.AGGREGATE(15, 6, (1/(MemberOrgsData[Auditee Name] = SelectMemberOrgs))*ROW(MemberOrgsData[Auditee Name])*(1/(MemberOrgsData[AUDITYEAR] = SelectFiscalYear))*(MemberOrgsData[AUDITYEAR] = SelectFiscalYear), $A257)-MemberOrgs_TopRow), ""))</f>
        <v/>
      </c>
      <c r="C257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57" t="str">
        <f t="array" ref="L257">IFERROR(INDEX(MemberOrgsData[Auditee Name], MATCH(0, INDEX(COUNTIF($L$2:L256, MemberOrgsData[Auditee Name]),)+IF(MemberOrgsData[AUDITYEAR] &lt;&gt; SelectFiscalYear, 1, 0),0)), "")</f>
        <v/>
      </c>
    </row>
    <row r="258" spans="1:12" x14ac:dyDescent="0.25">
      <c r="A258">
        <v>252</v>
      </c>
      <c r="B258" t="str">
        <f>IF($A258 &gt; MemberOrgs_NumRow, "", IFERROR(IF(SelectMemberOrgs = "*", $A258, _xlfn.AGGREGATE(15, 6, (1/(MemberOrgsData[Auditee Name] = SelectMemberOrgs))*ROW(MemberOrgsData[Auditee Name])*(1/(MemberOrgsData[AUDITYEAR] = SelectFiscalYear))*(MemberOrgsData[AUDITYEAR] = SelectFiscalYear), $A258)-MemberOrgs_TopRow), ""))</f>
        <v/>
      </c>
      <c r="C258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58" t="str">
        <f t="array" ref="L258">IFERROR(INDEX(MemberOrgsData[Auditee Name], MATCH(0, INDEX(COUNTIF($L$2:L257, MemberOrgsData[Auditee Name]),)+IF(MemberOrgsData[AUDITYEAR] &lt;&gt; SelectFiscalYear, 1, 0),0)), "")</f>
        <v/>
      </c>
    </row>
    <row r="259" spans="1:12" x14ac:dyDescent="0.25">
      <c r="A259">
        <v>253</v>
      </c>
      <c r="B259" t="str">
        <f>IF($A259 &gt; MemberOrgs_NumRow, "", IFERROR(IF(SelectMemberOrgs = "*", $A259, _xlfn.AGGREGATE(15, 6, (1/(MemberOrgsData[Auditee Name] = SelectMemberOrgs))*ROW(MemberOrgsData[Auditee Name])*(1/(MemberOrgsData[AUDITYEAR] = SelectFiscalYear))*(MemberOrgsData[AUDITYEAR] = SelectFiscalYear), $A259)-MemberOrgs_TopRow), ""))</f>
        <v/>
      </c>
      <c r="C259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59" t="str">
        <f t="array" ref="L259">IFERROR(INDEX(MemberOrgsData[Auditee Name], MATCH(0, INDEX(COUNTIF($L$2:L258, MemberOrgsData[Auditee Name]),)+IF(MemberOrgsData[AUDITYEAR] &lt;&gt; SelectFiscalYear, 1, 0),0)), "")</f>
        <v/>
      </c>
    </row>
    <row r="260" spans="1:12" x14ac:dyDescent="0.25">
      <c r="A260">
        <v>254</v>
      </c>
      <c r="B260" t="str">
        <f>IF($A260 &gt; MemberOrgs_NumRow, "", IFERROR(IF(SelectMemberOrgs = "*", $A260, _xlfn.AGGREGATE(15, 6, (1/(MemberOrgsData[Auditee Name] = SelectMemberOrgs))*ROW(MemberOrgsData[Auditee Name])*(1/(MemberOrgsData[AUDITYEAR] = SelectFiscalYear))*(MemberOrgsData[AUDITYEAR] = SelectFiscalYear), $A260)-MemberOrgs_TopRow), ""))</f>
        <v/>
      </c>
      <c r="C260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60" t="str">
        <f t="array" ref="L260">IFERROR(INDEX(MemberOrgsData[Auditee Name], MATCH(0, INDEX(COUNTIF($L$2:L259, MemberOrgsData[Auditee Name]),)+IF(MemberOrgsData[AUDITYEAR] &lt;&gt; SelectFiscalYear, 1, 0),0)), "")</f>
        <v/>
      </c>
    </row>
    <row r="261" spans="1:12" x14ac:dyDescent="0.25">
      <c r="A261">
        <v>255</v>
      </c>
      <c r="B261" t="str">
        <f>IF($A261 &gt; MemberOrgs_NumRow, "", IFERROR(IF(SelectMemberOrgs = "*", $A261, _xlfn.AGGREGATE(15, 6, (1/(MemberOrgsData[Auditee Name] = SelectMemberOrgs))*ROW(MemberOrgsData[Auditee Name])*(1/(MemberOrgsData[AUDITYEAR] = SelectFiscalYear))*(MemberOrgsData[AUDITYEAR] = SelectFiscalYear), $A261)-MemberOrgs_TopRow), ""))</f>
        <v/>
      </c>
      <c r="C261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61" t="str">
        <f t="array" ref="L261">IFERROR(INDEX(MemberOrgsData[Auditee Name], MATCH(0, INDEX(COUNTIF($L$2:L260, MemberOrgsData[Auditee Name]),)+IF(MemberOrgsData[AUDITYEAR] &lt;&gt; SelectFiscalYear, 1, 0),0)), "")</f>
        <v/>
      </c>
    </row>
    <row r="262" spans="1:12" x14ac:dyDescent="0.25">
      <c r="A262">
        <v>256</v>
      </c>
      <c r="B262" t="str">
        <f>IF($A262 &gt; MemberOrgs_NumRow, "", IFERROR(IF(SelectMemberOrgs = "*", $A262, _xlfn.AGGREGATE(15, 6, (1/(MemberOrgsData[Auditee Name] = SelectMemberOrgs))*ROW(MemberOrgsData[Auditee Name])*(1/(MemberOrgsData[AUDITYEAR] = SelectFiscalYear))*(MemberOrgsData[AUDITYEAR] = SelectFiscalYear), $A262)-MemberOrgs_TopRow), ""))</f>
        <v/>
      </c>
      <c r="C262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62" t="str">
        <f t="array" ref="L262">IFERROR(INDEX(MemberOrgsData[Auditee Name], MATCH(0, INDEX(COUNTIF($L$2:L261, MemberOrgsData[Auditee Name]),)+IF(MemberOrgsData[AUDITYEAR] &lt;&gt; SelectFiscalYear, 1, 0),0)), "")</f>
        <v/>
      </c>
    </row>
    <row r="263" spans="1:12" x14ac:dyDescent="0.25">
      <c r="A263">
        <v>257</v>
      </c>
      <c r="B263" t="str">
        <f>IF($A263 &gt; MemberOrgs_NumRow, "", IFERROR(IF(SelectMemberOrgs = "*", $A263, _xlfn.AGGREGATE(15, 6, (1/(MemberOrgsData[Auditee Name] = SelectMemberOrgs))*ROW(MemberOrgsData[Auditee Name])*(1/(MemberOrgsData[AUDITYEAR] = SelectFiscalYear))*(MemberOrgsData[AUDITYEAR] = SelectFiscalYear), $A263)-MemberOrgs_TopRow), ""))</f>
        <v/>
      </c>
      <c r="C263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63" t="str">
        <f t="array" ref="L263">IFERROR(INDEX(MemberOrgsData[Auditee Name], MATCH(0, INDEX(COUNTIF($L$2:L262, MemberOrgsData[Auditee Name]),)+IF(MemberOrgsData[AUDITYEAR] &lt;&gt; SelectFiscalYear, 1, 0),0)), "")</f>
        <v/>
      </c>
    </row>
    <row r="264" spans="1:12" x14ac:dyDescent="0.25">
      <c r="A264">
        <v>258</v>
      </c>
      <c r="B264" t="str">
        <f>IF($A264 &gt; MemberOrgs_NumRow, "", IFERROR(IF(SelectMemberOrgs = "*", $A264, _xlfn.AGGREGATE(15, 6, (1/(MemberOrgsData[Auditee Name] = SelectMemberOrgs))*ROW(MemberOrgsData[Auditee Name])*(1/(MemberOrgsData[AUDITYEAR] = SelectFiscalYear))*(MemberOrgsData[AUDITYEAR] = SelectFiscalYear), $A264)-MemberOrgs_TopRow), ""))</f>
        <v/>
      </c>
      <c r="C264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64" t="str">
        <f t="array" ref="L264">IFERROR(INDEX(MemberOrgsData[Auditee Name], MATCH(0, INDEX(COUNTIF($L$2:L263, MemberOrgsData[Auditee Name]),)+IF(MemberOrgsData[AUDITYEAR] &lt;&gt; SelectFiscalYear, 1, 0),0)), "")</f>
        <v/>
      </c>
    </row>
    <row r="265" spans="1:12" x14ac:dyDescent="0.25">
      <c r="A265">
        <v>259</v>
      </c>
      <c r="B265" t="str">
        <f>IF($A265 &gt; MemberOrgs_NumRow, "", IFERROR(IF(SelectMemberOrgs = "*", $A265, _xlfn.AGGREGATE(15, 6, (1/(MemberOrgsData[Auditee Name] = SelectMemberOrgs))*ROW(MemberOrgsData[Auditee Name])*(1/(MemberOrgsData[AUDITYEAR] = SelectFiscalYear))*(MemberOrgsData[AUDITYEAR] = SelectFiscalYear), $A265)-MemberOrgs_TopRow), ""))</f>
        <v/>
      </c>
      <c r="C265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65" t="str">
        <f t="array" ref="L265">IFERROR(INDEX(MemberOrgsData[Auditee Name], MATCH(0, INDEX(COUNTIF($L$2:L264, MemberOrgsData[Auditee Name]),)+IF(MemberOrgsData[AUDITYEAR] &lt;&gt; SelectFiscalYear, 1, 0),0)), "")</f>
        <v/>
      </c>
    </row>
    <row r="266" spans="1:12" x14ac:dyDescent="0.25">
      <c r="A266">
        <v>260</v>
      </c>
      <c r="B266" t="str">
        <f>IF($A266 &gt; MemberOrgs_NumRow, "", IFERROR(IF(SelectMemberOrgs = "*", $A266, _xlfn.AGGREGATE(15, 6, (1/(MemberOrgsData[Auditee Name] = SelectMemberOrgs))*ROW(MemberOrgsData[Auditee Name])*(1/(MemberOrgsData[AUDITYEAR] = SelectFiscalYear))*(MemberOrgsData[AUDITYEAR] = SelectFiscalYear), $A266)-MemberOrgs_TopRow), ""))</f>
        <v/>
      </c>
      <c r="C266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66" t="str">
        <f t="array" ref="L266">IFERROR(INDEX(MemberOrgsData[Auditee Name], MATCH(0, INDEX(COUNTIF($L$2:L265, MemberOrgsData[Auditee Name]),)+IF(MemberOrgsData[AUDITYEAR] &lt;&gt; SelectFiscalYear, 1, 0),0)), "")</f>
        <v/>
      </c>
    </row>
    <row r="267" spans="1:12" x14ac:dyDescent="0.25">
      <c r="A267">
        <v>261</v>
      </c>
      <c r="B267" t="str">
        <f>IF($A267 &gt; MemberOrgs_NumRow, "", IFERROR(IF(SelectMemberOrgs = "*", $A267, _xlfn.AGGREGATE(15, 6, (1/(MemberOrgsData[Auditee Name] = SelectMemberOrgs))*ROW(MemberOrgsData[Auditee Name])*(1/(MemberOrgsData[AUDITYEAR] = SelectFiscalYear))*(MemberOrgsData[AUDITYEAR] = SelectFiscalYear), $A267)-MemberOrgs_TopRow), ""))</f>
        <v/>
      </c>
      <c r="C267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67" t="str">
        <f t="array" ref="L267">IFERROR(INDEX(MemberOrgsData[Auditee Name], MATCH(0, INDEX(COUNTIF($L$2:L266, MemberOrgsData[Auditee Name]),)+IF(MemberOrgsData[AUDITYEAR] &lt;&gt; SelectFiscalYear, 1, 0),0)), "")</f>
        <v/>
      </c>
    </row>
    <row r="268" spans="1:12" x14ac:dyDescent="0.25">
      <c r="A268">
        <v>262</v>
      </c>
      <c r="B268" t="str">
        <f>IF($A268 &gt; MemberOrgs_NumRow, "", IFERROR(IF(SelectMemberOrgs = "*", $A268, _xlfn.AGGREGATE(15, 6, (1/(MemberOrgsData[Auditee Name] = SelectMemberOrgs))*ROW(MemberOrgsData[Auditee Name])*(1/(MemberOrgsData[AUDITYEAR] = SelectFiscalYear))*(MemberOrgsData[AUDITYEAR] = SelectFiscalYear), $A268)-MemberOrgs_TopRow), ""))</f>
        <v/>
      </c>
      <c r="C268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68" t="str">
        <f t="array" ref="L268">IFERROR(INDEX(MemberOrgsData[Auditee Name], MATCH(0, INDEX(COUNTIF($L$2:L267, MemberOrgsData[Auditee Name]),)+IF(MemberOrgsData[AUDITYEAR] &lt;&gt; SelectFiscalYear, 1, 0),0)), "")</f>
        <v/>
      </c>
    </row>
    <row r="269" spans="1:12" x14ac:dyDescent="0.25">
      <c r="A269">
        <v>263</v>
      </c>
      <c r="B269" t="str">
        <f>IF($A269 &gt; MemberOrgs_NumRow, "", IFERROR(IF(SelectMemberOrgs = "*", $A269, _xlfn.AGGREGATE(15, 6, (1/(MemberOrgsData[Auditee Name] = SelectMemberOrgs))*ROW(MemberOrgsData[Auditee Name])*(1/(MemberOrgsData[AUDITYEAR] = SelectFiscalYear))*(MemberOrgsData[AUDITYEAR] = SelectFiscalYear), $A269)-MemberOrgs_TopRow), ""))</f>
        <v/>
      </c>
      <c r="C269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69" t="str">
        <f t="array" ref="L269">IFERROR(INDEX(MemberOrgsData[Auditee Name], MATCH(0, INDEX(COUNTIF($L$2:L268, MemberOrgsData[Auditee Name]),)+IF(MemberOrgsData[AUDITYEAR] &lt;&gt; SelectFiscalYear, 1, 0),0)), "")</f>
        <v/>
      </c>
    </row>
    <row r="270" spans="1:12" x14ac:dyDescent="0.25">
      <c r="A270">
        <v>264</v>
      </c>
      <c r="B270" t="str">
        <f>IF($A270 &gt; MemberOrgs_NumRow, "", IFERROR(IF(SelectMemberOrgs = "*", $A270, _xlfn.AGGREGATE(15, 6, (1/(MemberOrgsData[Auditee Name] = SelectMemberOrgs))*ROW(MemberOrgsData[Auditee Name])*(1/(MemberOrgsData[AUDITYEAR] = SelectFiscalYear))*(MemberOrgsData[AUDITYEAR] = SelectFiscalYear), $A270)-MemberOrgs_TopRow), ""))</f>
        <v/>
      </c>
      <c r="C270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70" t="str">
        <f t="array" ref="L270">IFERROR(INDEX(MemberOrgsData[Auditee Name], MATCH(0, INDEX(COUNTIF($L$2:L269, MemberOrgsData[Auditee Name]),)+IF(MemberOrgsData[AUDITYEAR] &lt;&gt; SelectFiscalYear, 1, 0),0)), "")</f>
        <v/>
      </c>
    </row>
    <row r="271" spans="1:12" x14ac:dyDescent="0.25">
      <c r="A271">
        <v>265</v>
      </c>
      <c r="B271" t="str">
        <f>IF($A271 &gt; MemberOrgs_NumRow, "", IFERROR(IF(SelectMemberOrgs = "*", $A271, _xlfn.AGGREGATE(15, 6, (1/(MemberOrgsData[Auditee Name] = SelectMemberOrgs))*ROW(MemberOrgsData[Auditee Name])*(1/(MemberOrgsData[AUDITYEAR] = SelectFiscalYear))*(MemberOrgsData[AUDITYEAR] = SelectFiscalYear), $A271)-MemberOrgs_TopRow), ""))</f>
        <v/>
      </c>
      <c r="C271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71" t="str">
        <f t="array" ref="L271">IFERROR(INDEX(MemberOrgsData[Auditee Name], MATCH(0, INDEX(COUNTIF($L$2:L270, MemberOrgsData[Auditee Name]),)+IF(MemberOrgsData[AUDITYEAR] &lt;&gt; SelectFiscalYear, 1, 0),0)), "")</f>
        <v/>
      </c>
    </row>
    <row r="272" spans="1:12" x14ac:dyDescent="0.25">
      <c r="A272">
        <v>266</v>
      </c>
      <c r="B272" t="str">
        <f>IF($A272 &gt; MemberOrgs_NumRow, "", IFERROR(IF(SelectMemberOrgs = "*", $A272, _xlfn.AGGREGATE(15, 6, (1/(MemberOrgsData[Auditee Name] = SelectMemberOrgs))*ROW(MemberOrgsData[Auditee Name])*(1/(MemberOrgsData[AUDITYEAR] = SelectFiscalYear))*(MemberOrgsData[AUDITYEAR] = SelectFiscalYear), $A272)-MemberOrgs_TopRow), ""))</f>
        <v/>
      </c>
      <c r="C272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72" t="str">
        <f t="array" ref="L272">IFERROR(INDEX(MemberOrgsData[Auditee Name], MATCH(0, INDEX(COUNTIF($L$2:L271, MemberOrgsData[Auditee Name]),)+IF(MemberOrgsData[AUDITYEAR] &lt;&gt; SelectFiscalYear, 1, 0),0)), "")</f>
        <v/>
      </c>
    </row>
    <row r="273" spans="1:12" x14ac:dyDescent="0.25">
      <c r="A273">
        <v>267</v>
      </c>
      <c r="B273" t="str">
        <f>IF($A273 &gt; MemberOrgs_NumRow, "", IFERROR(IF(SelectMemberOrgs = "*", $A273, _xlfn.AGGREGATE(15, 6, (1/(MemberOrgsData[Auditee Name] = SelectMemberOrgs))*ROW(MemberOrgsData[Auditee Name])*(1/(MemberOrgsData[AUDITYEAR] = SelectFiscalYear))*(MemberOrgsData[AUDITYEAR] = SelectFiscalYear), $A273)-MemberOrgs_TopRow), ""))</f>
        <v/>
      </c>
      <c r="C273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73" t="str">
        <f t="array" ref="L273">IFERROR(INDEX(MemberOrgsData[Auditee Name], MATCH(0, INDEX(COUNTIF($L$2:L272, MemberOrgsData[Auditee Name]),)+IF(MemberOrgsData[AUDITYEAR] &lt;&gt; SelectFiscalYear, 1, 0),0)), "")</f>
        <v/>
      </c>
    </row>
    <row r="274" spans="1:12" x14ac:dyDescent="0.25">
      <c r="A274">
        <v>268</v>
      </c>
      <c r="B274" t="str">
        <f>IF($A274 &gt; MemberOrgs_NumRow, "", IFERROR(IF(SelectMemberOrgs = "*", $A274, _xlfn.AGGREGATE(15, 6, (1/(MemberOrgsData[Auditee Name] = SelectMemberOrgs))*ROW(MemberOrgsData[Auditee Name])*(1/(MemberOrgsData[AUDITYEAR] = SelectFiscalYear))*(MemberOrgsData[AUDITYEAR] = SelectFiscalYear), $A274)-MemberOrgs_TopRow), ""))</f>
        <v/>
      </c>
      <c r="C274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275" spans="1:12" x14ac:dyDescent="0.25">
      <c r="A275">
        <v>269</v>
      </c>
      <c r="B275" t="str">
        <f>IF($A275 &gt; MemberOrgs_NumRow, "", IFERROR(IF(SelectMemberOrgs = "*", $A275, _xlfn.AGGREGATE(15, 6, (1/(MemberOrgsData[Auditee Name] = SelectMemberOrgs))*ROW(MemberOrgsData[Auditee Name])*(1/(MemberOrgsData[AUDITYEAR] = SelectFiscalYear))*(MemberOrgsData[AUDITYEAR] = SelectFiscalYear), $A275)-MemberOrgs_TopRow), ""))</f>
        <v/>
      </c>
      <c r="C275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276" spans="1:12" x14ac:dyDescent="0.25">
      <c r="A276">
        <v>270</v>
      </c>
      <c r="B276" t="str">
        <f>IF($A276 &gt; MemberOrgs_NumRow, "", IFERROR(IF(SelectMemberOrgs = "*", $A276, _xlfn.AGGREGATE(15, 6, (1/(MemberOrgsData[Auditee Name] = SelectMemberOrgs))*ROW(MemberOrgsData[Auditee Name])*(1/(MemberOrgsData[AUDITYEAR] = SelectFiscalYear))*(MemberOrgsData[AUDITYEAR] = SelectFiscalYear), $A276)-MemberOrgs_TopRow), ""))</f>
        <v/>
      </c>
      <c r="C276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277" spans="1:12" x14ac:dyDescent="0.25">
      <c r="A277">
        <v>271</v>
      </c>
      <c r="B277" t="str">
        <f>IF($A277 &gt; MemberOrgs_NumRow, "", IFERROR(IF(SelectMemberOrgs = "*", $A277, _xlfn.AGGREGATE(15, 6, (1/(MemberOrgsData[Auditee Name] = SelectMemberOrgs))*ROW(MemberOrgsData[Auditee Name])*(1/(MemberOrgsData[AUDITYEAR] = SelectFiscalYear))*(MemberOrgsData[AUDITYEAR] = SelectFiscalYear), $A277)-MemberOrgs_TopRow), ""))</f>
        <v/>
      </c>
      <c r="C277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278" spans="1:12" x14ac:dyDescent="0.25">
      <c r="A278">
        <v>272</v>
      </c>
      <c r="B278" t="str">
        <f>IF($A278 &gt; MemberOrgs_NumRow, "", IFERROR(IF(SelectMemberOrgs = "*", $A278, _xlfn.AGGREGATE(15, 6, (1/(MemberOrgsData[Auditee Name] = SelectMemberOrgs))*ROW(MemberOrgsData[Auditee Name])*(1/(MemberOrgsData[AUDITYEAR] = SelectFiscalYear))*(MemberOrgsData[AUDITYEAR] = SelectFiscalYear), $A278)-MemberOrgs_TopRow), ""))</f>
        <v/>
      </c>
      <c r="C278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279" spans="1:12" x14ac:dyDescent="0.25">
      <c r="A279">
        <v>273</v>
      </c>
      <c r="B279" t="str">
        <f>IF($A279 &gt; MemberOrgs_NumRow, "", IFERROR(IF(SelectMemberOrgs = "*", $A279, _xlfn.AGGREGATE(15, 6, (1/(MemberOrgsData[Auditee Name] = SelectMemberOrgs))*ROW(MemberOrgsData[Auditee Name])*(1/(MemberOrgsData[AUDITYEAR] = SelectFiscalYear))*(MemberOrgsData[AUDITYEAR] = SelectFiscalYear), $A279)-MemberOrgs_TopRow), ""))</f>
        <v/>
      </c>
      <c r="C279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280" spans="1:12" x14ac:dyDescent="0.25">
      <c r="A280">
        <v>274</v>
      </c>
      <c r="B280" t="str">
        <f>IF($A280 &gt; MemberOrgs_NumRow, "", IFERROR(IF(SelectMemberOrgs = "*", $A280, _xlfn.AGGREGATE(15, 6, (1/(MemberOrgsData[Auditee Name] = SelectMemberOrgs))*ROW(MemberOrgsData[Auditee Name])*(1/(MemberOrgsData[AUDITYEAR] = SelectFiscalYear))*(MemberOrgsData[AUDITYEAR] = SelectFiscalYear), $A280)-MemberOrgs_TopRow), ""))</f>
        <v/>
      </c>
      <c r="C280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281" spans="1:12" x14ac:dyDescent="0.25">
      <c r="A281">
        <v>275</v>
      </c>
      <c r="B281" t="str">
        <f>IF($A281 &gt; MemberOrgs_NumRow, "", IFERROR(IF(SelectMemberOrgs = "*", $A281, _xlfn.AGGREGATE(15, 6, (1/(MemberOrgsData[Auditee Name] = SelectMemberOrgs))*ROW(MemberOrgsData[Auditee Name])*(1/(MemberOrgsData[AUDITYEAR] = SelectFiscalYear))*(MemberOrgsData[AUDITYEAR] = SelectFiscalYear), $A281)-MemberOrgs_TopRow), ""))</f>
        <v/>
      </c>
      <c r="C281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282" spans="1:12" x14ac:dyDescent="0.25">
      <c r="A282">
        <v>276</v>
      </c>
      <c r="B282" t="str">
        <f>IF($A282 &gt; MemberOrgs_NumRow, "", IFERROR(IF(SelectMemberOrgs = "*", $A282, _xlfn.AGGREGATE(15, 6, (1/(MemberOrgsData[Auditee Name] = SelectMemberOrgs))*ROW(MemberOrgsData[Auditee Name])*(1/(MemberOrgsData[AUDITYEAR] = SelectFiscalYear))*(MemberOrgsData[AUDITYEAR] = SelectFiscalYear), $A282)-MemberOrgs_TopRow), ""))</f>
        <v/>
      </c>
      <c r="C282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283" spans="1:12" x14ac:dyDescent="0.25">
      <c r="A283">
        <v>277</v>
      </c>
      <c r="B283" t="str">
        <f>IF($A283 &gt; MemberOrgs_NumRow, "", IFERROR(IF(SelectMemberOrgs = "*", $A283, _xlfn.AGGREGATE(15, 6, (1/(MemberOrgsData[Auditee Name] = SelectMemberOrgs))*ROW(MemberOrgsData[Auditee Name])*(1/(MemberOrgsData[AUDITYEAR] = SelectFiscalYear))*(MemberOrgsData[AUDITYEAR] = SelectFiscalYear), $A283)-MemberOrgs_TopRow), ""))</f>
        <v/>
      </c>
      <c r="C283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284" spans="1:12" x14ac:dyDescent="0.25">
      <c r="A284">
        <v>278</v>
      </c>
      <c r="B284" t="str">
        <f>IF($A284 &gt; MemberOrgs_NumRow, "", IFERROR(IF(SelectMemberOrgs = "*", $A284, _xlfn.AGGREGATE(15, 6, (1/(MemberOrgsData[Auditee Name] = SelectMemberOrgs))*ROW(MemberOrgsData[Auditee Name])*(1/(MemberOrgsData[AUDITYEAR] = SelectFiscalYear))*(MemberOrgsData[AUDITYEAR] = SelectFiscalYear), $A284)-MemberOrgs_TopRow), ""))</f>
        <v/>
      </c>
      <c r="C284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285" spans="1:12" x14ac:dyDescent="0.25">
      <c r="A285">
        <v>279</v>
      </c>
      <c r="B285" t="str">
        <f>IF($A285 &gt; MemberOrgs_NumRow, "", IFERROR(IF(SelectMemberOrgs = "*", $A285, _xlfn.AGGREGATE(15, 6, (1/(MemberOrgsData[Auditee Name] = SelectMemberOrgs))*ROW(MemberOrgsData[Auditee Name])*(1/(MemberOrgsData[AUDITYEAR] = SelectFiscalYear))*(MemberOrgsData[AUDITYEAR] = SelectFiscalYear), $A285)-MemberOrgs_TopRow), ""))</f>
        <v/>
      </c>
      <c r="C285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286" spans="1:12" x14ac:dyDescent="0.25">
      <c r="A286">
        <v>280</v>
      </c>
      <c r="B286" t="str">
        <f>IF($A286 &gt; MemberOrgs_NumRow, "", IFERROR(IF(SelectMemberOrgs = "*", $A286, _xlfn.AGGREGATE(15, 6, (1/(MemberOrgsData[Auditee Name] = SelectMemberOrgs))*ROW(MemberOrgsData[Auditee Name])*(1/(MemberOrgsData[AUDITYEAR] = SelectFiscalYear))*(MemberOrgsData[AUDITYEAR] = SelectFiscalYear), $A286)-MemberOrgs_TopRow), ""))</f>
        <v/>
      </c>
      <c r="C286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287" spans="1:12" x14ac:dyDescent="0.25">
      <c r="A287">
        <v>281</v>
      </c>
      <c r="B287" t="str">
        <f>IF($A287 &gt; MemberOrgs_NumRow, "", IFERROR(IF(SelectMemberOrgs = "*", $A287, _xlfn.AGGREGATE(15, 6, (1/(MemberOrgsData[Auditee Name] = SelectMemberOrgs))*ROW(MemberOrgsData[Auditee Name])*(1/(MemberOrgsData[AUDITYEAR] = SelectFiscalYear))*(MemberOrgsData[AUDITYEAR] = SelectFiscalYear), $A287)-MemberOrgs_TopRow), ""))</f>
        <v/>
      </c>
      <c r="C287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288" spans="1:12" x14ac:dyDescent="0.25">
      <c r="A288">
        <v>282</v>
      </c>
      <c r="B288" t="str">
        <f>IF($A288 &gt; MemberOrgs_NumRow, "", IFERROR(IF(SelectMemberOrgs = "*", $A288, _xlfn.AGGREGATE(15, 6, (1/(MemberOrgsData[Auditee Name] = SelectMemberOrgs))*ROW(MemberOrgsData[Auditee Name])*(1/(MemberOrgsData[AUDITYEAR] = SelectFiscalYear))*(MemberOrgsData[AUDITYEAR] = SelectFiscalYear), $A288)-MemberOrgs_TopRow), ""))</f>
        <v/>
      </c>
      <c r="C288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289" spans="1:3" x14ac:dyDescent="0.25">
      <c r="A289">
        <v>283</v>
      </c>
      <c r="B289" t="str">
        <f>IF($A289 &gt; MemberOrgs_NumRow, "", IFERROR(IF(SelectMemberOrgs = "*", $A289, _xlfn.AGGREGATE(15, 6, (1/(MemberOrgsData[Auditee Name] = SelectMemberOrgs))*ROW(MemberOrgsData[Auditee Name])*(1/(MemberOrgsData[AUDITYEAR] = SelectFiscalYear))*(MemberOrgsData[AUDITYEAR] = SelectFiscalYear), $A289)-MemberOrgs_TopRow), ""))</f>
        <v/>
      </c>
      <c r="C289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290" spans="1:3" x14ac:dyDescent="0.25">
      <c r="A290">
        <v>284</v>
      </c>
      <c r="B290" t="str">
        <f>IF($A290 &gt; MemberOrgs_NumRow, "", IFERROR(IF(SelectMemberOrgs = "*", $A290, _xlfn.AGGREGATE(15, 6, (1/(MemberOrgsData[Auditee Name] = SelectMemberOrgs))*ROW(MemberOrgsData[Auditee Name])*(1/(MemberOrgsData[AUDITYEAR] = SelectFiscalYear))*(MemberOrgsData[AUDITYEAR] = SelectFiscalYear), $A290)-MemberOrgs_TopRow), ""))</f>
        <v/>
      </c>
      <c r="C290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291" spans="1:3" x14ac:dyDescent="0.25">
      <c r="A291">
        <v>285</v>
      </c>
      <c r="B291" t="str">
        <f>IF($A291 &gt; MemberOrgs_NumRow, "", IFERROR(IF(SelectMemberOrgs = "*", $A291, _xlfn.AGGREGATE(15, 6, (1/(MemberOrgsData[Auditee Name] = SelectMemberOrgs))*ROW(MemberOrgsData[Auditee Name])*(1/(MemberOrgsData[AUDITYEAR] = SelectFiscalYear))*(MemberOrgsData[AUDITYEAR] = SelectFiscalYear), $A291)-MemberOrgs_TopRow), ""))</f>
        <v/>
      </c>
      <c r="C291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292" spans="1:3" x14ac:dyDescent="0.25">
      <c r="A292">
        <v>286</v>
      </c>
      <c r="B292" t="str">
        <f>IF($A292 &gt; MemberOrgs_NumRow, "", IFERROR(IF(SelectMemberOrgs = "*", $A292, _xlfn.AGGREGATE(15, 6, (1/(MemberOrgsData[Auditee Name] = SelectMemberOrgs))*ROW(MemberOrgsData[Auditee Name])*(1/(MemberOrgsData[AUDITYEAR] = SelectFiscalYear))*(MemberOrgsData[AUDITYEAR] = SelectFiscalYear), $A292)-MemberOrgs_TopRow), ""))</f>
        <v/>
      </c>
      <c r="C292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293" spans="1:3" x14ac:dyDescent="0.25">
      <c r="A293">
        <v>287</v>
      </c>
      <c r="B293" t="str">
        <f>IF($A293 &gt; MemberOrgs_NumRow, "", IFERROR(IF(SelectMemberOrgs = "*", $A293, _xlfn.AGGREGATE(15, 6, (1/(MemberOrgsData[Auditee Name] = SelectMemberOrgs))*ROW(MemberOrgsData[Auditee Name])*(1/(MemberOrgsData[AUDITYEAR] = SelectFiscalYear))*(MemberOrgsData[AUDITYEAR] = SelectFiscalYear), $A293)-MemberOrgs_TopRow), ""))</f>
        <v/>
      </c>
      <c r="C293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294" spans="1:3" x14ac:dyDescent="0.25">
      <c r="A294">
        <v>288</v>
      </c>
      <c r="B294" t="str">
        <f>IF($A294 &gt; MemberOrgs_NumRow, "", IFERROR(IF(SelectMemberOrgs = "*", $A294, _xlfn.AGGREGATE(15, 6, (1/(MemberOrgsData[Auditee Name] = SelectMemberOrgs))*ROW(MemberOrgsData[Auditee Name])*(1/(MemberOrgsData[AUDITYEAR] = SelectFiscalYear))*(MemberOrgsData[AUDITYEAR] = SelectFiscalYear), $A294)-MemberOrgs_TopRow), ""))</f>
        <v/>
      </c>
      <c r="C294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295" spans="1:3" x14ac:dyDescent="0.25">
      <c r="A295">
        <v>289</v>
      </c>
      <c r="B295" t="str">
        <f>IF($A295 &gt; MemberOrgs_NumRow, "", IFERROR(IF(SelectMemberOrgs = "*", $A295, _xlfn.AGGREGATE(15, 6, (1/(MemberOrgsData[Auditee Name] = SelectMemberOrgs))*ROW(MemberOrgsData[Auditee Name])*(1/(MemberOrgsData[AUDITYEAR] = SelectFiscalYear))*(MemberOrgsData[AUDITYEAR] = SelectFiscalYear), $A295)-MemberOrgs_TopRow), ""))</f>
        <v/>
      </c>
      <c r="C295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296" spans="1:3" x14ac:dyDescent="0.25">
      <c r="A296">
        <v>290</v>
      </c>
      <c r="B296" t="str">
        <f>IF($A296 &gt; MemberOrgs_NumRow, "", IFERROR(IF(SelectMemberOrgs = "*", $A296, _xlfn.AGGREGATE(15, 6, (1/(MemberOrgsData[Auditee Name] = SelectMemberOrgs))*ROW(MemberOrgsData[Auditee Name])*(1/(MemberOrgsData[AUDITYEAR] = SelectFiscalYear))*(MemberOrgsData[AUDITYEAR] = SelectFiscalYear), $A296)-MemberOrgs_TopRow), ""))</f>
        <v/>
      </c>
      <c r="C296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297" spans="1:3" x14ac:dyDescent="0.25">
      <c r="A297">
        <v>291</v>
      </c>
      <c r="B297" t="str">
        <f>IF($A297 &gt; MemberOrgs_NumRow, "", IFERROR(IF(SelectMemberOrgs = "*", $A297, _xlfn.AGGREGATE(15, 6, (1/(MemberOrgsData[Auditee Name] = SelectMemberOrgs))*ROW(MemberOrgsData[Auditee Name])*(1/(MemberOrgsData[AUDITYEAR] = SelectFiscalYear))*(MemberOrgsData[AUDITYEAR] = SelectFiscalYear), $A297)-MemberOrgs_TopRow), ""))</f>
        <v/>
      </c>
      <c r="C297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298" spans="1:3" x14ac:dyDescent="0.25">
      <c r="A298">
        <v>292</v>
      </c>
      <c r="B298" t="str">
        <f>IF($A298 &gt; MemberOrgs_NumRow, "", IFERROR(IF(SelectMemberOrgs = "*", $A298, _xlfn.AGGREGATE(15, 6, (1/(MemberOrgsData[Auditee Name] = SelectMemberOrgs))*ROW(MemberOrgsData[Auditee Name])*(1/(MemberOrgsData[AUDITYEAR] = SelectFiscalYear))*(MemberOrgsData[AUDITYEAR] = SelectFiscalYear), $A298)-MemberOrgs_TopRow), ""))</f>
        <v/>
      </c>
      <c r="C298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299" spans="1:3" x14ac:dyDescent="0.25">
      <c r="A299">
        <v>293</v>
      </c>
      <c r="B299" t="str">
        <f>IF($A299 &gt; MemberOrgs_NumRow, "", IFERROR(IF(SelectMemberOrgs = "*", $A299, _xlfn.AGGREGATE(15, 6, (1/(MemberOrgsData[Auditee Name] = SelectMemberOrgs))*ROW(MemberOrgsData[Auditee Name])*(1/(MemberOrgsData[AUDITYEAR] = SelectFiscalYear))*(MemberOrgsData[AUDITYEAR] = SelectFiscalYear), $A299)-MemberOrgs_TopRow), ""))</f>
        <v/>
      </c>
      <c r="C299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00" spans="1:3" x14ac:dyDescent="0.25">
      <c r="A300">
        <v>294</v>
      </c>
      <c r="B300" t="str">
        <f>IF($A300 &gt; MemberOrgs_NumRow, "", IFERROR(IF(SelectMemberOrgs = "*", $A300, _xlfn.AGGREGATE(15, 6, (1/(MemberOrgsData[Auditee Name] = SelectMemberOrgs))*ROW(MemberOrgsData[Auditee Name])*(1/(MemberOrgsData[AUDITYEAR] = SelectFiscalYear))*(MemberOrgsData[AUDITYEAR] = SelectFiscalYear), $A300)-MemberOrgs_TopRow), ""))</f>
        <v/>
      </c>
      <c r="C300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01" spans="1:3" x14ac:dyDescent="0.25">
      <c r="A301">
        <v>295</v>
      </c>
      <c r="B301" t="str">
        <f>IF($A301 &gt; MemberOrgs_NumRow, "", IFERROR(IF(SelectMemberOrgs = "*", $A301, _xlfn.AGGREGATE(15, 6, (1/(MemberOrgsData[Auditee Name] = SelectMemberOrgs))*ROW(MemberOrgsData[Auditee Name])*(1/(MemberOrgsData[AUDITYEAR] = SelectFiscalYear))*(MemberOrgsData[AUDITYEAR] = SelectFiscalYear), $A301)-MemberOrgs_TopRow), ""))</f>
        <v/>
      </c>
      <c r="C301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02" spans="1:3" x14ac:dyDescent="0.25">
      <c r="A302">
        <v>296</v>
      </c>
      <c r="B302" t="str">
        <f>IF($A302 &gt; MemberOrgs_NumRow, "", IFERROR(IF(SelectMemberOrgs = "*", $A302, _xlfn.AGGREGATE(15, 6, (1/(MemberOrgsData[Auditee Name] = SelectMemberOrgs))*ROW(MemberOrgsData[Auditee Name])*(1/(MemberOrgsData[AUDITYEAR] = SelectFiscalYear))*(MemberOrgsData[AUDITYEAR] = SelectFiscalYear), $A302)-MemberOrgs_TopRow), ""))</f>
        <v/>
      </c>
      <c r="C302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03" spans="1:3" x14ac:dyDescent="0.25">
      <c r="A303">
        <v>297</v>
      </c>
      <c r="B303" t="str">
        <f>IF($A303 &gt; MemberOrgs_NumRow, "", IFERROR(IF(SelectMemberOrgs = "*", $A303, _xlfn.AGGREGATE(15, 6, (1/(MemberOrgsData[Auditee Name] = SelectMemberOrgs))*ROW(MemberOrgsData[Auditee Name])*(1/(MemberOrgsData[AUDITYEAR] = SelectFiscalYear))*(MemberOrgsData[AUDITYEAR] = SelectFiscalYear), $A303)-MemberOrgs_TopRow), ""))</f>
        <v/>
      </c>
      <c r="C303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04" spans="1:3" x14ac:dyDescent="0.25">
      <c r="A304">
        <v>298</v>
      </c>
      <c r="B304" t="str">
        <f>IF($A304 &gt; MemberOrgs_NumRow, "", IFERROR(IF(SelectMemberOrgs = "*", $A304, _xlfn.AGGREGATE(15, 6, (1/(MemberOrgsData[Auditee Name] = SelectMemberOrgs))*ROW(MemberOrgsData[Auditee Name])*(1/(MemberOrgsData[AUDITYEAR] = SelectFiscalYear))*(MemberOrgsData[AUDITYEAR] = SelectFiscalYear), $A304)-MemberOrgs_TopRow), ""))</f>
        <v/>
      </c>
      <c r="C304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05" spans="1:3" x14ac:dyDescent="0.25">
      <c r="A305">
        <v>299</v>
      </c>
      <c r="B305" t="str">
        <f>IF($A305 &gt; MemberOrgs_NumRow, "", IFERROR(IF(SelectMemberOrgs = "*", $A305, _xlfn.AGGREGATE(15, 6, (1/(MemberOrgsData[Auditee Name] = SelectMemberOrgs))*ROW(MemberOrgsData[Auditee Name])*(1/(MemberOrgsData[AUDITYEAR] = SelectFiscalYear))*(MemberOrgsData[AUDITYEAR] = SelectFiscalYear), $A305)-MemberOrgs_TopRow), ""))</f>
        <v/>
      </c>
      <c r="C305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06" spans="1:3" x14ac:dyDescent="0.25">
      <c r="A306">
        <v>300</v>
      </c>
      <c r="B306" t="str">
        <f>IF($A306 &gt; MemberOrgs_NumRow, "", IFERROR(IF(SelectMemberOrgs = "*", $A306, _xlfn.AGGREGATE(15, 6, (1/(MemberOrgsData[Auditee Name] = SelectMemberOrgs))*ROW(MemberOrgsData[Auditee Name])*(1/(MemberOrgsData[AUDITYEAR] = SelectFiscalYear))*(MemberOrgsData[AUDITYEAR] = SelectFiscalYear), $A306)-MemberOrgs_TopRow), ""))</f>
        <v/>
      </c>
      <c r="C306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07" spans="1:3" x14ac:dyDescent="0.25">
      <c r="A307">
        <v>301</v>
      </c>
      <c r="B307" t="str">
        <f>IF($A307 &gt; MemberOrgs_NumRow, "", IFERROR(IF(SelectMemberOrgs = "*", $A307, _xlfn.AGGREGATE(15, 6, (1/(MemberOrgsData[Auditee Name] = SelectMemberOrgs))*ROW(MemberOrgsData[Auditee Name])*(1/(MemberOrgsData[AUDITYEAR] = SelectFiscalYear))*(MemberOrgsData[AUDITYEAR] = SelectFiscalYear), $A307)-MemberOrgs_TopRow), ""))</f>
        <v/>
      </c>
      <c r="C307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08" spans="1:3" x14ac:dyDescent="0.25">
      <c r="A308">
        <v>302</v>
      </c>
      <c r="B308" t="str">
        <f>IF($A308 &gt; MemberOrgs_NumRow, "", IFERROR(IF(SelectMemberOrgs = "*", $A308, _xlfn.AGGREGATE(15, 6, (1/(MemberOrgsData[Auditee Name] = SelectMemberOrgs))*ROW(MemberOrgsData[Auditee Name])*(1/(MemberOrgsData[AUDITYEAR] = SelectFiscalYear))*(MemberOrgsData[AUDITYEAR] = SelectFiscalYear), $A308)-MemberOrgs_TopRow), ""))</f>
        <v/>
      </c>
      <c r="C308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09" spans="1:3" x14ac:dyDescent="0.25">
      <c r="A309">
        <v>303</v>
      </c>
      <c r="B309" t="str">
        <f>IF($A309 &gt; MemberOrgs_NumRow, "", IFERROR(IF(SelectMemberOrgs = "*", $A309, _xlfn.AGGREGATE(15, 6, (1/(MemberOrgsData[Auditee Name] = SelectMemberOrgs))*ROW(MemberOrgsData[Auditee Name])*(1/(MemberOrgsData[AUDITYEAR] = SelectFiscalYear))*(MemberOrgsData[AUDITYEAR] = SelectFiscalYear), $A309)-MemberOrgs_TopRow), ""))</f>
        <v/>
      </c>
      <c r="C309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10" spans="1:3" x14ac:dyDescent="0.25">
      <c r="A310">
        <v>304</v>
      </c>
      <c r="B310" t="str">
        <f>IF($A310 &gt; MemberOrgs_NumRow, "", IFERROR(IF(SelectMemberOrgs = "*", $A310, _xlfn.AGGREGATE(15, 6, (1/(MemberOrgsData[Auditee Name] = SelectMemberOrgs))*ROW(MemberOrgsData[Auditee Name])*(1/(MemberOrgsData[AUDITYEAR] = SelectFiscalYear))*(MemberOrgsData[AUDITYEAR] = SelectFiscalYear), $A310)-MemberOrgs_TopRow), ""))</f>
        <v/>
      </c>
      <c r="C310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11" spans="1:3" x14ac:dyDescent="0.25">
      <c r="A311">
        <v>305</v>
      </c>
      <c r="B311" t="str">
        <f>IF($A311 &gt; MemberOrgs_NumRow, "", IFERROR(IF(SelectMemberOrgs = "*", $A311, _xlfn.AGGREGATE(15, 6, (1/(MemberOrgsData[Auditee Name] = SelectMemberOrgs))*ROW(MemberOrgsData[Auditee Name])*(1/(MemberOrgsData[AUDITYEAR] = SelectFiscalYear))*(MemberOrgsData[AUDITYEAR] = SelectFiscalYear), $A311)-MemberOrgs_TopRow), ""))</f>
        <v/>
      </c>
      <c r="C311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12" spans="1:3" x14ac:dyDescent="0.25">
      <c r="A312">
        <v>306</v>
      </c>
      <c r="B312" t="str">
        <f>IF($A312 &gt; MemberOrgs_NumRow, "", IFERROR(IF(SelectMemberOrgs = "*", $A312, _xlfn.AGGREGATE(15, 6, (1/(MemberOrgsData[Auditee Name] = SelectMemberOrgs))*ROW(MemberOrgsData[Auditee Name])*(1/(MemberOrgsData[AUDITYEAR] = SelectFiscalYear))*(MemberOrgsData[AUDITYEAR] = SelectFiscalYear), $A312)-MemberOrgs_TopRow), ""))</f>
        <v/>
      </c>
      <c r="C312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13" spans="1:3" x14ac:dyDescent="0.25">
      <c r="A313">
        <v>307</v>
      </c>
      <c r="B313" t="str">
        <f>IF($A313 &gt; MemberOrgs_NumRow, "", IFERROR(IF(SelectMemberOrgs = "*", $A313, _xlfn.AGGREGATE(15, 6, (1/(MemberOrgsData[Auditee Name] = SelectMemberOrgs))*ROW(MemberOrgsData[Auditee Name])*(1/(MemberOrgsData[AUDITYEAR] = SelectFiscalYear))*(MemberOrgsData[AUDITYEAR] = SelectFiscalYear), $A313)-MemberOrgs_TopRow), ""))</f>
        <v/>
      </c>
      <c r="C313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14" spans="1:3" x14ac:dyDescent="0.25">
      <c r="A314">
        <v>308</v>
      </c>
      <c r="B314" t="str">
        <f>IF($A314 &gt; MemberOrgs_NumRow, "", IFERROR(IF(SelectMemberOrgs = "*", $A314, _xlfn.AGGREGATE(15, 6, (1/(MemberOrgsData[Auditee Name] = SelectMemberOrgs))*ROW(MemberOrgsData[Auditee Name])*(1/(MemberOrgsData[AUDITYEAR] = SelectFiscalYear))*(MemberOrgsData[AUDITYEAR] = SelectFiscalYear), $A314)-MemberOrgs_TopRow), ""))</f>
        <v/>
      </c>
      <c r="C314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15" spans="1:3" x14ac:dyDescent="0.25">
      <c r="A315">
        <v>309</v>
      </c>
      <c r="B315" t="str">
        <f>IF($A315 &gt; MemberOrgs_NumRow, "", IFERROR(IF(SelectMemberOrgs = "*", $A315, _xlfn.AGGREGATE(15, 6, (1/(MemberOrgsData[Auditee Name] = SelectMemberOrgs))*ROW(MemberOrgsData[Auditee Name])*(1/(MemberOrgsData[AUDITYEAR] = SelectFiscalYear))*(MemberOrgsData[AUDITYEAR] = SelectFiscalYear), $A315)-MemberOrgs_TopRow), ""))</f>
        <v/>
      </c>
      <c r="C315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16" spans="1:3" x14ac:dyDescent="0.25">
      <c r="A316">
        <v>310</v>
      </c>
      <c r="B316" t="str">
        <f>IF($A316 &gt; MemberOrgs_NumRow, "", IFERROR(IF(SelectMemberOrgs = "*", $A316, _xlfn.AGGREGATE(15, 6, (1/(MemberOrgsData[Auditee Name] = SelectMemberOrgs))*ROW(MemberOrgsData[Auditee Name])*(1/(MemberOrgsData[AUDITYEAR] = SelectFiscalYear))*(MemberOrgsData[AUDITYEAR] = SelectFiscalYear), $A316)-MemberOrgs_TopRow), ""))</f>
        <v/>
      </c>
      <c r="C316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17" spans="1:3" x14ac:dyDescent="0.25">
      <c r="A317">
        <v>311</v>
      </c>
      <c r="B317" t="str">
        <f>IF($A317 &gt; MemberOrgs_NumRow, "", IFERROR(IF(SelectMemberOrgs = "*", $A317, _xlfn.AGGREGATE(15, 6, (1/(MemberOrgsData[Auditee Name] = SelectMemberOrgs))*ROW(MemberOrgsData[Auditee Name])*(1/(MemberOrgsData[AUDITYEAR] = SelectFiscalYear))*(MemberOrgsData[AUDITYEAR] = SelectFiscalYear), $A317)-MemberOrgs_TopRow), ""))</f>
        <v/>
      </c>
      <c r="C317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18" spans="1:3" x14ac:dyDescent="0.25">
      <c r="A318">
        <v>312</v>
      </c>
      <c r="B318" t="str">
        <f>IF($A318 &gt; MemberOrgs_NumRow, "", IFERROR(IF(SelectMemberOrgs = "*", $A318, _xlfn.AGGREGATE(15, 6, (1/(MemberOrgsData[Auditee Name] = SelectMemberOrgs))*ROW(MemberOrgsData[Auditee Name])*(1/(MemberOrgsData[AUDITYEAR] = SelectFiscalYear))*(MemberOrgsData[AUDITYEAR] = SelectFiscalYear), $A318)-MemberOrgs_TopRow), ""))</f>
        <v/>
      </c>
      <c r="C318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19" spans="1:3" x14ac:dyDescent="0.25">
      <c r="A319">
        <v>313</v>
      </c>
      <c r="B319" t="str">
        <f>IF($A319 &gt; MemberOrgs_NumRow, "", IFERROR(IF(SelectMemberOrgs = "*", $A319, _xlfn.AGGREGATE(15, 6, (1/(MemberOrgsData[Auditee Name] = SelectMemberOrgs))*ROW(MemberOrgsData[Auditee Name])*(1/(MemberOrgsData[AUDITYEAR] = SelectFiscalYear))*(MemberOrgsData[AUDITYEAR] = SelectFiscalYear), $A319)-MemberOrgs_TopRow), ""))</f>
        <v/>
      </c>
      <c r="C319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20" spans="1:3" x14ac:dyDescent="0.25">
      <c r="A320">
        <v>314</v>
      </c>
      <c r="B320" t="str">
        <f>IF($A320 &gt; MemberOrgs_NumRow, "", IFERROR(IF(SelectMemberOrgs = "*", $A320, _xlfn.AGGREGATE(15, 6, (1/(MemberOrgsData[Auditee Name] = SelectMemberOrgs))*ROW(MemberOrgsData[Auditee Name])*(1/(MemberOrgsData[AUDITYEAR] = SelectFiscalYear))*(MemberOrgsData[AUDITYEAR] = SelectFiscalYear), $A320)-MemberOrgs_TopRow), ""))</f>
        <v/>
      </c>
      <c r="C320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21" spans="1:3" x14ac:dyDescent="0.25">
      <c r="A321">
        <v>315</v>
      </c>
      <c r="B321" t="str">
        <f>IF($A321 &gt; MemberOrgs_NumRow, "", IFERROR(IF(SelectMemberOrgs = "*", $A321, _xlfn.AGGREGATE(15, 6, (1/(MemberOrgsData[Auditee Name] = SelectMemberOrgs))*ROW(MemberOrgsData[Auditee Name])*(1/(MemberOrgsData[AUDITYEAR] = SelectFiscalYear))*(MemberOrgsData[AUDITYEAR] = SelectFiscalYear), $A321)-MemberOrgs_TopRow), ""))</f>
        <v/>
      </c>
      <c r="C321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22" spans="1:3" x14ac:dyDescent="0.25">
      <c r="A322">
        <v>316</v>
      </c>
      <c r="B322" t="str">
        <f>IF($A322 &gt; MemberOrgs_NumRow, "", IFERROR(IF(SelectMemberOrgs = "*", $A322, _xlfn.AGGREGATE(15, 6, (1/(MemberOrgsData[Auditee Name] = SelectMemberOrgs))*ROW(MemberOrgsData[Auditee Name])*(1/(MemberOrgsData[AUDITYEAR] = SelectFiscalYear))*(MemberOrgsData[AUDITYEAR] = SelectFiscalYear), $A322)-MemberOrgs_TopRow), ""))</f>
        <v/>
      </c>
      <c r="C322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23" spans="1:3" x14ac:dyDescent="0.25">
      <c r="A323">
        <v>317</v>
      </c>
      <c r="B323" t="str">
        <f>IF($A323 &gt; MemberOrgs_NumRow, "", IFERROR(IF(SelectMemberOrgs = "*", $A323, _xlfn.AGGREGATE(15, 6, (1/(MemberOrgsData[Auditee Name] = SelectMemberOrgs))*ROW(MemberOrgsData[Auditee Name])*(1/(MemberOrgsData[AUDITYEAR] = SelectFiscalYear))*(MemberOrgsData[AUDITYEAR] = SelectFiscalYear), $A323)-MemberOrgs_TopRow), ""))</f>
        <v/>
      </c>
      <c r="C323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24" spans="1:3" x14ac:dyDescent="0.25">
      <c r="A324">
        <v>318</v>
      </c>
      <c r="B324" t="str">
        <f>IF($A324 &gt; MemberOrgs_NumRow, "", IFERROR(IF(SelectMemberOrgs = "*", $A324, _xlfn.AGGREGATE(15, 6, (1/(MemberOrgsData[Auditee Name] = SelectMemberOrgs))*ROW(MemberOrgsData[Auditee Name])*(1/(MemberOrgsData[AUDITYEAR] = SelectFiscalYear))*(MemberOrgsData[AUDITYEAR] = SelectFiscalYear), $A324)-MemberOrgs_TopRow), ""))</f>
        <v/>
      </c>
      <c r="C324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25" spans="1:3" x14ac:dyDescent="0.25">
      <c r="A325">
        <v>319</v>
      </c>
      <c r="B325" t="str">
        <f>IF($A325 &gt; MemberOrgs_NumRow, "", IFERROR(IF(SelectMemberOrgs = "*", $A325, _xlfn.AGGREGATE(15, 6, (1/(MemberOrgsData[Auditee Name] = SelectMemberOrgs))*ROW(MemberOrgsData[Auditee Name])*(1/(MemberOrgsData[AUDITYEAR] = SelectFiscalYear))*(MemberOrgsData[AUDITYEAR] = SelectFiscalYear), $A325)-MemberOrgs_TopRow), ""))</f>
        <v/>
      </c>
      <c r="C325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26" spans="1:3" x14ac:dyDescent="0.25">
      <c r="A326">
        <v>320</v>
      </c>
      <c r="B326" t="str">
        <f>IF($A326 &gt; MemberOrgs_NumRow, "", IFERROR(IF(SelectMemberOrgs = "*", $A326, _xlfn.AGGREGATE(15, 6, (1/(MemberOrgsData[Auditee Name] = SelectMemberOrgs))*ROW(MemberOrgsData[Auditee Name])*(1/(MemberOrgsData[AUDITYEAR] = SelectFiscalYear))*(MemberOrgsData[AUDITYEAR] = SelectFiscalYear), $A326)-MemberOrgs_TopRow), ""))</f>
        <v/>
      </c>
      <c r="C326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27" spans="1:3" x14ac:dyDescent="0.25">
      <c r="A327">
        <v>321</v>
      </c>
      <c r="B327" t="str">
        <f>IF($A327 &gt; MemberOrgs_NumRow, "", IFERROR(IF(SelectMemberOrgs = "*", $A327, _xlfn.AGGREGATE(15, 6, (1/(MemberOrgsData[Auditee Name] = SelectMemberOrgs))*ROW(MemberOrgsData[Auditee Name])*(1/(MemberOrgsData[AUDITYEAR] = SelectFiscalYear))*(MemberOrgsData[AUDITYEAR] = SelectFiscalYear), $A327)-MemberOrgs_TopRow), ""))</f>
        <v/>
      </c>
      <c r="C327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28" spans="1:3" x14ac:dyDescent="0.25">
      <c r="A328">
        <v>322</v>
      </c>
      <c r="B328" t="str">
        <f>IF($A328 &gt; MemberOrgs_NumRow, "", IFERROR(IF(SelectMemberOrgs = "*", $A328, _xlfn.AGGREGATE(15, 6, (1/(MemberOrgsData[Auditee Name] = SelectMemberOrgs))*ROW(MemberOrgsData[Auditee Name])*(1/(MemberOrgsData[AUDITYEAR] = SelectFiscalYear))*(MemberOrgsData[AUDITYEAR] = SelectFiscalYear), $A328)-MemberOrgs_TopRow), ""))</f>
        <v/>
      </c>
      <c r="C328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29" spans="1:3" x14ac:dyDescent="0.25">
      <c r="A329">
        <v>323</v>
      </c>
      <c r="B329" t="str">
        <f>IF($A329 &gt; MemberOrgs_NumRow, "", IFERROR(IF(SelectMemberOrgs = "*", $A329, _xlfn.AGGREGATE(15, 6, (1/(MemberOrgsData[Auditee Name] = SelectMemberOrgs))*ROW(MemberOrgsData[Auditee Name])*(1/(MemberOrgsData[AUDITYEAR] = SelectFiscalYear))*(MemberOrgsData[AUDITYEAR] = SelectFiscalYear), $A329)-MemberOrgs_TopRow), ""))</f>
        <v/>
      </c>
      <c r="C329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30" spans="1:3" x14ac:dyDescent="0.25">
      <c r="A330">
        <v>324</v>
      </c>
      <c r="B330" t="str">
        <f>IF($A330 &gt; MemberOrgs_NumRow, "", IFERROR(IF(SelectMemberOrgs = "*", $A330, _xlfn.AGGREGATE(15, 6, (1/(MemberOrgsData[Auditee Name] = SelectMemberOrgs))*ROW(MemberOrgsData[Auditee Name])*(1/(MemberOrgsData[AUDITYEAR] = SelectFiscalYear))*(MemberOrgsData[AUDITYEAR] = SelectFiscalYear), $A330)-MemberOrgs_TopRow), ""))</f>
        <v/>
      </c>
      <c r="C330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31" spans="1:3" x14ac:dyDescent="0.25">
      <c r="A331">
        <v>325</v>
      </c>
      <c r="B331" t="str">
        <f>IF($A331 &gt; MemberOrgs_NumRow, "", IFERROR(IF(SelectMemberOrgs = "*", $A331, _xlfn.AGGREGATE(15, 6, (1/(MemberOrgsData[Auditee Name] = SelectMemberOrgs))*ROW(MemberOrgsData[Auditee Name])*(1/(MemberOrgsData[AUDITYEAR] = SelectFiscalYear))*(MemberOrgsData[AUDITYEAR] = SelectFiscalYear), $A331)-MemberOrgs_TopRow), ""))</f>
        <v/>
      </c>
      <c r="C331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32" spans="1:3" x14ac:dyDescent="0.25">
      <c r="A332">
        <v>326</v>
      </c>
      <c r="B332" t="str">
        <f>IF($A332 &gt; MemberOrgs_NumRow, "", IFERROR(IF(SelectMemberOrgs = "*", $A332, _xlfn.AGGREGATE(15, 6, (1/(MemberOrgsData[Auditee Name] = SelectMemberOrgs))*ROW(MemberOrgsData[Auditee Name])*(1/(MemberOrgsData[AUDITYEAR] = SelectFiscalYear))*(MemberOrgsData[AUDITYEAR] = SelectFiscalYear), $A332)-MemberOrgs_TopRow), ""))</f>
        <v/>
      </c>
      <c r="C332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33" spans="1:3" x14ac:dyDescent="0.25">
      <c r="A333">
        <v>327</v>
      </c>
      <c r="B333" t="str">
        <f>IF($A333 &gt; MemberOrgs_NumRow, "", IFERROR(IF(SelectMemberOrgs = "*", $A333, _xlfn.AGGREGATE(15, 6, (1/(MemberOrgsData[Auditee Name] = SelectMemberOrgs))*ROW(MemberOrgsData[Auditee Name])*(1/(MemberOrgsData[AUDITYEAR] = SelectFiscalYear))*(MemberOrgsData[AUDITYEAR] = SelectFiscalYear), $A333)-MemberOrgs_TopRow), ""))</f>
        <v/>
      </c>
      <c r="C333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34" spans="1:3" x14ac:dyDescent="0.25">
      <c r="A334">
        <v>328</v>
      </c>
      <c r="B334" t="str">
        <f>IF($A334 &gt; MemberOrgs_NumRow, "", IFERROR(IF(SelectMemberOrgs = "*", $A334, _xlfn.AGGREGATE(15, 6, (1/(MemberOrgsData[Auditee Name] = SelectMemberOrgs))*ROW(MemberOrgsData[Auditee Name])*(1/(MemberOrgsData[AUDITYEAR] = SelectFiscalYear))*(MemberOrgsData[AUDITYEAR] = SelectFiscalYear), $A334)-MemberOrgs_TopRow), ""))</f>
        <v/>
      </c>
      <c r="C334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35" spans="1:3" x14ac:dyDescent="0.25">
      <c r="A335">
        <v>329</v>
      </c>
      <c r="B335" t="str">
        <f>IF($A335 &gt; MemberOrgs_NumRow, "", IFERROR(IF(SelectMemberOrgs = "*", $A335, _xlfn.AGGREGATE(15, 6, (1/(MemberOrgsData[Auditee Name] = SelectMemberOrgs))*ROW(MemberOrgsData[Auditee Name])*(1/(MemberOrgsData[AUDITYEAR] = SelectFiscalYear))*(MemberOrgsData[AUDITYEAR] = SelectFiscalYear), $A335)-MemberOrgs_TopRow), ""))</f>
        <v/>
      </c>
      <c r="C335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36" spans="1:3" x14ac:dyDescent="0.25">
      <c r="A336">
        <v>330</v>
      </c>
      <c r="B336" t="str">
        <f>IF($A336 &gt; MemberOrgs_NumRow, "", IFERROR(IF(SelectMemberOrgs = "*", $A336, _xlfn.AGGREGATE(15, 6, (1/(MemberOrgsData[Auditee Name] = SelectMemberOrgs))*ROW(MemberOrgsData[Auditee Name])*(1/(MemberOrgsData[AUDITYEAR] = SelectFiscalYear))*(MemberOrgsData[AUDITYEAR] = SelectFiscalYear), $A336)-MemberOrgs_TopRow), ""))</f>
        <v/>
      </c>
      <c r="C336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37" spans="1:3" x14ac:dyDescent="0.25">
      <c r="A337">
        <v>331</v>
      </c>
      <c r="B337" t="str">
        <f>IF($A337 &gt; MemberOrgs_NumRow, "", IFERROR(IF(SelectMemberOrgs = "*", $A337, _xlfn.AGGREGATE(15, 6, (1/(MemberOrgsData[Auditee Name] = SelectMemberOrgs))*ROW(MemberOrgsData[Auditee Name])*(1/(MemberOrgsData[AUDITYEAR] = SelectFiscalYear))*(MemberOrgsData[AUDITYEAR] = SelectFiscalYear), $A337)-MemberOrgs_TopRow), ""))</f>
        <v/>
      </c>
      <c r="C337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38" spans="1:3" x14ac:dyDescent="0.25">
      <c r="A338">
        <v>332</v>
      </c>
      <c r="B338" t="str">
        <f>IF($A338 &gt; MemberOrgs_NumRow, "", IFERROR(IF(SelectMemberOrgs = "*", $A338, _xlfn.AGGREGATE(15, 6, (1/(MemberOrgsData[Auditee Name] = SelectMemberOrgs))*ROW(MemberOrgsData[Auditee Name])*(1/(MemberOrgsData[AUDITYEAR] = SelectFiscalYear))*(MemberOrgsData[AUDITYEAR] = SelectFiscalYear), $A338)-MemberOrgs_TopRow), ""))</f>
        <v/>
      </c>
      <c r="C338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39" spans="1:3" x14ac:dyDescent="0.25">
      <c r="A339">
        <v>333</v>
      </c>
      <c r="B339" t="str">
        <f>IF($A339 &gt; MemberOrgs_NumRow, "", IFERROR(IF(SelectMemberOrgs = "*", $A339, _xlfn.AGGREGATE(15, 6, (1/(MemberOrgsData[Auditee Name] = SelectMemberOrgs))*ROW(MemberOrgsData[Auditee Name])*(1/(MemberOrgsData[AUDITYEAR] = SelectFiscalYear))*(MemberOrgsData[AUDITYEAR] = SelectFiscalYear), $A339)-MemberOrgs_TopRow), ""))</f>
        <v/>
      </c>
      <c r="C339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40" spans="1:3" x14ac:dyDescent="0.25">
      <c r="A340">
        <v>334</v>
      </c>
      <c r="B340" t="str">
        <f>IF($A340 &gt; MemberOrgs_NumRow, "", IFERROR(IF(SelectMemberOrgs = "*", $A340, _xlfn.AGGREGATE(15, 6, (1/(MemberOrgsData[Auditee Name] = SelectMemberOrgs))*ROW(MemberOrgsData[Auditee Name])*(1/(MemberOrgsData[AUDITYEAR] = SelectFiscalYear))*(MemberOrgsData[AUDITYEAR] = SelectFiscalYear), $A340)-MemberOrgs_TopRow), ""))</f>
        <v/>
      </c>
      <c r="C340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41" spans="1:3" x14ac:dyDescent="0.25">
      <c r="A341">
        <v>335</v>
      </c>
      <c r="B341" t="str">
        <f>IF($A341 &gt; MemberOrgs_NumRow, "", IFERROR(IF(SelectMemberOrgs = "*", $A341, _xlfn.AGGREGATE(15, 6, (1/(MemberOrgsData[Auditee Name] = SelectMemberOrgs))*ROW(MemberOrgsData[Auditee Name])*(1/(MemberOrgsData[AUDITYEAR] = SelectFiscalYear))*(MemberOrgsData[AUDITYEAR] = SelectFiscalYear), $A341)-MemberOrgs_TopRow), ""))</f>
        <v/>
      </c>
      <c r="C341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42" spans="1:3" x14ac:dyDescent="0.25">
      <c r="A342">
        <v>336</v>
      </c>
      <c r="B342" t="str">
        <f>IF($A342 &gt; MemberOrgs_NumRow, "", IFERROR(IF(SelectMemberOrgs = "*", $A342, _xlfn.AGGREGATE(15, 6, (1/(MemberOrgsData[Auditee Name] = SelectMemberOrgs))*ROW(MemberOrgsData[Auditee Name])*(1/(MemberOrgsData[AUDITYEAR] = SelectFiscalYear))*(MemberOrgsData[AUDITYEAR] = SelectFiscalYear), $A342)-MemberOrgs_TopRow), ""))</f>
        <v/>
      </c>
      <c r="C342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43" spans="1:3" x14ac:dyDescent="0.25">
      <c r="A343">
        <v>337</v>
      </c>
      <c r="B343" t="str">
        <f>IF($A343 &gt; MemberOrgs_NumRow, "", IFERROR(IF(SelectMemberOrgs = "*", $A343, _xlfn.AGGREGATE(15, 6, (1/(MemberOrgsData[Auditee Name] = SelectMemberOrgs))*ROW(MemberOrgsData[Auditee Name])*(1/(MemberOrgsData[AUDITYEAR] = SelectFiscalYear))*(MemberOrgsData[AUDITYEAR] = SelectFiscalYear), $A343)-MemberOrgs_TopRow), ""))</f>
        <v/>
      </c>
      <c r="C343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44" spans="1:3" x14ac:dyDescent="0.25">
      <c r="A344">
        <v>338</v>
      </c>
      <c r="B344" t="str">
        <f>IF($A344 &gt; MemberOrgs_NumRow, "", IFERROR(IF(SelectMemberOrgs = "*", $A344, _xlfn.AGGREGATE(15, 6, (1/(MemberOrgsData[Auditee Name] = SelectMemberOrgs))*ROW(MemberOrgsData[Auditee Name])*(1/(MemberOrgsData[AUDITYEAR] = SelectFiscalYear))*(MemberOrgsData[AUDITYEAR] = SelectFiscalYear), $A344)-MemberOrgs_TopRow), ""))</f>
        <v/>
      </c>
      <c r="C344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45" spans="1:3" x14ac:dyDescent="0.25">
      <c r="A345">
        <v>339</v>
      </c>
      <c r="B345" t="str">
        <f>IF($A345 &gt; MemberOrgs_NumRow, "", IFERROR(IF(SelectMemberOrgs = "*", $A345, _xlfn.AGGREGATE(15, 6, (1/(MemberOrgsData[Auditee Name] = SelectMemberOrgs))*ROW(MemberOrgsData[Auditee Name])*(1/(MemberOrgsData[AUDITYEAR] = SelectFiscalYear))*(MemberOrgsData[AUDITYEAR] = SelectFiscalYear), $A345)-MemberOrgs_TopRow), ""))</f>
        <v/>
      </c>
      <c r="C345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46" spans="1:3" x14ac:dyDescent="0.25">
      <c r="A346">
        <v>340</v>
      </c>
      <c r="B346" t="str">
        <f>IF($A346 &gt; MemberOrgs_NumRow, "", IFERROR(IF(SelectMemberOrgs = "*", $A346, _xlfn.AGGREGATE(15, 6, (1/(MemberOrgsData[Auditee Name] = SelectMemberOrgs))*ROW(MemberOrgsData[Auditee Name])*(1/(MemberOrgsData[AUDITYEAR] = SelectFiscalYear))*(MemberOrgsData[AUDITYEAR] = SelectFiscalYear), $A346)-MemberOrgs_TopRow), ""))</f>
        <v/>
      </c>
      <c r="C346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47" spans="1:3" x14ac:dyDescent="0.25">
      <c r="A347">
        <v>341</v>
      </c>
      <c r="B347" t="str">
        <f>IF($A347 &gt; MemberOrgs_NumRow, "", IFERROR(IF(SelectMemberOrgs = "*", $A347, _xlfn.AGGREGATE(15, 6, (1/(MemberOrgsData[Auditee Name] = SelectMemberOrgs))*ROW(MemberOrgsData[Auditee Name])*(1/(MemberOrgsData[AUDITYEAR] = SelectFiscalYear))*(MemberOrgsData[AUDITYEAR] = SelectFiscalYear), $A347)-MemberOrgs_TopRow), ""))</f>
        <v/>
      </c>
      <c r="C347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48" spans="1:3" x14ac:dyDescent="0.25">
      <c r="A348">
        <v>342</v>
      </c>
      <c r="B348" t="str">
        <f>IF($A348 &gt; MemberOrgs_NumRow, "", IFERROR(IF(SelectMemberOrgs = "*", $A348, _xlfn.AGGREGATE(15, 6, (1/(MemberOrgsData[Auditee Name] = SelectMemberOrgs))*ROW(MemberOrgsData[Auditee Name])*(1/(MemberOrgsData[AUDITYEAR] = SelectFiscalYear))*(MemberOrgsData[AUDITYEAR] = SelectFiscalYear), $A348)-MemberOrgs_TopRow), ""))</f>
        <v/>
      </c>
      <c r="C348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49" spans="1:3" x14ac:dyDescent="0.25">
      <c r="A349">
        <v>343</v>
      </c>
      <c r="B349" t="str">
        <f>IF($A349 &gt; MemberOrgs_NumRow, "", IFERROR(IF(SelectMemberOrgs = "*", $A349, _xlfn.AGGREGATE(15, 6, (1/(MemberOrgsData[Auditee Name] = SelectMemberOrgs))*ROW(MemberOrgsData[Auditee Name])*(1/(MemberOrgsData[AUDITYEAR] = SelectFiscalYear))*(MemberOrgsData[AUDITYEAR] = SelectFiscalYear), $A349)-MemberOrgs_TopRow), ""))</f>
        <v/>
      </c>
      <c r="C349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50" spans="1:3" x14ac:dyDescent="0.25">
      <c r="A350">
        <v>344</v>
      </c>
      <c r="B350" t="str">
        <f>IF($A350 &gt; MemberOrgs_NumRow, "", IFERROR(IF(SelectMemberOrgs = "*", $A350, _xlfn.AGGREGATE(15, 6, (1/(MemberOrgsData[Auditee Name] = SelectMemberOrgs))*ROW(MemberOrgsData[Auditee Name])*(1/(MemberOrgsData[AUDITYEAR] = SelectFiscalYear))*(MemberOrgsData[AUDITYEAR] = SelectFiscalYear), $A350)-MemberOrgs_TopRow), ""))</f>
        <v/>
      </c>
      <c r="C350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51" spans="1:3" x14ac:dyDescent="0.25">
      <c r="A351">
        <v>345</v>
      </c>
      <c r="B351" t="str">
        <f>IF($A351 &gt; MemberOrgs_NumRow, "", IFERROR(IF(SelectMemberOrgs = "*", $A351, _xlfn.AGGREGATE(15, 6, (1/(MemberOrgsData[Auditee Name] = SelectMemberOrgs))*ROW(MemberOrgsData[Auditee Name])*(1/(MemberOrgsData[AUDITYEAR] = SelectFiscalYear))*(MemberOrgsData[AUDITYEAR] = SelectFiscalYear), $A351)-MemberOrgs_TopRow), ""))</f>
        <v/>
      </c>
      <c r="C351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52" spans="1:3" x14ac:dyDescent="0.25">
      <c r="A352">
        <v>346</v>
      </c>
      <c r="B352" t="str">
        <f>IF($A352 &gt; MemberOrgs_NumRow, "", IFERROR(IF(SelectMemberOrgs = "*", $A352, _xlfn.AGGREGATE(15, 6, (1/(MemberOrgsData[Auditee Name] = SelectMemberOrgs))*ROW(MemberOrgsData[Auditee Name])*(1/(MemberOrgsData[AUDITYEAR] = SelectFiscalYear))*(MemberOrgsData[AUDITYEAR] = SelectFiscalYear), $A352)-MemberOrgs_TopRow), ""))</f>
        <v/>
      </c>
      <c r="C352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53" spans="1:3" x14ac:dyDescent="0.25">
      <c r="A353">
        <v>347</v>
      </c>
      <c r="B353" t="str">
        <f>IF($A353 &gt; MemberOrgs_NumRow, "", IFERROR(IF(SelectMemberOrgs = "*", $A353, _xlfn.AGGREGATE(15, 6, (1/(MemberOrgsData[Auditee Name] = SelectMemberOrgs))*ROW(MemberOrgsData[Auditee Name])*(1/(MemberOrgsData[AUDITYEAR] = SelectFiscalYear))*(MemberOrgsData[AUDITYEAR] = SelectFiscalYear), $A353)-MemberOrgs_TopRow), ""))</f>
        <v/>
      </c>
      <c r="C353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54" spans="1:3" x14ac:dyDescent="0.25">
      <c r="A354">
        <v>348</v>
      </c>
      <c r="B354" t="str">
        <f>IF($A354 &gt; MemberOrgs_NumRow, "", IFERROR(IF(SelectMemberOrgs = "*", $A354, _xlfn.AGGREGATE(15, 6, (1/(MemberOrgsData[Auditee Name] = SelectMemberOrgs))*ROW(MemberOrgsData[Auditee Name])*(1/(MemberOrgsData[AUDITYEAR] = SelectFiscalYear))*(MemberOrgsData[AUDITYEAR] = SelectFiscalYear), $A354)-MemberOrgs_TopRow), ""))</f>
        <v/>
      </c>
      <c r="C354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55" spans="1:3" x14ac:dyDescent="0.25">
      <c r="A355">
        <v>349</v>
      </c>
      <c r="B355" t="str">
        <f>IF($A355 &gt; MemberOrgs_NumRow, "", IFERROR(IF(SelectMemberOrgs = "*", $A355, _xlfn.AGGREGATE(15, 6, (1/(MemberOrgsData[Auditee Name] = SelectMemberOrgs))*ROW(MemberOrgsData[Auditee Name])*(1/(MemberOrgsData[AUDITYEAR] = SelectFiscalYear))*(MemberOrgsData[AUDITYEAR] = SelectFiscalYear), $A355)-MemberOrgs_TopRow), ""))</f>
        <v/>
      </c>
      <c r="C355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56" spans="1:3" x14ac:dyDescent="0.25">
      <c r="A356">
        <v>350</v>
      </c>
      <c r="B356" t="str">
        <f>IF($A356 &gt; MemberOrgs_NumRow, "", IFERROR(IF(SelectMemberOrgs = "*", $A356, _xlfn.AGGREGATE(15, 6, (1/(MemberOrgsData[Auditee Name] = SelectMemberOrgs))*ROW(MemberOrgsData[Auditee Name])*(1/(MemberOrgsData[AUDITYEAR] = SelectFiscalYear))*(MemberOrgsData[AUDITYEAR] = SelectFiscalYear), $A356)-MemberOrgs_TopRow), ""))</f>
        <v/>
      </c>
      <c r="C356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57" spans="1:3" x14ac:dyDescent="0.25">
      <c r="A357">
        <v>351</v>
      </c>
      <c r="B357" t="str">
        <f>IF($A357 &gt; MemberOrgs_NumRow, "", IFERROR(IF(SelectMemberOrgs = "*", $A357, _xlfn.AGGREGATE(15, 6, (1/(MemberOrgsData[Auditee Name] = SelectMemberOrgs))*ROW(MemberOrgsData[Auditee Name])*(1/(MemberOrgsData[AUDITYEAR] = SelectFiscalYear))*(MemberOrgsData[AUDITYEAR] = SelectFiscalYear), $A357)-MemberOrgs_TopRow), ""))</f>
        <v/>
      </c>
      <c r="C357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58" spans="1:3" x14ac:dyDescent="0.25">
      <c r="A358">
        <v>352</v>
      </c>
      <c r="B358" t="str">
        <f>IF($A358 &gt; MemberOrgs_NumRow, "", IFERROR(IF(SelectMemberOrgs = "*", $A358, _xlfn.AGGREGATE(15, 6, (1/(MemberOrgsData[Auditee Name] = SelectMemberOrgs))*ROW(MemberOrgsData[Auditee Name])*(1/(MemberOrgsData[AUDITYEAR] = SelectFiscalYear))*(MemberOrgsData[AUDITYEAR] = SelectFiscalYear), $A358)-MemberOrgs_TopRow), ""))</f>
        <v/>
      </c>
      <c r="C358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59" spans="1:3" x14ac:dyDescent="0.25">
      <c r="A359">
        <v>353</v>
      </c>
      <c r="B359" t="str">
        <f>IF($A359 &gt; MemberOrgs_NumRow, "", IFERROR(IF(SelectMemberOrgs = "*", $A359, _xlfn.AGGREGATE(15, 6, (1/(MemberOrgsData[Auditee Name] = SelectMemberOrgs))*ROW(MemberOrgsData[Auditee Name])*(1/(MemberOrgsData[AUDITYEAR] = SelectFiscalYear))*(MemberOrgsData[AUDITYEAR] = SelectFiscalYear), $A359)-MemberOrgs_TopRow), ""))</f>
        <v/>
      </c>
      <c r="C359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60" spans="1:3" x14ac:dyDescent="0.25">
      <c r="A360">
        <v>354</v>
      </c>
      <c r="B360" t="str">
        <f>IF($A360 &gt; MemberOrgs_NumRow, "", IFERROR(IF(SelectMemberOrgs = "*", $A360, _xlfn.AGGREGATE(15, 6, (1/(MemberOrgsData[Auditee Name] = SelectMemberOrgs))*ROW(MemberOrgsData[Auditee Name])*(1/(MemberOrgsData[AUDITYEAR] = SelectFiscalYear))*(MemberOrgsData[AUDITYEAR] = SelectFiscalYear), $A360)-MemberOrgs_TopRow), ""))</f>
        <v/>
      </c>
      <c r="C360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61" spans="1:3" x14ac:dyDescent="0.25">
      <c r="A361">
        <v>355</v>
      </c>
      <c r="B361" t="str">
        <f>IF($A361 &gt; MemberOrgs_NumRow, "", IFERROR(IF(SelectMemberOrgs = "*", $A361, _xlfn.AGGREGATE(15, 6, (1/(MemberOrgsData[Auditee Name] = SelectMemberOrgs))*ROW(MemberOrgsData[Auditee Name])*(1/(MemberOrgsData[AUDITYEAR] = SelectFiscalYear))*(MemberOrgsData[AUDITYEAR] = SelectFiscalYear), $A361)-MemberOrgs_TopRow), ""))</f>
        <v/>
      </c>
      <c r="C361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62" spans="1:3" x14ac:dyDescent="0.25">
      <c r="A362">
        <v>356</v>
      </c>
      <c r="B362" t="str">
        <f>IF($A362 &gt; MemberOrgs_NumRow, "", IFERROR(IF(SelectMemberOrgs = "*", $A362, _xlfn.AGGREGATE(15, 6, (1/(MemberOrgsData[Auditee Name] = SelectMemberOrgs))*ROW(MemberOrgsData[Auditee Name])*(1/(MemberOrgsData[AUDITYEAR] = SelectFiscalYear))*(MemberOrgsData[AUDITYEAR] = SelectFiscalYear), $A362)-MemberOrgs_TopRow), ""))</f>
        <v/>
      </c>
      <c r="C362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63" spans="1:3" x14ac:dyDescent="0.25">
      <c r="A363">
        <v>357</v>
      </c>
      <c r="B363" t="str">
        <f>IF($A363 &gt; MemberOrgs_NumRow, "", IFERROR(IF(SelectMemberOrgs = "*", $A363, _xlfn.AGGREGATE(15, 6, (1/(MemberOrgsData[Auditee Name] = SelectMemberOrgs))*ROW(MemberOrgsData[Auditee Name])*(1/(MemberOrgsData[AUDITYEAR] = SelectFiscalYear))*(MemberOrgsData[AUDITYEAR] = SelectFiscalYear), $A363)-MemberOrgs_TopRow), ""))</f>
        <v/>
      </c>
      <c r="C363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64" spans="1:3" x14ac:dyDescent="0.25">
      <c r="A364">
        <v>358</v>
      </c>
      <c r="B364" t="str">
        <f>IF($A364 &gt; MemberOrgs_NumRow, "", IFERROR(IF(SelectMemberOrgs = "*", $A364, _xlfn.AGGREGATE(15, 6, (1/(MemberOrgsData[Auditee Name] = SelectMemberOrgs))*ROW(MemberOrgsData[Auditee Name])*(1/(MemberOrgsData[AUDITYEAR] = SelectFiscalYear))*(MemberOrgsData[AUDITYEAR] = SelectFiscalYear), $A364)-MemberOrgs_TopRow), ""))</f>
        <v/>
      </c>
      <c r="C364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65" spans="1:3" x14ac:dyDescent="0.25">
      <c r="A365">
        <v>359</v>
      </c>
      <c r="B365" t="str">
        <f>IF($A365 &gt; MemberOrgs_NumRow, "", IFERROR(IF(SelectMemberOrgs = "*", $A365, _xlfn.AGGREGATE(15, 6, (1/(MemberOrgsData[Auditee Name] = SelectMemberOrgs))*ROW(MemberOrgsData[Auditee Name])*(1/(MemberOrgsData[AUDITYEAR] = SelectFiscalYear))*(MemberOrgsData[AUDITYEAR] = SelectFiscalYear), $A365)-MemberOrgs_TopRow), ""))</f>
        <v/>
      </c>
      <c r="C365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66" spans="1:3" x14ac:dyDescent="0.25">
      <c r="A366">
        <v>360</v>
      </c>
      <c r="B366" t="str">
        <f>IF($A366 &gt; MemberOrgs_NumRow, "", IFERROR(IF(SelectMemberOrgs = "*", $A366, _xlfn.AGGREGATE(15, 6, (1/(MemberOrgsData[Auditee Name] = SelectMemberOrgs))*ROW(MemberOrgsData[Auditee Name])*(1/(MemberOrgsData[AUDITYEAR] = SelectFiscalYear))*(MemberOrgsData[AUDITYEAR] = SelectFiscalYear), $A366)-MemberOrgs_TopRow), ""))</f>
        <v/>
      </c>
      <c r="C366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67" spans="1:3" x14ac:dyDescent="0.25">
      <c r="A367">
        <v>361</v>
      </c>
      <c r="B367" t="str">
        <f>IF($A367 &gt; MemberOrgs_NumRow, "", IFERROR(IF(SelectMemberOrgs = "*", $A367, _xlfn.AGGREGATE(15, 6, (1/(MemberOrgsData[Auditee Name] = SelectMemberOrgs))*ROW(MemberOrgsData[Auditee Name])*(1/(MemberOrgsData[AUDITYEAR] = SelectFiscalYear))*(MemberOrgsData[AUDITYEAR] = SelectFiscalYear), $A367)-MemberOrgs_TopRow), ""))</f>
        <v/>
      </c>
      <c r="C367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68" spans="1:3" x14ac:dyDescent="0.25">
      <c r="A368">
        <v>362</v>
      </c>
      <c r="B368" t="str">
        <f>IF($A368 &gt; MemberOrgs_NumRow, "", IFERROR(IF(SelectMemberOrgs = "*", $A368, _xlfn.AGGREGATE(15, 6, (1/(MemberOrgsData[Auditee Name] = SelectMemberOrgs))*ROW(MemberOrgsData[Auditee Name])*(1/(MemberOrgsData[AUDITYEAR] = SelectFiscalYear))*(MemberOrgsData[AUDITYEAR] = SelectFiscalYear), $A368)-MemberOrgs_TopRow), ""))</f>
        <v/>
      </c>
      <c r="C368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69" spans="1:3" x14ac:dyDescent="0.25">
      <c r="A369">
        <v>363</v>
      </c>
      <c r="B369" t="str">
        <f>IF($A369 &gt; MemberOrgs_NumRow, "", IFERROR(IF(SelectMemberOrgs = "*", $A369, _xlfn.AGGREGATE(15, 6, (1/(MemberOrgsData[Auditee Name] = SelectMemberOrgs))*ROW(MemberOrgsData[Auditee Name])*(1/(MemberOrgsData[AUDITYEAR] = SelectFiscalYear))*(MemberOrgsData[AUDITYEAR] = SelectFiscalYear), $A369)-MemberOrgs_TopRow), ""))</f>
        <v/>
      </c>
      <c r="C369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70" spans="1:3" x14ac:dyDescent="0.25">
      <c r="A370">
        <v>364</v>
      </c>
      <c r="B370" t="str">
        <f>IF($A370 &gt; MemberOrgs_NumRow, "", IFERROR(IF(SelectMemberOrgs = "*", $A370, _xlfn.AGGREGATE(15, 6, (1/(MemberOrgsData[Auditee Name] = SelectMemberOrgs))*ROW(MemberOrgsData[Auditee Name])*(1/(MemberOrgsData[AUDITYEAR] = SelectFiscalYear))*(MemberOrgsData[AUDITYEAR] = SelectFiscalYear), $A370)-MemberOrgs_TopRow), ""))</f>
        <v/>
      </c>
      <c r="C370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71" spans="1:3" x14ac:dyDescent="0.25">
      <c r="A371">
        <v>365</v>
      </c>
      <c r="B371" t="str">
        <f>IF($A371 &gt; MemberOrgs_NumRow, "", IFERROR(IF(SelectMemberOrgs = "*", $A371, _xlfn.AGGREGATE(15, 6, (1/(MemberOrgsData[Auditee Name] = SelectMemberOrgs))*ROW(MemberOrgsData[Auditee Name])*(1/(MemberOrgsData[AUDITYEAR] = SelectFiscalYear))*(MemberOrgsData[AUDITYEAR] = SelectFiscalYear), $A371)-MemberOrgs_TopRow), ""))</f>
        <v/>
      </c>
      <c r="C371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72" spans="1:3" x14ac:dyDescent="0.25">
      <c r="A372">
        <v>366</v>
      </c>
      <c r="B372" t="str">
        <f>IF($A372 &gt; MemberOrgs_NumRow, "", IFERROR(IF(SelectMemberOrgs = "*", $A372, _xlfn.AGGREGATE(15, 6, (1/(MemberOrgsData[Auditee Name] = SelectMemberOrgs))*ROW(MemberOrgsData[Auditee Name])*(1/(MemberOrgsData[AUDITYEAR] = SelectFiscalYear))*(MemberOrgsData[AUDITYEAR] = SelectFiscalYear), $A372)-MemberOrgs_TopRow), ""))</f>
        <v/>
      </c>
      <c r="C372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73" spans="1:3" x14ac:dyDescent="0.25">
      <c r="A373">
        <v>367</v>
      </c>
      <c r="B373" t="str">
        <f>IF($A373 &gt; MemberOrgs_NumRow, "", IFERROR(IF(SelectMemberOrgs = "*", $A373, _xlfn.AGGREGATE(15, 6, (1/(MemberOrgsData[Auditee Name] = SelectMemberOrgs))*ROW(MemberOrgsData[Auditee Name])*(1/(MemberOrgsData[AUDITYEAR] = SelectFiscalYear))*(MemberOrgsData[AUDITYEAR] = SelectFiscalYear), $A373)-MemberOrgs_TopRow), ""))</f>
        <v/>
      </c>
      <c r="C373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74" spans="1:3" x14ac:dyDescent="0.25">
      <c r="A374">
        <v>368</v>
      </c>
      <c r="B374" t="str">
        <f>IF($A374 &gt; MemberOrgs_NumRow, "", IFERROR(IF(SelectMemberOrgs = "*", $A374, _xlfn.AGGREGATE(15, 6, (1/(MemberOrgsData[Auditee Name] = SelectMemberOrgs))*ROW(MemberOrgsData[Auditee Name])*(1/(MemberOrgsData[AUDITYEAR] = SelectFiscalYear))*(MemberOrgsData[AUDITYEAR] = SelectFiscalYear), $A374)-MemberOrgs_TopRow), ""))</f>
        <v/>
      </c>
      <c r="C374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</sheetData>
  <mergeCells count="2">
    <mergeCell ref="R2:S2"/>
    <mergeCell ref="R8:S8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BA35F-72D1-427D-8B96-0616465202A6}">
  <dimension ref="A1:K66"/>
  <sheetViews>
    <sheetView workbookViewId="0">
      <selection activeCell="E8" sqref="E8"/>
    </sheetView>
  </sheetViews>
  <sheetFormatPr defaultRowHeight="15" x14ac:dyDescent="0.25"/>
  <cols>
    <col min="1" max="1" width="21.140625" bestFit="1" customWidth="1"/>
  </cols>
  <sheetData>
    <row r="1" spans="1:11" x14ac:dyDescent="0.25">
      <c r="A1" t="s">
        <v>290</v>
      </c>
    </row>
    <row r="2" spans="1:11" x14ac:dyDescent="0.25">
      <c r="A2" s="76" t="s">
        <v>282</v>
      </c>
      <c r="B2" s="76"/>
      <c r="D2" s="3" t="s">
        <v>286</v>
      </c>
      <c r="E2" t="str">
        <f>'Individual Grants'!C2</f>
        <v>Adoption Assistance</v>
      </c>
    </row>
    <row r="3" spans="1:11" x14ac:dyDescent="0.25">
      <c r="A3" s="64" t="s">
        <v>284</v>
      </c>
      <c r="B3" s="62">
        <f>ROW(FedGrant_Data[#All])</f>
        <v>2</v>
      </c>
      <c r="D3" s="3" t="s">
        <v>271</v>
      </c>
      <c r="E3" t="str">
        <f>IF(FedGrantFinal[President $ Change]&lt;0, "Cut", "Increase")</f>
        <v>Increase</v>
      </c>
      <c r="I3" t="str">
        <f>IF(K3 &lt;7, TEXT(ROUND(J3, -3)/1000, "$#")&amp;" "&amp;"Thousand", TEXT(ROUND(J3, -5)/1000000, "$#.0")&amp;" "&amp;"Million")</f>
        <v>$ Thousand</v>
      </c>
      <c r="J3" t="str">
        <f>IF('FPWA Member Grants'!E6 &lt; 0, TEXT(('FPWA Member Grants'!E6*-1), "0"), TEXT('FPWA Member Grants'!E6, "0"))</f>
        <v>0</v>
      </c>
      <c r="K3">
        <f>LEN(J3)</f>
        <v>1</v>
      </c>
    </row>
    <row r="4" spans="1:11" x14ac:dyDescent="0.25">
      <c r="A4" s="65" t="s">
        <v>285</v>
      </c>
      <c r="B4" s="63">
        <v>56</v>
      </c>
      <c r="D4" s="3" t="s">
        <v>287</v>
      </c>
      <c r="E4" t="str">
        <f>IF(G4 &lt;7, TEXT(ROUND(F4, -3)/1000, "$#")&amp;" "&amp;"Thousand", TEXT(ROUND(F4, -5)/1000000, "$#.0")&amp;" "&amp;"Million")</f>
        <v>$3.2 Million</v>
      </c>
      <c r="F4" t="str">
        <f>IF(FedGrantFinal[President $ Change] &lt;0, TEXT((FedGrantFinal[President $ Change]*-1), "0"), TEXT(FedGrantFinal[President $ Change], "0"))</f>
        <v>3247853</v>
      </c>
      <c r="G4">
        <f>LEN(F4)</f>
        <v>7</v>
      </c>
    </row>
    <row r="5" spans="1:11" x14ac:dyDescent="0.25">
      <c r="D5" s="3" t="s">
        <v>272</v>
      </c>
      <c r="E5" t="e">
        <f>IF(#REF!&lt;0, "Cut", "Increase")</f>
        <v>#REF!</v>
      </c>
    </row>
    <row r="6" spans="1:11" x14ac:dyDescent="0.25">
      <c r="D6" s="3" t="s">
        <v>288</v>
      </c>
      <c r="E6" t="e">
        <f>IF(G6 &lt;7, TEXT(ROUND(F6, -3)/1000, "$#")&amp;" "&amp;"Thousand", TEXT(ROUND(F6, -5)/1000000, "$#.0")&amp;" "&amp;"Million")</f>
        <v>#REF!</v>
      </c>
      <c r="F6" t="e">
        <f>IF(#REF!&lt; 0, TEXT((FedGrantFinal[]*-1), "0"), TEXT(#REF!, "0"))</f>
        <v>#REF!</v>
      </c>
      <c r="G6" t="e">
        <f>LEN(F6)</f>
        <v>#REF!</v>
      </c>
    </row>
    <row r="7" spans="1:11" x14ac:dyDescent="0.25">
      <c r="D7" s="3" t="s">
        <v>289</v>
      </c>
      <c r="E7" t="str">
        <f>CONCATENATE("President Trump's FY 2020 Budget Proposal Would ", E3, " ", SelectFedGrant, " By ", E4)</f>
        <v>President Trump's FY 2020 Budget Proposal Would Increase Adoption Assistance By $3.2 Million</v>
      </c>
    </row>
    <row r="8" spans="1:11" x14ac:dyDescent="0.25">
      <c r="D8" s="3" t="s">
        <v>296</v>
      </c>
      <c r="E8" s="73" t="s">
        <v>297</v>
      </c>
    </row>
    <row r="9" spans="1:11" x14ac:dyDescent="0.25">
      <c r="A9" s="66" t="s">
        <v>283</v>
      </c>
      <c r="B9" s="67"/>
      <c r="E9" t="s">
        <v>224</v>
      </c>
      <c r="F9" t="s">
        <v>225</v>
      </c>
    </row>
    <row r="10" spans="1:11" x14ac:dyDescent="0.25">
      <c r="A10" s="61" t="s">
        <v>218</v>
      </c>
      <c r="E10">
        <v>1</v>
      </c>
      <c r="F10">
        <f>IF($E10&gt;FedGrant_NumRow, "",IFERROR(IF(SelectFedGrant = "*", $E10, _xlfn.AGGREGATE(15, 6, (1/(FedGrant_Data[Grant Name] = SelectFedGrant))*ROW(FedGrant_Data[Grant Name]), $E10)-FedGrant_Top_Row), ""))</f>
        <v>1</v>
      </c>
    </row>
    <row r="11" spans="1:11" x14ac:dyDescent="0.25">
      <c r="A11" s="61" t="s">
        <v>199</v>
      </c>
      <c r="E11">
        <v>2</v>
      </c>
      <c r="F11" t="str">
        <f>IF($E11&gt;FedGrant_NumRow, "",IFERROR(IF(SelectFedGrant = "*", $E11, _xlfn.AGGREGATE(15, 6, (1/(FedGrant_Data[Grant Name] = SelectFedGrant))*ROW(FedGrant_Data[Grant Name]), $E11)-FedGrant_Top_Row), ""))</f>
        <v/>
      </c>
    </row>
    <row r="12" spans="1:11" x14ac:dyDescent="0.25">
      <c r="A12" s="61" t="s">
        <v>200</v>
      </c>
      <c r="E12">
        <v>3</v>
      </c>
      <c r="F12" t="str">
        <f>IF($E12&gt;FedGrant_NumRow, "",IFERROR(IF(SelectFedGrant = "*", $E12, _xlfn.AGGREGATE(15, 6, (1/(FedGrant_Data[Grant Name] = SelectFedGrant))*ROW(FedGrant_Data[Grant Name]), $E12)-FedGrant_Top_Row), ""))</f>
        <v/>
      </c>
    </row>
    <row r="13" spans="1:11" x14ac:dyDescent="0.25">
      <c r="A13" s="61" t="s">
        <v>194</v>
      </c>
      <c r="E13">
        <v>4</v>
      </c>
      <c r="F13" t="str">
        <f>IF($E13&gt;FedGrant_NumRow, "",IFERROR(IF(SelectFedGrant = "*", $E13, _xlfn.AGGREGATE(15, 6, (1/(FedGrant_Data[Grant Name] = SelectFedGrant))*ROW(FedGrant_Data[Grant Name]), $E13)-FedGrant_Top_Row), ""))</f>
        <v/>
      </c>
    </row>
    <row r="14" spans="1:11" x14ac:dyDescent="0.25">
      <c r="A14" s="61" t="s">
        <v>198</v>
      </c>
      <c r="E14">
        <v>5</v>
      </c>
      <c r="F14" t="str">
        <f>IF($E14&gt;FedGrant_NumRow, "",IFERROR(IF(SelectFedGrant = "*", $E14, _xlfn.AGGREGATE(15, 6, (1/(FedGrant_Data[Grant Name] = SelectFedGrant))*ROW(FedGrant_Data[Grant Name]), $E14)-FedGrant_Top_Row), ""))</f>
        <v/>
      </c>
    </row>
    <row r="15" spans="1:11" x14ac:dyDescent="0.25">
      <c r="A15" s="61" t="s">
        <v>188</v>
      </c>
      <c r="E15">
        <v>6</v>
      </c>
      <c r="F15" t="str">
        <f>IF($E15&gt;FedGrant_NumRow, "",IFERROR(IF(SelectFedGrant = "*", $E15, _xlfn.AGGREGATE(15, 6, (1/(FedGrant_Data[Grant Name] = SelectFedGrant))*ROW(FedGrant_Data[Grant Name]), $E15)-FedGrant_Top_Row), ""))</f>
        <v/>
      </c>
    </row>
    <row r="16" spans="1:11" x14ac:dyDescent="0.25">
      <c r="A16" s="61" t="s">
        <v>278</v>
      </c>
      <c r="E16">
        <v>7</v>
      </c>
      <c r="F16" t="str">
        <f>IF($E16&gt;FedGrant_NumRow, "",IFERROR(IF(SelectFedGrant = "*", $E16, _xlfn.AGGREGATE(15, 6, (1/(FedGrant_Data[Grant Name] = SelectFedGrant))*ROW(FedGrant_Data[Grant Name]), $E16)-FedGrant_Top_Row), ""))</f>
        <v/>
      </c>
    </row>
    <row r="17" spans="1:6" x14ac:dyDescent="0.25">
      <c r="A17" s="61" t="s">
        <v>159</v>
      </c>
      <c r="E17">
        <v>8</v>
      </c>
      <c r="F17" t="str">
        <f>IF($E17&gt;FedGrant_NumRow, "",IFERROR(IF(SelectFedGrant = "*", $E17, _xlfn.AGGREGATE(15, 6, (1/(FedGrant_Data[Grant Name] = SelectFedGrant))*ROW(FedGrant_Data[Grant Name]), $E17)-FedGrant_Top_Row), ""))</f>
        <v/>
      </c>
    </row>
    <row r="18" spans="1:6" x14ac:dyDescent="0.25">
      <c r="A18" s="61" t="s">
        <v>165</v>
      </c>
      <c r="E18">
        <v>9</v>
      </c>
      <c r="F18" t="str">
        <f>IF($E18&gt;FedGrant_NumRow, "",IFERROR(IF(SelectFedGrant = "*", $E18, _xlfn.AGGREGATE(15, 6, (1/(FedGrant_Data[Grant Name] = SelectFedGrant))*ROW(FedGrant_Data[Grant Name]), $E18)-FedGrant_Top_Row), ""))</f>
        <v/>
      </c>
    </row>
    <row r="19" spans="1:6" x14ac:dyDescent="0.25">
      <c r="A19" s="61" t="s">
        <v>170</v>
      </c>
      <c r="E19">
        <v>10</v>
      </c>
      <c r="F19" t="str">
        <f>IF($E19&gt;FedGrant_NumRow, "",IFERROR(IF(SelectFedGrant = "*", $E19, _xlfn.AGGREGATE(15, 6, (1/(FedGrant_Data[Grant Name] = SelectFedGrant))*ROW(FedGrant_Data[Grant Name]), $E19)-FedGrant_Top_Row), ""))</f>
        <v/>
      </c>
    </row>
    <row r="20" spans="1:6" x14ac:dyDescent="0.25">
      <c r="A20" s="61" t="s">
        <v>179</v>
      </c>
      <c r="E20">
        <v>11</v>
      </c>
      <c r="F20" t="str">
        <f>IF($E20&gt;FedGrant_NumRow, "",IFERROR(IF(SelectFedGrant = "*", $E20, _xlfn.AGGREGATE(15, 6, (1/(FedGrant_Data[Grant Name] = SelectFedGrant))*ROW(FedGrant_Data[Grant Name]), $E20)-FedGrant_Top_Row), ""))</f>
        <v/>
      </c>
    </row>
    <row r="21" spans="1:6" x14ac:dyDescent="0.25">
      <c r="A21" s="61" t="s">
        <v>167</v>
      </c>
      <c r="E21">
        <v>12</v>
      </c>
      <c r="F21" t="str">
        <f>IF($E21&gt;FedGrant_NumRow, "",IFERROR(IF(SelectFedGrant = "*", $E21, _xlfn.AGGREGATE(15, 6, (1/(FedGrant_Data[Grant Name] = SelectFedGrant))*ROW(FedGrant_Data[Grant Name]), $E21)-FedGrant_Top_Row), ""))</f>
        <v/>
      </c>
    </row>
    <row r="22" spans="1:6" x14ac:dyDescent="0.25">
      <c r="A22" s="61" t="s">
        <v>175</v>
      </c>
      <c r="E22">
        <v>13</v>
      </c>
      <c r="F22" t="str">
        <f>IF($E22&gt;FedGrant_NumRow, "",IFERROR(IF(SelectFedGrant = "*", $E22, _xlfn.AGGREGATE(15, 6, (1/(FedGrant_Data[Grant Name] = SelectFedGrant))*ROW(FedGrant_Data[Grant Name]), $E22)-FedGrant_Top_Row), ""))</f>
        <v/>
      </c>
    </row>
    <row r="23" spans="1:6" x14ac:dyDescent="0.25">
      <c r="A23" s="61" t="s">
        <v>169</v>
      </c>
      <c r="E23">
        <v>14</v>
      </c>
      <c r="F23" t="str">
        <f>IF($E23&gt;FedGrant_NumRow, "",IFERROR(IF(SelectFedGrant = "*", $E23, _xlfn.AGGREGATE(15, 6, (1/(FedGrant_Data[Grant Name] = SelectFedGrant))*ROW(FedGrant_Data[Grant Name]), $E23)-FedGrant_Top_Row), ""))</f>
        <v/>
      </c>
    </row>
    <row r="24" spans="1:6" x14ac:dyDescent="0.25">
      <c r="A24" s="61" t="s">
        <v>187</v>
      </c>
      <c r="E24">
        <v>15</v>
      </c>
      <c r="F24" t="str">
        <f>IF($E24&gt;FedGrant_NumRow, "",IFERROR(IF(SelectFedGrant = "*", $E24, _xlfn.AGGREGATE(15, 6, (1/(FedGrant_Data[Grant Name] = SelectFedGrant))*ROW(FedGrant_Data[Grant Name]), $E24)-FedGrant_Top_Row), ""))</f>
        <v/>
      </c>
    </row>
    <row r="25" spans="1:6" x14ac:dyDescent="0.25">
      <c r="A25" s="61" t="s">
        <v>195</v>
      </c>
      <c r="E25">
        <v>16</v>
      </c>
      <c r="F25" t="str">
        <f>IF($E25&gt;FedGrant_NumRow, "",IFERROR(IF(SelectFedGrant = "*", $E25, _xlfn.AGGREGATE(15, 6, (1/(FedGrant_Data[Grant Name] = SelectFedGrant))*ROW(FedGrant_Data[Grant Name]), $E25)-FedGrant_Top_Row), ""))</f>
        <v/>
      </c>
    </row>
    <row r="26" spans="1:6" x14ac:dyDescent="0.25">
      <c r="A26" s="61" t="s">
        <v>217</v>
      </c>
      <c r="E26">
        <v>17</v>
      </c>
      <c r="F26" t="str">
        <f>IF($E26&gt;FedGrant_NumRow, "",IFERROR(IF(SelectFedGrant = "*", $E26, _xlfn.AGGREGATE(15, 6, (1/(FedGrant_Data[Grant Name] = SelectFedGrant))*ROW(FedGrant_Data[Grant Name]), $E26)-FedGrant_Top_Row), ""))</f>
        <v/>
      </c>
    </row>
    <row r="27" spans="1:6" x14ac:dyDescent="0.25">
      <c r="A27" s="61" t="s">
        <v>19</v>
      </c>
      <c r="E27">
        <v>18</v>
      </c>
      <c r="F27" t="str">
        <f>IF($E27&gt;FedGrant_NumRow, "",IFERROR(IF(SelectFedGrant = "*", $E27, _xlfn.AGGREGATE(15, 6, (1/(FedGrant_Data[Grant Name] = SelectFedGrant))*ROW(FedGrant_Data[Grant Name]), $E27)-FedGrant_Top_Row), ""))</f>
        <v/>
      </c>
    </row>
    <row r="28" spans="1:6" x14ac:dyDescent="0.25">
      <c r="A28" s="61" t="s">
        <v>209</v>
      </c>
      <c r="E28">
        <v>19</v>
      </c>
      <c r="F28" t="str">
        <f>IF($E28&gt;FedGrant_NumRow, "",IFERROR(IF(SelectFedGrant = "*", $E28, _xlfn.AGGREGATE(15, 6, (1/(FedGrant_Data[Grant Name] = SelectFedGrant))*ROW(FedGrant_Data[Grant Name]), $E28)-FedGrant_Top_Row), ""))</f>
        <v/>
      </c>
    </row>
    <row r="29" spans="1:6" x14ac:dyDescent="0.25">
      <c r="A29" s="61" t="s">
        <v>213</v>
      </c>
      <c r="E29">
        <v>20</v>
      </c>
      <c r="F29" t="str">
        <f>IF($E29&gt;FedGrant_NumRow, "",IFERROR(IF(SelectFedGrant = "*", $E29, _xlfn.AGGREGATE(15, 6, (1/(FedGrant_Data[Grant Name] = SelectFedGrant))*ROW(FedGrant_Data[Grant Name]), $E29)-FedGrant_Top_Row), ""))</f>
        <v/>
      </c>
    </row>
    <row r="30" spans="1:6" x14ac:dyDescent="0.25">
      <c r="A30" s="61" t="s">
        <v>207</v>
      </c>
      <c r="E30">
        <v>21</v>
      </c>
      <c r="F30" t="str">
        <f>IF($E30&gt;FedGrant_NumRow, "",IFERROR(IF(SelectFedGrant = "*", $E30, _xlfn.AGGREGATE(15, 6, (1/(FedGrant_Data[Grant Name] = SelectFedGrant))*ROW(FedGrant_Data[Grant Name]), $E30)-FedGrant_Top_Row), ""))</f>
        <v/>
      </c>
    </row>
    <row r="31" spans="1:6" x14ac:dyDescent="0.25">
      <c r="A31" s="61" t="s">
        <v>279</v>
      </c>
      <c r="E31">
        <v>22</v>
      </c>
      <c r="F31" t="str">
        <f>IF($E31&gt;FedGrant_NumRow, "",IFERROR(IF(SelectFedGrant = "*", $E31, _xlfn.AGGREGATE(15, 6, (1/(FedGrant_Data[Grant Name] = SelectFedGrant))*ROW(FedGrant_Data[Grant Name]), $E31)-FedGrant_Top_Row), ""))</f>
        <v/>
      </c>
    </row>
    <row r="32" spans="1:6" x14ac:dyDescent="0.25">
      <c r="A32" s="61" t="s">
        <v>160</v>
      </c>
      <c r="E32">
        <v>23</v>
      </c>
      <c r="F32" t="str">
        <f>IF($E32&gt;FedGrant_NumRow, "",IFERROR(IF(SelectFedGrant = "*", $E32, _xlfn.AGGREGATE(15, 6, (1/(FedGrant_Data[Grant Name] = SelectFedGrant))*ROW(FedGrant_Data[Grant Name]), $E32)-FedGrant_Top_Row), ""))</f>
        <v/>
      </c>
    </row>
    <row r="33" spans="1:6" x14ac:dyDescent="0.25">
      <c r="A33" s="61" t="s">
        <v>174</v>
      </c>
      <c r="E33">
        <v>24</v>
      </c>
      <c r="F33" t="str">
        <f>IF($E33&gt;FedGrant_NumRow, "",IFERROR(IF(SelectFedGrant = "*", $E33, _xlfn.AGGREGATE(15, 6, (1/(FedGrant_Data[Grant Name] = SelectFedGrant))*ROW(FedGrant_Data[Grant Name]), $E33)-FedGrant_Top_Row), ""))</f>
        <v/>
      </c>
    </row>
    <row r="34" spans="1:6" x14ac:dyDescent="0.25">
      <c r="A34" s="61" t="s">
        <v>182</v>
      </c>
      <c r="E34">
        <v>25</v>
      </c>
      <c r="F34" t="str">
        <f>IF($E34&gt;FedGrant_NumRow, "",IFERROR(IF(SelectFedGrant = "*", $E34, _xlfn.AGGREGATE(15, 6, (1/(FedGrant_Data[Grant Name] = SelectFedGrant))*ROW(FedGrant_Data[Grant Name]), $E34)-FedGrant_Top_Row), ""))</f>
        <v/>
      </c>
    </row>
    <row r="35" spans="1:6" x14ac:dyDescent="0.25">
      <c r="A35" s="61" t="s">
        <v>177</v>
      </c>
      <c r="E35">
        <v>26</v>
      </c>
      <c r="F35" t="str">
        <f>IF($E35&gt;FedGrant_NumRow, "",IFERROR(IF(SelectFedGrant = "*", $E35, _xlfn.AGGREGATE(15, 6, (1/(FedGrant_Data[Grant Name] = SelectFedGrant))*ROW(FedGrant_Data[Grant Name]), $E35)-FedGrant_Top_Row), ""))</f>
        <v/>
      </c>
    </row>
    <row r="36" spans="1:6" x14ac:dyDescent="0.25">
      <c r="A36" s="61" t="s">
        <v>222</v>
      </c>
      <c r="E36">
        <v>27</v>
      </c>
      <c r="F36" t="str">
        <f>IF($E36&gt;FedGrant_NumRow, "",IFERROR(IF(SelectFedGrant = "*", $E36, _xlfn.AGGREGATE(15, 6, (1/(FedGrant_Data[Grant Name] = SelectFedGrant))*ROW(FedGrant_Data[Grant Name]), $E36)-FedGrant_Top_Row), ""))</f>
        <v/>
      </c>
    </row>
    <row r="37" spans="1:6" x14ac:dyDescent="0.25">
      <c r="A37" s="61" t="s">
        <v>180</v>
      </c>
      <c r="E37">
        <v>28</v>
      </c>
      <c r="F37" t="str">
        <f>IF($E37&gt;FedGrant_NumRow, "",IFERROR(IF(SelectFedGrant = "*", $E37, _xlfn.AGGREGATE(15, 6, (1/(FedGrant_Data[Grant Name] = SelectFedGrant))*ROW(FedGrant_Data[Grant Name]), $E37)-FedGrant_Top_Row), ""))</f>
        <v/>
      </c>
    </row>
    <row r="38" spans="1:6" x14ac:dyDescent="0.25">
      <c r="A38" s="61" t="s">
        <v>202</v>
      </c>
      <c r="E38">
        <v>29</v>
      </c>
      <c r="F38" t="str">
        <f>IF($E38&gt;FedGrant_NumRow, "",IFERROR(IF(SelectFedGrant = "*", $E38, _xlfn.AGGREGATE(15, 6, (1/(FedGrant_Data[Grant Name] = SelectFedGrant))*ROW(FedGrant_Data[Grant Name]), $E38)-FedGrant_Top_Row), ""))</f>
        <v/>
      </c>
    </row>
    <row r="39" spans="1:6" x14ac:dyDescent="0.25">
      <c r="A39" s="61" t="s">
        <v>212</v>
      </c>
      <c r="E39">
        <v>30</v>
      </c>
      <c r="F39" t="str">
        <f>IF($E39&gt;FedGrant_NumRow, "",IFERROR(IF(SelectFedGrant = "*", $E39, _xlfn.AGGREGATE(15, 6, (1/(FedGrant_Data[Grant Name] = SelectFedGrant))*ROW(FedGrant_Data[Grant Name]), $E39)-FedGrant_Top_Row), ""))</f>
        <v/>
      </c>
    </row>
    <row r="40" spans="1:6" x14ac:dyDescent="0.25">
      <c r="A40" s="61" t="s">
        <v>164</v>
      </c>
      <c r="E40">
        <v>31</v>
      </c>
      <c r="F40" t="str">
        <f>IF($E40&gt;FedGrant_NumRow, "",IFERROR(IF(SelectFedGrant = "*", $E40, _xlfn.AGGREGATE(15, 6, (1/(FedGrant_Data[Grant Name] = SelectFedGrant))*ROW(FedGrant_Data[Grant Name]), $E40)-FedGrant_Top_Row), ""))</f>
        <v/>
      </c>
    </row>
    <row r="41" spans="1:6" x14ac:dyDescent="0.25">
      <c r="A41" s="61" t="s">
        <v>183</v>
      </c>
      <c r="E41">
        <v>32</v>
      </c>
      <c r="F41" t="str">
        <f>IF($E41&gt;FedGrant_NumRow, "",IFERROR(IF(SelectFedGrant = "*", $E41, _xlfn.AGGREGATE(15, 6, (1/(FedGrant_Data[Grant Name] = SelectFedGrant))*ROW(FedGrant_Data[Grant Name]), $E41)-FedGrant_Top_Row), ""))</f>
        <v/>
      </c>
    </row>
    <row r="42" spans="1:6" x14ac:dyDescent="0.25">
      <c r="A42" s="61" t="s">
        <v>214</v>
      </c>
      <c r="E42">
        <v>33</v>
      </c>
      <c r="F42" t="str">
        <f>IF($E42&gt;FedGrant_NumRow, "",IFERROR(IF(SelectFedGrant = "*", $E42, _xlfn.AGGREGATE(15, 6, (1/(FedGrant_Data[Grant Name] = SelectFedGrant))*ROW(FedGrant_Data[Grant Name]), $E42)-FedGrant_Top_Row), ""))</f>
        <v/>
      </c>
    </row>
    <row r="43" spans="1:6" x14ac:dyDescent="0.25">
      <c r="A43" s="61" t="s">
        <v>176</v>
      </c>
      <c r="E43">
        <v>34</v>
      </c>
      <c r="F43" t="str">
        <f>IF($E43&gt;FedGrant_NumRow, "",IFERROR(IF(SelectFedGrant = "*", $E43, _xlfn.AGGREGATE(15, 6, (1/(FedGrant_Data[Grant Name] = SelectFedGrant))*ROW(FedGrant_Data[Grant Name]), $E43)-FedGrant_Top_Row), ""))</f>
        <v/>
      </c>
    </row>
    <row r="44" spans="1:6" x14ac:dyDescent="0.25">
      <c r="A44" s="61" t="s">
        <v>189</v>
      </c>
      <c r="E44">
        <v>35</v>
      </c>
      <c r="F44" t="str">
        <f>IF($E44&gt;FedGrant_NumRow, "",IFERROR(IF(SelectFedGrant = "*", $E44, _xlfn.AGGREGATE(15, 6, (1/(FedGrant_Data[Grant Name] = SelectFedGrant))*ROW(FedGrant_Data[Grant Name]), $E44)-FedGrant_Top_Row), ""))</f>
        <v/>
      </c>
    </row>
    <row r="45" spans="1:6" x14ac:dyDescent="0.25">
      <c r="A45" s="61" t="s">
        <v>181</v>
      </c>
      <c r="E45">
        <v>36</v>
      </c>
      <c r="F45" t="str">
        <f>IF($E45&gt;FedGrant_NumRow, "",IFERROR(IF(SelectFedGrant = "*", $E45, _xlfn.AGGREGATE(15, 6, (1/(FedGrant_Data[Grant Name] = SelectFedGrant))*ROW(FedGrant_Data[Grant Name]), $E45)-FedGrant_Top_Row), ""))</f>
        <v/>
      </c>
    </row>
    <row r="46" spans="1:6" x14ac:dyDescent="0.25">
      <c r="A46" s="61" t="s">
        <v>203</v>
      </c>
      <c r="E46">
        <v>37</v>
      </c>
      <c r="F46" t="str">
        <f>IF($E46&gt;FedGrant_NumRow, "",IFERROR(IF(SelectFedGrant = "*", $E46, _xlfn.AGGREGATE(15, 6, (1/(FedGrant_Data[Grant Name] = SelectFedGrant))*ROW(FedGrant_Data[Grant Name]), $E46)-FedGrant_Top_Row), ""))</f>
        <v/>
      </c>
    </row>
    <row r="47" spans="1:6" x14ac:dyDescent="0.25">
      <c r="A47" s="61" t="s">
        <v>220</v>
      </c>
      <c r="E47">
        <v>38</v>
      </c>
      <c r="F47" t="str">
        <f>IF($E47&gt;FedGrant_NumRow, "",IFERROR(IF(SelectFedGrant = "*", $E47, _xlfn.AGGREGATE(15, 6, (1/(FedGrant_Data[Grant Name] = SelectFedGrant))*ROW(FedGrant_Data[Grant Name]), $E47)-FedGrant_Top_Row), ""))</f>
        <v/>
      </c>
    </row>
    <row r="48" spans="1:6" x14ac:dyDescent="0.25">
      <c r="A48" s="61" t="s">
        <v>186</v>
      </c>
      <c r="E48">
        <v>39</v>
      </c>
      <c r="F48" t="str">
        <f>IF($E48&gt;FedGrant_NumRow, "",IFERROR(IF(SelectFedGrant = "*", $E48, _xlfn.AGGREGATE(15, 6, (1/(FedGrant_Data[Grant Name] = SelectFedGrant))*ROW(FedGrant_Data[Grant Name]), $E48)-FedGrant_Top_Row), ""))</f>
        <v/>
      </c>
    </row>
    <row r="49" spans="1:6" x14ac:dyDescent="0.25">
      <c r="A49" s="61" t="s">
        <v>210</v>
      </c>
      <c r="E49">
        <v>40</v>
      </c>
      <c r="F49" t="str">
        <f>IF($E49&gt;FedGrant_NumRow, "",IFERROR(IF(SelectFedGrant = "*", $E49, _xlfn.AGGREGATE(15, 6, (1/(FedGrant_Data[Grant Name] = SelectFedGrant))*ROW(FedGrant_Data[Grant Name]), $E49)-FedGrant_Top_Row), ""))</f>
        <v/>
      </c>
    </row>
    <row r="50" spans="1:6" x14ac:dyDescent="0.25">
      <c r="A50" s="61" t="s">
        <v>166</v>
      </c>
      <c r="E50">
        <v>41</v>
      </c>
      <c r="F50" t="str">
        <f>IF($E50&gt;FedGrant_NumRow, "",IFERROR(IF(SelectFedGrant = "*", $E50, _xlfn.AGGREGATE(15, 6, (1/(FedGrant_Data[Grant Name] = SelectFedGrant))*ROW(FedGrant_Data[Grant Name]), $E50)-FedGrant_Top_Row), ""))</f>
        <v/>
      </c>
    </row>
    <row r="51" spans="1:6" x14ac:dyDescent="0.25">
      <c r="A51" s="61" t="s">
        <v>193</v>
      </c>
      <c r="E51">
        <v>42</v>
      </c>
      <c r="F51" t="str">
        <f>IF($E51&gt;FedGrant_NumRow, "",IFERROR(IF(SelectFedGrant = "*", $E51, _xlfn.AGGREGATE(15, 6, (1/(FedGrant_Data[Grant Name] = SelectFedGrant))*ROW(FedGrant_Data[Grant Name]), $E51)-FedGrant_Top_Row), ""))</f>
        <v/>
      </c>
    </row>
    <row r="52" spans="1:6" x14ac:dyDescent="0.25">
      <c r="A52" s="61" t="s">
        <v>184</v>
      </c>
      <c r="E52">
        <v>43</v>
      </c>
      <c r="F52" t="str">
        <f>IF($E52&gt;FedGrant_NumRow, "",IFERROR(IF(SelectFedGrant = "*", $E52, _xlfn.AGGREGATE(15, 6, (1/(FedGrant_Data[Grant Name] = SelectFedGrant))*ROW(FedGrant_Data[Grant Name]), $E52)-FedGrant_Top_Row), ""))</f>
        <v/>
      </c>
    </row>
    <row r="53" spans="1:6" x14ac:dyDescent="0.25">
      <c r="A53" s="61" t="s">
        <v>185</v>
      </c>
      <c r="E53">
        <v>44</v>
      </c>
      <c r="F53" t="str">
        <f>IF($E53&gt;FedGrant_NumRow, "",IFERROR(IF(SelectFedGrant = "*", $E53, _xlfn.AGGREGATE(15, 6, (1/(FedGrant_Data[Grant Name] = SelectFedGrant))*ROW(FedGrant_Data[Grant Name]), $E53)-FedGrant_Top_Row), ""))</f>
        <v/>
      </c>
    </row>
    <row r="54" spans="1:6" x14ac:dyDescent="0.25">
      <c r="A54" s="61" t="s">
        <v>201</v>
      </c>
      <c r="E54">
        <v>45</v>
      </c>
      <c r="F54" t="str">
        <f>IF($E54&gt;FedGrant_NumRow, "",IFERROR(IF(SelectFedGrant = "*", $E54, _xlfn.AGGREGATE(15, 6, (1/(FedGrant_Data[Grant Name] = SelectFedGrant))*ROW(FedGrant_Data[Grant Name]), $E54)-FedGrant_Top_Row), ""))</f>
        <v/>
      </c>
    </row>
    <row r="55" spans="1:6" x14ac:dyDescent="0.25">
      <c r="A55" s="61" t="s">
        <v>280</v>
      </c>
      <c r="E55">
        <v>46</v>
      </c>
      <c r="F55" t="str">
        <f>IF($E55&gt;FedGrant_NumRow, "",IFERROR(IF(SelectFedGrant = "*", $E55, _xlfn.AGGREGATE(15, 6, (1/(FedGrant_Data[Grant Name] = SelectFedGrant))*ROW(FedGrant_Data[Grant Name]), $E55)-FedGrant_Top_Row), ""))</f>
        <v/>
      </c>
    </row>
    <row r="56" spans="1:6" x14ac:dyDescent="0.25">
      <c r="A56" s="61" t="s">
        <v>223</v>
      </c>
      <c r="E56">
        <v>47</v>
      </c>
      <c r="F56" t="str">
        <f>IF($E56&gt;FedGrant_NumRow, "",IFERROR(IF(SelectFedGrant = "*", $E56, _xlfn.AGGREGATE(15, 6, (1/(FedGrant_Data[Grant Name] = SelectFedGrant))*ROW(FedGrant_Data[Grant Name]), $E56)-FedGrant_Top_Row), ""))</f>
        <v/>
      </c>
    </row>
    <row r="57" spans="1:6" x14ac:dyDescent="0.25">
      <c r="A57" s="61" t="s">
        <v>163</v>
      </c>
      <c r="E57">
        <v>48</v>
      </c>
      <c r="F57" t="str">
        <f>IF($E57&gt;FedGrant_NumRow, "",IFERROR(IF(SelectFedGrant = "*", $E57, _xlfn.AGGREGATE(15, 6, (1/(FedGrant_Data[Grant Name] = SelectFedGrant))*ROW(FedGrant_Data[Grant Name]), $E57)-FedGrant_Top_Row), ""))</f>
        <v/>
      </c>
    </row>
    <row r="58" spans="1:6" x14ac:dyDescent="0.25">
      <c r="A58" s="61" t="s">
        <v>196</v>
      </c>
      <c r="E58">
        <v>49</v>
      </c>
      <c r="F58" t="str">
        <f>IF($E58&gt;FedGrant_NumRow, "",IFERROR(IF(SelectFedGrant = "*", $E58, _xlfn.AGGREGATE(15, 6, (1/(FedGrant_Data[Grant Name] = SelectFedGrant))*ROW(FedGrant_Data[Grant Name]), $E58)-FedGrant_Top_Row), ""))</f>
        <v/>
      </c>
    </row>
    <row r="59" spans="1:6" x14ac:dyDescent="0.25">
      <c r="A59" s="61" t="s">
        <v>178</v>
      </c>
      <c r="E59">
        <v>50</v>
      </c>
      <c r="F59" t="str">
        <f>IF($E59&gt;FedGrant_NumRow, "",IFERROR(IF(SelectFedGrant = "*", $E59, _xlfn.AGGREGATE(15, 6, (1/(FedGrant_Data[Grant Name] = SelectFedGrant))*ROW(FedGrant_Data[Grant Name]), $E59)-FedGrant_Top_Row), ""))</f>
        <v/>
      </c>
    </row>
    <row r="60" spans="1:6" x14ac:dyDescent="0.25">
      <c r="A60" s="61" t="s">
        <v>281</v>
      </c>
      <c r="E60">
        <v>51</v>
      </c>
      <c r="F60" t="str">
        <f>IF($E60&gt;FedGrant_NumRow, "",IFERROR(IF(SelectFedGrant = "*", $E60, _xlfn.AGGREGATE(15, 6, (1/(FedGrant_Data[Grant Name] = SelectFedGrant))*ROW(FedGrant_Data[Grant Name]), $E60)-FedGrant_Top_Row), ""))</f>
        <v/>
      </c>
    </row>
    <row r="61" spans="1:6" x14ac:dyDescent="0.25">
      <c r="A61" s="61" t="s">
        <v>162</v>
      </c>
      <c r="E61">
        <v>52</v>
      </c>
      <c r="F61" t="str">
        <f>IF($E61&gt;FedGrant_NumRow, "",IFERROR(IF(SelectFedGrant = "*", $E61, _xlfn.AGGREGATE(15, 6, (1/(FedGrant_Data[Grant Name] = SelectFedGrant))*ROW(FedGrant_Data[Grant Name]), $E61)-FedGrant_Top_Row), ""))</f>
        <v/>
      </c>
    </row>
    <row r="62" spans="1:6" x14ac:dyDescent="0.25">
      <c r="A62" s="61" t="s">
        <v>190</v>
      </c>
      <c r="E62">
        <v>53</v>
      </c>
      <c r="F62" t="str">
        <f>IF($E62&gt;FedGrant_NumRow, "",IFERROR(IF(SelectFedGrant = "*", $E62, _xlfn.AGGREGATE(15, 6, (1/(FedGrant_Data[Grant Name] = SelectFedGrant))*ROW(FedGrant_Data[Grant Name]), $E62)-FedGrant_Top_Row), ""))</f>
        <v/>
      </c>
    </row>
    <row r="63" spans="1:6" x14ac:dyDescent="0.25">
      <c r="A63" s="61" t="s">
        <v>191</v>
      </c>
      <c r="E63">
        <v>54</v>
      </c>
      <c r="F63" t="str">
        <f>IF($E63&gt;FedGrant_NumRow, "",IFERROR(IF(SelectFedGrant = "*", $E63, _xlfn.AGGREGATE(15, 6, (1/(FedGrant_Data[Grant Name] = SelectFedGrant))*ROW(FedGrant_Data[Grant Name]), $E63)-FedGrant_Top_Row), ""))</f>
        <v/>
      </c>
    </row>
    <row r="64" spans="1:6" x14ac:dyDescent="0.25">
      <c r="A64" s="61" t="s">
        <v>192</v>
      </c>
      <c r="E64">
        <v>55</v>
      </c>
      <c r="F64" t="str">
        <f>IF($E64&gt;FedGrant_NumRow, "",IFERROR(IF(SelectFedGrant = "*", $E64, _xlfn.AGGREGATE(15, 6, (1/(FedGrant_Data[Grant Name] = SelectFedGrant))*ROW(FedGrant_Data[Grant Name]), $E64)-FedGrant_Top_Row), ""))</f>
        <v/>
      </c>
    </row>
    <row r="65" spans="1:6" x14ac:dyDescent="0.25">
      <c r="A65" s="61" t="s">
        <v>26</v>
      </c>
      <c r="E65">
        <v>56</v>
      </c>
      <c r="F65" t="str">
        <f>IF($E65&gt;FedGrant_NumRow, "",IFERROR(IF(SelectFedGrant = "*", $E65, _xlfn.AGGREGATE(15, 6, (1/(FedGrant_Data[Grant Name] = SelectFedGrant))*ROW(FedGrant_Data[Grant Name]), $E65)-FedGrant_Top_Row), ""))</f>
        <v/>
      </c>
    </row>
    <row r="66" spans="1:6" x14ac:dyDescent="0.25">
      <c r="E66">
        <v>57</v>
      </c>
      <c r="F66" t="str">
        <f>IF($E66&gt;FedGrant_NumRow, "",IFERROR(IF(SelectFedGrant = "*", $E66, _xlfn.AGGREGATE(15, 6, (1/(FedGrant_Data[Grant Name] = SelectFedGrant))*ROW(FedGrant_Data[Grant Name]), $E66)-FedGrant_Top_Row), ""))</f>
        <v/>
      </c>
    </row>
  </sheetData>
  <mergeCells count="1">
    <mergeCell ref="A2:B2"/>
  </mergeCells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389FB-5808-47CF-821E-6AD6D2ADB80E}">
  <sheetPr codeName="Sheet5"/>
  <dimension ref="A1:R227"/>
  <sheetViews>
    <sheetView topLeftCell="D1" workbookViewId="0">
      <selection activeCell="H4" sqref="H4"/>
    </sheetView>
  </sheetViews>
  <sheetFormatPr defaultRowHeight="15" x14ac:dyDescent="0.25"/>
  <cols>
    <col min="1" max="1" width="11.5703125" customWidth="1"/>
    <col min="5" max="5" width="23.42578125" customWidth="1"/>
    <col min="6" max="6" width="14.5703125" customWidth="1"/>
    <col min="7" max="7" width="18.42578125" customWidth="1"/>
    <col min="8" max="8" width="20.140625" customWidth="1"/>
    <col min="9" max="9" width="19" bestFit="1" customWidth="1"/>
    <col min="10" max="12" width="17.140625" customWidth="1"/>
    <col min="15" max="15" width="11.42578125" customWidth="1"/>
    <col min="17" max="17" width="14.85546875" customWidth="1"/>
  </cols>
  <sheetData>
    <row r="1" spans="1:18" x14ac:dyDescent="0.25">
      <c r="A1" t="s">
        <v>254</v>
      </c>
    </row>
    <row r="3" spans="1:18" x14ac:dyDescent="0.25">
      <c r="A3" t="s">
        <v>236</v>
      </c>
      <c r="C3" s="16" t="s">
        <v>234</v>
      </c>
      <c r="D3" s="16" t="s">
        <v>226</v>
      </c>
      <c r="E3" s="16" t="s">
        <v>227</v>
      </c>
      <c r="F3" s="16" t="s">
        <v>239</v>
      </c>
      <c r="G3" s="16" t="s">
        <v>228</v>
      </c>
      <c r="H3" s="16" t="s">
        <v>257</v>
      </c>
      <c r="I3" s="16" t="s">
        <v>229</v>
      </c>
      <c r="J3" s="16" t="s">
        <v>232</v>
      </c>
      <c r="K3" s="16" t="s">
        <v>233</v>
      </c>
      <c r="L3" s="17" t="s">
        <v>230</v>
      </c>
      <c r="M3" s="16" t="s">
        <v>231</v>
      </c>
      <c r="N3" s="18" t="s">
        <v>240</v>
      </c>
      <c r="P3" t="s">
        <v>235</v>
      </c>
      <c r="Q3" t="s">
        <v>4</v>
      </c>
      <c r="R3" t="s">
        <v>255</v>
      </c>
    </row>
    <row r="4" spans="1:18" x14ac:dyDescent="0.25">
      <c r="A4">
        <f>IF(OR(MemberOrgControl!$B7 = "", MemberOrgControl!$B7 &lt;0), "", INDEX(MemberOrgsData[CFDA], MemberOrgControl!$B7))</f>
        <v>14.269</v>
      </c>
      <c r="C4">
        <f>IFERROR(INDEX(AllCFDAs[All CFDAs], MATCH(0, INDEX(COUNTIF($C$3:C3, AllCFDAs[All CFDAs]),),0)), "")</f>
        <v>14.269</v>
      </c>
      <c r="D4" t="str">
        <f t="array" ref="D4">IFERROR(INDEX(MemberOrgsData[FEDERALPROGRAMNAME], MATCH(1, (SelectMemberOrgs = MemberOrgsData[Auditee Name])*(MemberOrgs_SortedTable[[#This Row],[Unique CFDA]]= MemberOrgsData[CFDA]), 0)), "")</f>
        <v>HURRICANE SANDY COMMUNITY DEVELOPMENT BLOCK GRANT DISASTER RECOVERY GRANTS (CDBG-DR)</v>
      </c>
      <c r="E4" s="20">
        <f t="array" ref="E4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>464484</v>
      </c>
      <c r="F4" s="21" t="str">
        <f t="array" ref="F4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>No Budget Data</v>
      </c>
      <c r="G4" s="19" t="str">
        <f>IF(MemberOrgs_SortedTable[[#This Row],[Unique CFDA]] = "", "", IFERROR(MemberOrgs_SortedTable[[#This Row],[FY 2018 Total]]*MemberOrgs_SortedTable[[#This Row],[President % Change]], "No Budget Data"))</f>
        <v>No Budget Data</v>
      </c>
      <c r="H4" s="21" t="str">
        <f t="array" ref="H4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>No Budget Data</v>
      </c>
      <c r="I4" s="19" t="str">
        <f>IF(MemberOrgs_SortedTable[[#This Row],[Unique CFDA]] = "", "", IFERROR(MemberOrgs_SortedTable[[#This Row],[FY 2018 Total]]*MemberOrgs_SortedTable[[#This Row],[House % Change]], "No Budget Data"))</f>
        <v>No Budget Data</v>
      </c>
      <c r="K4" s="19">
        <f>IF(MemberOrgs_SortedTable[[#This Row],[Unique CFDA]] = "", "", IFERROR(MemberOrgs_SortedTable[[#This Row],[FY 2018 Total]]*MemberOrgs_SortedTable[[#This Row],[Senate Budget]], "No Budget Data"))</f>
        <v>0</v>
      </c>
      <c r="L4">
        <f>IF(MemberOrgs_SortedTable[[#This Row],[Unique CFDA]] = "", "", IF(ISNUMBER(MemberOrgs_SortedTable[[#This Row],[President $ Change]]), RANK(MemberOrgs_SortedTable[[#This Row],[President $ Change]], $G$4:$G$227)+COUNTIF($G$4:G4, G4)-1, 0))</f>
        <v>0</v>
      </c>
      <c r="M4">
        <f>IFERROR((IF(MemberOrgs_SortedTable[[#This Row],[Sort 1]] = 0, COUNTIF($L$4:L4, 0), "")+MAX(MemberOrgs_SortedTable[Sort 1])), "")</f>
        <v>11</v>
      </c>
      <c r="N4">
        <f>IF(MemberOrgs_SortedTable[[#This Row],[Sort 1]]&gt;0, MemberOrgs_SortedTable[[#This Row],[Sort 1]], MemberOrgs_SortedTable[[#This Row],[Sort 2]])</f>
        <v>11</v>
      </c>
      <c r="P4">
        <v>1</v>
      </c>
      <c r="Q4">
        <f>IFERROR(INDEX(MemberOrgs_SortedTable[Unique CFDA], MATCH(Table7[[#This Row],[Desired Order]], MemberOrgs_SortedTable[Final Pres. Sort], 0)), "")</f>
        <v>10.558</v>
      </c>
      <c r="R4" s="1">
        <f>IF(ISNUMBER(Table7[[#This Row],[CFDA]]), INDEX(MemberOrgs_Control[Row], MATCH(Table7[[#This Row],[Desired Order]], MemberOrgs_Control['#], 0)), "")</f>
        <v>351</v>
      </c>
    </row>
    <row r="5" spans="1:18" x14ac:dyDescent="0.25">
      <c r="A5">
        <f>IF(OR(MemberOrgControl!$B8 = "", MemberOrgControl!$B8 &lt;0), "", INDEX(MemberOrgsData[CFDA], MemberOrgControl!$B8))</f>
        <v>45.024000000000001</v>
      </c>
      <c r="C5">
        <f>IFERROR(INDEX(AllCFDAs[All CFDAs], MATCH(0, INDEX(COUNTIF($C$3:C4, AllCFDAs[All CFDAs]),),0)), "")</f>
        <v>45.024000000000001</v>
      </c>
      <c r="D5" t="str">
        <f t="array" ref="D5">IFERROR(INDEX(MemberOrgsData[FEDERALPROGRAMNAME], MATCH(1, (SelectMemberOrgs = MemberOrgsData[Auditee Name])*(MemberOrgs_SortedTable[[#This Row],[Unique CFDA]]= MemberOrgsData[CFDA]), 0)), "")</f>
        <v>PROMOTION OF THE ARTS_GRANTS TO ORGANIZATIONS AND INDIVIDUALS</v>
      </c>
      <c r="E5" s="20">
        <f t="array" ref="E5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>15000</v>
      </c>
      <c r="F5" s="21" t="str">
        <f t="array" ref="F5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>No Budget Data</v>
      </c>
      <c r="G5" s="19" t="str">
        <f>IF(MemberOrgs_SortedTable[[#This Row],[Unique CFDA]] = "", "", IFERROR(MemberOrgs_SortedTable[[#This Row],[FY 2018 Total]]*MemberOrgs_SortedTable[[#This Row],[President % Change]], "No Budget Data"))</f>
        <v>No Budget Data</v>
      </c>
      <c r="H5" s="21" t="str">
        <f t="array" ref="H5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>No Budget Data</v>
      </c>
      <c r="I5" s="19" t="str">
        <f>IF(MemberOrgs_SortedTable[[#This Row],[Unique CFDA]] = "", "", IFERROR(MemberOrgs_SortedTable[[#This Row],[FY 2018 Total]]*MemberOrgs_SortedTable[[#This Row],[House % Change]], "No Budget Data"))</f>
        <v>No Budget Data</v>
      </c>
      <c r="K5" s="19">
        <f>IF(MemberOrgs_SortedTable[[#This Row],[Unique CFDA]] = "", "", IFERROR(MemberOrgs_SortedTable[[#This Row],[FY 2018 Total]]*MemberOrgs_SortedTable[[#This Row],[Senate Budget]], "No Budget Data"))</f>
        <v>0</v>
      </c>
      <c r="L5">
        <f>IF(MemberOrgs_SortedTable[[#This Row],[Unique CFDA]] = "", "", IF(ISNUMBER(MemberOrgs_SortedTable[[#This Row],[President $ Change]]), RANK(MemberOrgs_SortedTable[[#This Row],[President $ Change]], $G$4:$G$227)+COUNTIF($G$4:G5, G5)-1, 0))</f>
        <v>0</v>
      </c>
      <c r="M5">
        <f>IFERROR((IF(MemberOrgs_SortedTable[[#This Row],[Sort 1]] = 0, COUNTIF($L$4:L5, 0), "")+MAX(MemberOrgs_SortedTable[Sort 1])), "")</f>
        <v>12</v>
      </c>
      <c r="N5">
        <f>IF(MemberOrgs_SortedTable[[#This Row],[Sort 1]]&gt;0, MemberOrgs_SortedTable[[#This Row],[Sort 1]], MemberOrgs_SortedTable[[#This Row],[Sort 2]])</f>
        <v>12</v>
      </c>
      <c r="P5">
        <v>2</v>
      </c>
      <c r="Q5">
        <f>IFERROR(INDEX(MemberOrgs_SortedTable[Unique CFDA], MATCH(Table7[[#This Row],[Desired Order]], MemberOrgs_SortedTable[Final Pres. Sort], 0)), "")</f>
        <v>93.6</v>
      </c>
      <c r="R5" s="1">
        <f>IF(ISNUMBER(Table7[[#This Row],[CFDA]]), INDEX(MemberOrgs_Control[Row], MATCH(Table7[[#This Row],[Desired Order]], MemberOrgs_Control['#], 0)), "")</f>
        <v>352</v>
      </c>
    </row>
    <row r="6" spans="1:18" x14ac:dyDescent="0.25">
      <c r="A6">
        <f>IF(OR(MemberOrgControl!$B9 = "", MemberOrgControl!$B9 &lt;0), "", INDEX(MemberOrgsData[CFDA], MemberOrgControl!$B9))</f>
        <v>84.043999999999997</v>
      </c>
      <c r="C6">
        <f>IFERROR(INDEX(AllCFDAs[All CFDAs], MATCH(0, INDEX(COUNTIF($C$3:C5, AllCFDAs[All CFDAs]),),0)), "")</f>
        <v>84.043999999999997</v>
      </c>
      <c r="D6" t="str">
        <f t="array" ref="D6">IFERROR(INDEX(MemberOrgsData[FEDERALPROGRAMNAME], MATCH(1, (SelectMemberOrgs = MemberOrgsData[Auditee Name])*(MemberOrgs_SortedTable[[#This Row],[Unique CFDA]]= MemberOrgsData[CFDA]), 0)), "")</f>
        <v>TRIO_TALENT SEARCH</v>
      </c>
      <c r="E6" s="20">
        <f t="array" ref="E6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>570294</v>
      </c>
      <c r="F6" s="21" t="str">
        <f t="array" ref="F6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>No Budget Data</v>
      </c>
      <c r="G6" s="19" t="str">
        <f>IF(MemberOrgs_SortedTable[[#This Row],[Unique CFDA]] = "", "", IFERROR(MemberOrgs_SortedTable[[#This Row],[FY 2018 Total]]*MemberOrgs_SortedTable[[#This Row],[President % Change]], "No Budget Data"))</f>
        <v>No Budget Data</v>
      </c>
      <c r="H6" s="21" t="str">
        <f t="array" ref="H6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>No Budget Data</v>
      </c>
      <c r="I6" s="19" t="str">
        <f>IF(MemberOrgs_SortedTable[[#This Row],[Unique CFDA]] = "", "", IFERROR(MemberOrgs_SortedTable[[#This Row],[FY 2018 Total]]*MemberOrgs_SortedTable[[#This Row],[House % Change]], "No Budget Data"))</f>
        <v>No Budget Data</v>
      </c>
      <c r="K6" s="19">
        <f>IF(MemberOrgs_SortedTable[[#This Row],[Unique CFDA]] = "", "", IFERROR(MemberOrgs_SortedTable[[#This Row],[FY 2018 Total]]*MemberOrgs_SortedTable[[#This Row],[Senate Budget]], "No Budget Data"))</f>
        <v>0</v>
      </c>
      <c r="L6">
        <f>IF(MemberOrgs_SortedTable[[#This Row],[Unique CFDA]] = "", "", IF(ISNUMBER(MemberOrgs_SortedTable[[#This Row],[President $ Change]]), RANK(MemberOrgs_SortedTable[[#This Row],[President $ Change]], $G$4:$G$227)+COUNTIF($G$4:G6, G6)-1, 0))</f>
        <v>0</v>
      </c>
      <c r="M6">
        <f>IFERROR((IF(MemberOrgs_SortedTable[[#This Row],[Sort 1]] = 0, COUNTIF($L$4:L6, 0), "")+MAX(MemberOrgs_SortedTable[Sort 1])), "")</f>
        <v>13</v>
      </c>
      <c r="N6">
        <f>IF(MemberOrgs_SortedTable[[#This Row],[Sort 1]]&gt;0, MemberOrgs_SortedTable[[#This Row],[Sort 1]], MemberOrgs_SortedTable[[#This Row],[Sort 2]])</f>
        <v>13</v>
      </c>
      <c r="P6">
        <v>3</v>
      </c>
      <c r="Q6">
        <f>IFERROR(INDEX(MemberOrgs_SortedTable[Unique CFDA], MATCH(Table7[[#This Row],[Desired Order]], MemberOrgs_SortedTable[Final Pres. Sort], 0)), "")</f>
        <v>93.052999999999997</v>
      </c>
      <c r="R6" s="1">
        <f>IF(ISNUMBER(Table7[[#This Row],[CFDA]]), INDEX(MemberOrgs_Control[Row], MATCH(Table7[[#This Row],[Desired Order]], MemberOrgs_Control['#], 0)), "")</f>
        <v>353</v>
      </c>
    </row>
    <row r="7" spans="1:18" x14ac:dyDescent="0.25">
      <c r="A7">
        <f>IF(OR(MemberOrgControl!$B10 = "", MemberOrgControl!$B10 &lt;0), "", INDEX(MemberOrgsData[CFDA], MemberOrgControl!$B10))</f>
        <v>94.019000000000005</v>
      </c>
      <c r="C7">
        <f>IFERROR(INDEX(AllCFDAs[All CFDAs], MATCH(0, INDEX(COUNTIF($C$3:C6, AllCFDAs[All CFDAs]),),0)), "")</f>
        <v>94.019000000000005</v>
      </c>
      <c r="D7" t="str">
        <f t="array" ref="D7">IFERROR(INDEX(MemberOrgsData[FEDERALPROGRAMNAME], MATCH(1, (SelectMemberOrgs = MemberOrgsData[Auditee Name])*(MemberOrgs_SortedTable[[#This Row],[Unique CFDA]]= MemberOrgsData[CFDA]), 0)), "")</f>
        <v>SOCIAL INNOVATION FUND</v>
      </c>
      <c r="E7" s="20">
        <f t="array" ref="E7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>24672</v>
      </c>
      <c r="F7" s="21" t="str">
        <f t="array" ref="F7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>No Budget Data</v>
      </c>
      <c r="G7" s="19" t="str">
        <f>IF(MemberOrgs_SortedTable[[#This Row],[Unique CFDA]] = "", "", IFERROR(MemberOrgs_SortedTable[[#This Row],[FY 2018 Total]]*MemberOrgs_SortedTable[[#This Row],[President % Change]], "No Budget Data"))</f>
        <v>No Budget Data</v>
      </c>
      <c r="H7" s="21" t="str">
        <f t="array" ref="H7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>No Budget Data</v>
      </c>
      <c r="I7" s="19" t="str">
        <f>IF(MemberOrgs_SortedTable[[#This Row],[Unique CFDA]] = "", "", IFERROR(MemberOrgs_SortedTable[[#This Row],[FY 2018 Total]]*MemberOrgs_SortedTable[[#This Row],[House % Change]], "No Budget Data"))</f>
        <v>No Budget Data</v>
      </c>
      <c r="K7" s="19">
        <f>IF(MemberOrgs_SortedTable[[#This Row],[Unique CFDA]] = "", "", IFERROR(MemberOrgs_SortedTable[[#This Row],[FY 2018 Total]]*MemberOrgs_SortedTable[[#This Row],[Senate Budget]], "No Budget Data"))</f>
        <v>0</v>
      </c>
      <c r="L7">
        <f>IF(MemberOrgs_SortedTable[[#This Row],[Unique CFDA]] = "", "", IF(ISNUMBER(MemberOrgs_SortedTable[[#This Row],[President $ Change]]), RANK(MemberOrgs_SortedTable[[#This Row],[President $ Change]], $G$4:$G$227)+COUNTIF($G$4:G7, G7)-1, 0))</f>
        <v>0</v>
      </c>
      <c r="M7">
        <f>IFERROR((IF(MemberOrgs_SortedTable[[#This Row],[Sort 1]] = 0, COUNTIF($L$4:L7, 0), "")+MAX(MemberOrgs_SortedTable[Sort 1])), "")</f>
        <v>14</v>
      </c>
      <c r="N7">
        <f>IF(MemberOrgs_SortedTable[[#This Row],[Sort 1]]&gt;0, MemberOrgs_SortedTable[[#This Row],[Sort 1]], MemberOrgs_SortedTable[[#This Row],[Sort 2]])</f>
        <v>14</v>
      </c>
      <c r="P7">
        <v>4</v>
      </c>
      <c r="Q7">
        <f>IFERROR(INDEX(MemberOrgs_SortedTable[Unique CFDA], MATCH(Table7[[#This Row],[Desired Order]], MemberOrgs_SortedTable[Final Pres. Sort], 0)), "")</f>
        <v>93.045000000000002</v>
      </c>
      <c r="R7" s="1">
        <f>IF(ISNUMBER(Table7[[#This Row],[CFDA]]), INDEX(MemberOrgs_Control[Row], MATCH(Table7[[#This Row],[Desired Order]], MemberOrgs_Control['#], 0)), "")</f>
        <v>354</v>
      </c>
    </row>
    <row r="8" spans="1:18" x14ac:dyDescent="0.25">
      <c r="A8">
        <f>IF(OR(MemberOrgControl!$B11 = "", MemberOrgControl!$B11 &lt;0), "", INDEX(MemberOrgsData[CFDA], MemberOrgControl!$B11))</f>
        <v>10.558</v>
      </c>
      <c r="C8">
        <f>IFERROR(INDEX(AllCFDAs[All CFDAs], MATCH(0, INDEX(COUNTIF($C$3:C7, AllCFDAs[All CFDAs]),),0)), "")</f>
        <v>10.558</v>
      </c>
      <c r="D8" t="str">
        <f t="array" ref="D8">IFERROR(INDEX(MemberOrgsData[FEDERALPROGRAMNAME], MATCH(1, (SelectMemberOrgs = MemberOrgsData[Auditee Name])*(MemberOrgs_SortedTable[[#This Row],[Unique CFDA]]= MemberOrgsData[CFDA]), 0)), "")</f>
        <v>CHILD AND ADULT CARE FOOD PROGRAM</v>
      </c>
      <c r="E8" s="20">
        <f t="array" ref="E8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>813939</v>
      </c>
      <c r="F8" s="21">
        <f t="array" ref="F8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>6.0000000000000001E-3</v>
      </c>
      <c r="G8" s="19">
        <f>IF(MemberOrgs_SortedTable[[#This Row],[Unique CFDA]] = "", "", IFERROR(MemberOrgs_SortedTable[[#This Row],[FY 2018 Total]]*MemberOrgs_SortedTable[[#This Row],[President % Change]], "No Budget Data"))</f>
        <v>4883.634</v>
      </c>
      <c r="H8" s="21" t="str">
        <f t="array" ref="H8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8" s="19" t="str">
        <f>IF(MemberOrgs_SortedTable[[#This Row],[Unique CFDA]] = "", "", IFERROR(MemberOrgs_SortedTable[[#This Row],[FY 2018 Total]]*MemberOrgs_SortedTable[[#This Row],[House % Change]], "No Budget Data"))</f>
        <v>No Budget Data</v>
      </c>
      <c r="K8" s="19">
        <f>IF(MemberOrgs_SortedTable[[#This Row],[Unique CFDA]] = "", "", IFERROR(MemberOrgs_SortedTable[[#This Row],[FY 2018 Total]]*MemberOrgs_SortedTable[[#This Row],[Senate Budget]], "No Budget Data"))</f>
        <v>0</v>
      </c>
      <c r="L8">
        <f>IF(MemberOrgs_SortedTable[[#This Row],[Unique CFDA]] = "", "", IF(ISNUMBER(MemberOrgs_SortedTable[[#This Row],[President $ Change]]), RANK(MemberOrgs_SortedTable[[#This Row],[President $ Change]], $G$4:$G$227)+COUNTIF($G$4:G8, G8)-1, 0))</f>
        <v>1</v>
      </c>
      <c r="M8" t="str">
        <f>IFERROR((IF(MemberOrgs_SortedTable[[#This Row],[Sort 1]] = 0, COUNTIF($L$4:L8, 0), "")+MAX(MemberOrgs_SortedTable[Sort 1])), "")</f>
        <v/>
      </c>
      <c r="N8">
        <f>IF(MemberOrgs_SortedTable[[#This Row],[Sort 1]]&gt;0, MemberOrgs_SortedTable[[#This Row],[Sort 1]], MemberOrgs_SortedTable[[#This Row],[Sort 2]])</f>
        <v>1</v>
      </c>
      <c r="P8">
        <v>5</v>
      </c>
      <c r="Q8">
        <f>IFERROR(INDEX(MemberOrgs_SortedTable[Unique CFDA], MATCH(Table7[[#This Row],[Desired Order]], MemberOrgs_SortedTable[Final Pres. Sort], 0)), "")</f>
        <v>93.558000000000007</v>
      </c>
      <c r="R8" s="1">
        <f>IF(ISNUMBER(Table7[[#This Row],[CFDA]]), INDEX(MemberOrgs_Control[Row], MATCH(Table7[[#This Row],[Desired Order]], MemberOrgs_Control['#], 0)), "")</f>
        <v>355</v>
      </c>
    </row>
    <row r="9" spans="1:18" x14ac:dyDescent="0.25">
      <c r="A9">
        <f>IF(OR(MemberOrgControl!$B12 = "", MemberOrgControl!$B12 &lt;0), "", INDEX(MemberOrgsData[CFDA], MemberOrgControl!$B12))</f>
        <v>14.228</v>
      </c>
      <c r="C9">
        <f>IFERROR(INDEX(AllCFDAs[All CFDAs], MATCH(0, INDEX(COUNTIF($C$3:C8, AllCFDAs[All CFDAs]),),0)), "")</f>
        <v>14.228</v>
      </c>
      <c r="D9" t="str">
        <f t="array" ref="D9">IFERROR(INDEX(MemberOrgsData[FEDERALPROGRAMNAME], MATCH(1, (SelectMemberOrgs = MemberOrgsData[Auditee Name])*(MemberOrgs_SortedTable[[#This Row],[Unique CFDA]]= MemberOrgsData[CFDA]), 0)), "")</f>
        <v>COMMUNITY DEVELOPMENT BLOCK GRANT</v>
      </c>
      <c r="E9" s="20">
        <f t="array" ref="E9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>256789</v>
      </c>
      <c r="F9" s="21">
        <f t="array" ref="F9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>-1</v>
      </c>
      <c r="G9" s="19">
        <f>IF(MemberOrgs_SortedTable[[#This Row],[Unique CFDA]] = "", "", IFERROR(MemberOrgs_SortedTable[[#This Row],[FY 2018 Total]]*MemberOrgs_SortedTable[[#This Row],[President % Change]], "No Budget Data"))</f>
        <v>-256789</v>
      </c>
      <c r="H9" s="21">
        <f t="array" ref="H9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>9.1093117408906882E-2</v>
      </c>
      <c r="I9" s="19">
        <f>IF(MemberOrgs_SortedTable[[#This Row],[Unique CFDA]] = "", "", IFERROR(MemberOrgs_SortedTable[[#This Row],[FY 2018 Total]]*MemberOrgs_SortedTable[[#This Row],[House % Change]], "No Budget Data"))</f>
        <v>23391.71052631579</v>
      </c>
      <c r="K9" s="19">
        <f>IF(MemberOrgs_SortedTable[[#This Row],[Unique CFDA]] = "", "", IFERROR(MemberOrgs_SortedTable[[#This Row],[FY 2018 Total]]*MemberOrgs_SortedTable[[#This Row],[Senate Budget]], "No Budget Data"))</f>
        <v>0</v>
      </c>
      <c r="L9">
        <f>IF(MemberOrgs_SortedTable[[#This Row],[Unique CFDA]] = "", "", IF(ISNUMBER(MemberOrgs_SortedTable[[#This Row],[President $ Change]]), RANK(MemberOrgs_SortedTable[[#This Row],[President $ Change]], $G$4:$G$227)+COUNTIF($G$4:G9, G9)-1, 0))</f>
        <v>10</v>
      </c>
      <c r="M9" t="str">
        <f>IFERROR((IF(MemberOrgs_SortedTable[[#This Row],[Sort 1]] = 0, COUNTIF($L$4:L9, 0), "")+MAX(MemberOrgs_SortedTable[Sort 1])), "")</f>
        <v/>
      </c>
      <c r="N9">
        <f>IF(MemberOrgs_SortedTable[[#This Row],[Sort 1]]&gt;0, MemberOrgs_SortedTable[[#This Row],[Sort 1]], MemberOrgs_SortedTable[[#This Row],[Sort 2]])</f>
        <v>10</v>
      </c>
      <c r="P9">
        <v>6</v>
      </c>
      <c r="Q9">
        <f>IFERROR(INDEX(MemberOrgs_SortedTable[Unique CFDA], MATCH(Table7[[#This Row],[Desired Order]], MemberOrgs_SortedTable[Final Pres. Sort], 0)), "")</f>
        <v>97.024000000000001</v>
      </c>
      <c r="R9" s="1">
        <f>IF(ISNUMBER(Table7[[#This Row],[CFDA]]), INDEX(MemberOrgs_Control[Row], MATCH(Table7[[#This Row],[Desired Order]], MemberOrgs_Control['#], 0)), "")</f>
        <v>356</v>
      </c>
    </row>
    <row r="10" spans="1:18" x14ac:dyDescent="0.25">
      <c r="A10">
        <f>IF(OR(MemberOrgControl!$B13 = "", MemberOrgControl!$B13 &lt;0), "", INDEX(MemberOrgsData[CFDA], MemberOrgControl!$B13))</f>
        <v>84.001999999999995</v>
      </c>
      <c r="C10">
        <f>IFERROR(INDEX(AllCFDAs[All CFDAs], MATCH(0, INDEX(COUNTIF($C$3:C9, AllCFDAs[All CFDAs]),),0)), "")</f>
        <v>84.001999999999995</v>
      </c>
      <c r="D10" t="str">
        <f t="array" ref="D10">IFERROR(INDEX(MemberOrgsData[FEDERALPROGRAMNAME], MATCH(1, (SelectMemberOrgs = MemberOrgsData[Auditee Name])*(MemberOrgs_SortedTable[[#This Row],[Unique CFDA]]= MemberOrgsData[CFDA]), 0)), "")</f>
        <v>ADULT EDUCATION - BASIC GRANTS TO STATES</v>
      </c>
      <c r="E10" s="20">
        <f t="array" ref="E10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>549687</v>
      </c>
      <c r="F10" s="21">
        <f t="array" ref="F10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>-0.24299065420560748</v>
      </c>
      <c r="G10" s="19">
        <f>IF(MemberOrgs_SortedTable[[#This Row],[Unique CFDA]] = "", "", IFERROR(MemberOrgs_SortedTable[[#This Row],[FY 2018 Total]]*MemberOrgs_SortedTable[[#This Row],[President % Change]], "No Budget Data"))</f>
        <v>-133568.80373831774</v>
      </c>
      <c r="H10" s="21">
        <f t="array" ref="H10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>4.6728971962616821E-2</v>
      </c>
      <c r="I10" s="19">
        <f>IF(MemberOrgs_SortedTable[[#This Row],[Unique CFDA]] = "", "", IFERROR(MemberOrgs_SortedTable[[#This Row],[FY 2018 Total]]*MemberOrgs_SortedTable[[#This Row],[House % Change]], "No Budget Data"))</f>
        <v>25686.308411214952</v>
      </c>
      <c r="K10" s="19">
        <f>IF(MemberOrgs_SortedTable[[#This Row],[Unique CFDA]] = "", "", IFERROR(MemberOrgs_SortedTable[[#This Row],[FY 2018 Total]]*MemberOrgs_SortedTable[[#This Row],[Senate Budget]], "No Budget Data"))</f>
        <v>0</v>
      </c>
      <c r="L10">
        <f>IF(MemberOrgs_SortedTable[[#This Row],[Unique CFDA]] = "", "", IF(ISNUMBER(MemberOrgs_SortedTable[[#This Row],[President $ Change]]), RANK(MemberOrgs_SortedTable[[#This Row],[President $ Change]], $G$4:$G$227)+COUNTIF($G$4:G10, G10)-1, 0))</f>
        <v>9</v>
      </c>
      <c r="M10" t="str">
        <f>IFERROR((IF(MemberOrgs_SortedTable[[#This Row],[Sort 1]] = 0, COUNTIF($L$4:L10, 0), "")+MAX(MemberOrgs_SortedTable[Sort 1])), "")</f>
        <v/>
      </c>
      <c r="N10">
        <f>IF(MemberOrgs_SortedTable[[#This Row],[Sort 1]]&gt;0, MemberOrgs_SortedTable[[#This Row],[Sort 1]], MemberOrgs_SortedTable[[#This Row],[Sort 2]])</f>
        <v>9</v>
      </c>
      <c r="P10">
        <v>7</v>
      </c>
      <c r="Q10">
        <f>IFERROR(INDEX(MemberOrgs_SortedTable[Unique CFDA], MATCH(Table7[[#This Row],[Desired Order]], MemberOrgs_SortedTable[Final Pres. Sort], 0)), "")</f>
        <v>93.667000000000002</v>
      </c>
      <c r="R10" s="1">
        <f>IF(ISNUMBER(Table7[[#This Row],[CFDA]]), INDEX(MemberOrgs_Control[Row], MATCH(Table7[[#This Row],[Desired Order]], MemberOrgs_Control['#], 0)), "")</f>
        <v>357</v>
      </c>
    </row>
    <row r="11" spans="1:18" x14ac:dyDescent="0.25">
      <c r="A11">
        <f>IF(OR(MemberOrgControl!$B14 = "", MemberOrgControl!$B14 &lt;0), "", INDEX(MemberOrgsData[CFDA], MemberOrgControl!$B14))</f>
        <v>93.045000000000002</v>
      </c>
      <c r="C11">
        <f>IFERROR(INDEX(AllCFDAs[All CFDAs], MATCH(0, INDEX(COUNTIF($C$3:C10, AllCFDAs[All CFDAs]),),0)), "")</f>
        <v>93.045000000000002</v>
      </c>
      <c r="D11" t="str">
        <f t="array" ref="D11">IFERROR(INDEX(MemberOrgsData[FEDERALPROGRAMNAME], MATCH(1, (SelectMemberOrgs = MemberOrgsData[Auditee Name])*(MemberOrgs_SortedTable[[#This Row],[Unique CFDA]]= MemberOrgsData[CFDA]), 0)), "")</f>
        <v>SPECIAL PROGRAMS FOR THE AGING_TITLE III, PART C_NUTRITION SERVICES</v>
      </c>
      <c r="E11" s="20">
        <f t="array" ref="E11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>38752</v>
      </c>
      <c r="F11" s="21">
        <f t="array" ref="F11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>-2.1999999999999999E-2</v>
      </c>
      <c r="G11" s="19">
        <f>IF(MemberOrgs_SortedTable[[#This Row],[Unique CFDA]] = "", "", IFERROR(MemberOrgs_SortedTable[[#This Row],[FY 2018 Total]]*MemberOrgs_SortedTable[[#This Row],[President % Change]], "No Budget Data"))</f>
        <v>-852.54399999999998</v>
      </c>
      <c r="H11" s="21">
        <f t="array" ref="H11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>5.9873784173359014E-2</v>
      </c>
      <c r="I11" s="19">
        <f>IF(MemberOrgs_SortedTable[[#This Row],[Unique CFDA]] = "", "", IFERROR(MemberOrgs_SortedTable[[#This Row],[FY 2018 Total]]*MemberOrgs_SortedTable[[#This Row],[House % Change]], "No Budget Data"))</f>
        <v>2320.2288842860085</v>
      </c>
      <c r="K11" s="19">
        <f>IF(MemberOrgs_SortedTable[[#This Row],[Unique CFDA]] = "", "", IFERROR(MemberOrgs_SortedTable[[#This Row],[FY 2018 Total]]*MemberOrgs_SortedTable[[#This Row],[Senate Budget]], "No Budget Data"))</f>
        <v>0</v>
      </c>
      <c r="L11">
        <f>IF(MemberOrgs_SortedTable[[#This Row],[Unique CFDA]] = "", "", IF(ISNUMBER(MemberOrgs_SortedTable[[#This Row],[President $ Change]]), RANK(MemberOrgs_SortedTable[[#This Row],[President $ Change]], $G$4:$G$227)+COUNTIF($G$4:G11, G11)-1, 0))</f>
        <v>4</v>
      </c>
      <c r="M11" t="str">
        <f>IFERROR((IF(MemberOrgs_SortedTable[[#This Row],[Sort 1]] = 0, COUNTIF($L$4:L11, 0), "")+MAX(MemberOrgs_SortedTable[Sort 1])), "")</f>
        <v/>
      </c>
      <c r="N11">
        <f>IF(MemberOrgs_SortedTable[[#This Row],[Sort 1]]&gt;0, MemberOrgs_SortedTable[[#This Row],[Sort 1]], MemberOrgs_SortedTable[[#This Row],[Sort 2]])</f>
        <v>4</v>
      </c>
      <c r="P11">
        <v>8</v>
      </c>
      <c r="Q11">
        <f>IFERROR(INDEX(MemberOrgs_SortedTable[Unique CFDA], MATCH(Table7[[#This Row],[Desired Order]], MemberOrgs_SortedTable[Final Pres. Sort], 0)), "")</f>
        <v>93.569000000000003</v>
      </c>
      <c r="R11" s="1">
        <f>IF(ISNUMBER(Table7[[#This Row],[CFDA]]), INDEX(MemberOrgs_Control[Row], MATCH(Table7[[#This Row],[Desired Order]], MemberOrgs_Control['#], 0)), "")</f>
        <v>358</v>
      </c>
    </row>
    <row r="12" spans="1:18" x14ac:dyDescent="0.25">
      <c r="A12">
        <f>IF(OR(MemberOrgControl!$B15 = "", MemberOrgControl!$B15 &lt;0), "", INDEX(MemberOrgsData[CFDA], MemberOrgControl!$B15))</f>
        <v>93.052999999999997</v>
      </c>
      <c r="C12">
        <f>IFERROR(INDEX(AllCFDAs[All CFDAs], MATCH(0, INDEX(COUNTIF($C$3:C11, AllCFDAs[All CFDAs]),),0)), "")</f>
        <v>93.052999999999997</v>
      </c>
      <c r="D12" t="str">
        <f t="array" ref="D12">IFERROR(INDEX(MemberOrgsData[FEDERALPROGRAMNAME], MATCH(1, (SelectMemberOrgs = MemberOrgsData[Auditee Name])*(MemberOrgs_SortedTable[[#This Row],[Unique CFDA]]= MemberOrgsData[CFDA]), 0)), "")</f>
        <v>NUTRITION SERVICES INCENTIVE PROGRAM</v>
      </c>
      <c r="E12" s="20">
        <f t="array" ref="E12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>27481</v>
      </c>
      <c r="F12" s="21">
        <f t="array" ref="F12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>-6.2473058493524672E-6</v>
      </c>
      <c r="G12" s="19">
        <f>IF(MemberOrgs_SortedTable[[#This Row],[Unique CFDA]] = "", "", IFERROR(MemberOrgs_SortedTable[[#This Row],[FY 2018 Total]]*MemberOrgs_SortedTable[[#This Row],[President % Change]], "No Budget Data"))</f>
        <v>-0.17168221204605516</v>
      </c>
      <c r="H12" s="21">
        <f t="array" ref="H12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>6.204199438991935E-2</v>
      </c>
      <c r="I12" s="19">
        <f>IF(MemberOrgs_SortedTable[[#This Row],[Unique CFDA]] = "", "", IFERROR(MemberOrgs_SortedTable[[#This Row],[FY 2018 Total]]*MemberOrgs_SortedTable[[#This Row],[House % Change]], "No Budget Data"))</f>
        <v>1704.9760478293736</v>
      </c>
      <c r="K12" s="19">
        <f>IF(MemberOrgs_SortedTable[[#This Row],[Unique CFDA]] = "", "", IFERROR(MemberOrgs_SortedTable[[#This Row],[FY 2018 Total]]*MemberOrgs_SortedTable[[#This Row],[Senate Budget]], "No Budget Data"))</f>
        <v>0</v>
      </c>
      <c r="L12">
        <f>IF(MemberOrgs_SortedTable[[#This Row],[Unique CFDA]] = "", "", IF(ISNUMBER(MemberOrgs_SortedTable[[#This Row],[President $ Change]]), RANK(MemberOrgs_SortedTable[[#This Row],[President $ Change]], $G$4:$G$227)+COUNTIF($G$4:G12, G12)-1, 0))</f>
        <v>3</v>
      </c>
      <c r="M12" t="str">
        <f>IFERROR((IF(MemberOrgs_SortedTable[[#This Row],[Sort 1]] = 0, COUNTIF($L$4:L12, 0), "")+MAX(MemberOrgs_SortedTable[Sort 1])), "")</f>
        <v/>
      </c>
      <c r="N12">
        <f>IF(MemberOrgs_SortedTable[[#This Row],[Sort 1]]&gt;0, MemberOrgs_SortedTable[[#This Row],[Sort 1]], MemberOrgs_SortedTable[[#This Row],[Sort 2]])</f>
        <v>3</v>
      </c>
      <c r="P12">
        <v>9</v>
      </c>
      <c r="Q12">
        <f>IFERROR(INDEX(MemberOrgs_SortedTable[Unique CFDA], MATCH(Table7[[#This Row],[Desired Order]], MemberOrgs_SortedTable[Final Pres. Sort], 0)), "")</f>
        <v>84.001999999999995</v>
      </c>
      <c r="R12" s="1">
        <f>IF(ISNUMBER(Table7[[#This Row],[CFDA]]), INDEX(MemberOrgs_Control[Row], MATCH(Table7[[#This Row],[Desired Order]], MemberOrgs_Control['#], 0)), "")</f>
        <v>359</v>
      </c>
    </row>
    <row r="13" spans="1:18" x14ac:dyDescent="0.25">
      <c r="A13">
        <f>IF(OR(MemberOrgControl!$B16 = "", MemberOrgControl!$B16 &lt;0), "", INDEX(MemberOrgsData[CFDA], MemberOrgControl!$B16))</f>
        <v>93.558000000000007</v>
      </c>
      <c r="C13">
        <f>IFERROR(INDEX(AllCFDAs[All CFDAs], MATCH(0, INDEX(COUNTIF($C$3:C12, AllCFDAs[All CFDAs]),),0)), "")</f>
        <v>93.558000000000007</v>
      </c>
      <c r="D13" t="str">
        <f t="array" ref="D13">IFERROR(INDEX(MemberOrgsData[FEDERALPROGRAMNAME], MATCH(1, (SelectMemberOrgs = MemberOrgsData[Auditee Name])*(MemberOrgs_SortedTable[[#This Row],[Unique CFDA]]= MemberOrgsData[CFDA]), 0)), "")</f>
        <v>TEMPORARY ASSISTANCE FOR NEEDY FAMILIES</v>
      </c>
      <c r="E13" s="20">
        <f t="array" ref="E13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>64769</v>
      </c>
      <c r="F13" s="21">
        <f t="array" ref="F13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>-0.16</v>
      </c>
      <c r="G13" s="19">
        <f>IF(MemberOrgs_SortedTable[[#This Row],[Unique CFDA]] = "", "", IFERROR(MemberOrgs_SortedTable[[#This Row],[FY 2018 Total]]*MemberOrgs_SortedTable[[#This Row],[President % Change]], "No Budget Data"))</f>
        <v>-10363.040000000001</v>
      </c>
      <c r="H13" s="21" t="str">
        <f t="array" ref="H13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3" s="19" t="str">
        <f>IF(MemberOrgs_SortedTable[[#This Row],[Unique CFDA]] = "", "", IFERROR(MemberOrgs_SortedTable[[#This Row],[FY 2018 Total]]*MemberOrgs_SortedTable[[#This Row],[House % Change]], "No Budget Data"))</f>
        <v>No Budget Data</v>
      </c>
      <c r="K13" s="19">
        <f>IF(MemberOrgs_SortedTable[[#This Row],[Unique CFDA]] = "", "", IFERROR(MemberOrgs_SortedTable[[#This Row],[FY 2018 Total]]*MemberOrgs_SortedTable[[#This Row],[Senate Budget]], "No Budget Data"))</f>
        <v>0</v>
      </c>
      <c r="L13">
        <f>IF(MemberOrgs_SortedTable[[#This Row],[Unique CFDA]] = "", "", IF(ISNUMBER(MemberOrgs_SortedTable[[#This Row],[President $ Change]]), RANK(MemberOrgs_SortedTable[[#This Row],[President $ Change]], $G$4:$G$227)+COUNTIF($G$4:G13, G13)-1, 0))</f>
        <v>5</v>
      </c>
      <c r="M13" t="str">
        <f>IFERROR((IF(MemberOrgs_SortedTable[[#This Row],[Sort 1]] = 0, COUNTIF($L$4:L13, 0), "")+MAX(MemberOrgs_SortedTable[Sort 1])), "")</f>
        <v/>
      </c>
      <c r="N13">
        <f>IF(MemberOrgs_SortedTable[[#This Row],[Sort 1]]&gt;0, MemberOrgs_SortedTable[[#This Row],[Sort 1]], MemberOrgs_SortedTable[[#This Row],[Sort 2]])</f>
        <v>5</v>
      </c>
      <c r="P13">
        <v>10</v>
      </c>
      <c r="Q13">
        <f>IFERROR(INDEX(MemberOrgs_SortedTable[Unique CFDA], MATCH(Table7[[#This Row],[Desired Order]], MemberOrgs_SortedTable[Final Pres. Sort], 0)), "")</f>
        <v>14.228</v>
      </c>
      <c r="R13" s="1">
        <f>IF(ISNUMBER(Table7[[#This Row],[CFDA]]), INDEX(MemberOrgs_Control[Row], MATCH(Table7[[#This Row],[Desired Order]], MemberOrgs_Control['#], 0)), "")</f>
        <v>360</v>
      </c>
    </row>
    <row r="14" spans="1:18" x14ac:dyDescent="0.25">
      <c r="A14">
        <f>IF(OR(MemberOrgControl!$B17 = "", MemberOrgControl!$B17 &lt;0), "", INDEX(MemberOrgsData[CFDA], MemberOrgControl!$B17))</f>
        <v>93.569000000000003</v>
      </c>
      <c r="C14">
        <f>IFERROR(INDEX(AllCFDAs[All CFDAs], MATCH(0, INDEX(COUNTIF($C$3:C13, AllCFDAs[All CFDAs]),),0)), "")</f>
        <v>93.569000000000003</v>
      </c>
      <c r="D14" t="str">
        <f t="array" ref="D14">IFERROR(INDEX(MemberOrgsData[FEDERALPROGRAMNAME], MATCH(1, (SelectMemberOrgs = MemberOrgsData[Auditee Name])*(MemberOrgs_SortedTable[[#This Row],[Unique CFDA]]= MemberOrgsData[CFDA]), 0)), "")</f>
        <v>COMMUNITY SERVICES BLOCK GRANT</v>
      </c>
      <c r="E14" s="20">
        <f t="array" ref="E14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>130300</v>
      </c>
      <c r="F14" s="21">
        <f t="array" ref="F14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>-1</v>
      </c>
      <c r="G14" s="19">
        <f>IF(MemberOrgs_SortedTable[[#This Row],[Unique CFDA]] = "", "", IFERROR(MemberOrgs_SortedTable[[#This Row],[FY 2018 Total]]*MemberOrgs_SortedTable[[#This Row],[President % Change]], "No Budget Data"))</f>
        <v>-130300</v>
      </c>
      <c r="H14" s="21">
        <f t="array" ref="H14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>4.8275862068965517E-2</v>
      </c>
      <c r="I14" s="19">
        <f>IF(MemberOrgs_SortedTable[[#This Row],[Unique CFDA]] = "", "", IFERROR(MemberOrgs_SortedTable[[#This Row],[FY 2018 Total]]*MemberOrgs_SortedTable[[#This Row],[House % Change]], "No Budget Data"))</f>
        <v>6290.3448275862065</v>
      </c>
      <c r="K14" s="19">
        <f>IF(MemberOrgs_SortedTable[[#This Row],[Unique CFDA]] = "", "", IFERROR(MemberOrgs_SortedTable[[#This Row],[FY 2018 Total]]*MemberOrgs_SortedTable[[#This Row],[Senate Budget]], "No Budget Data"))</f>
        <v>0</v>
      </c>
      <c r="L14">
        <f>IF(MemberOrgs_SortedTable[[#This Row],[Unique CFDA]] = "", "", IF(ISNUMBER(MemberOrgs_SortedTable[[#This Row],[President $ Change]]), RANK(MemberOrgs_SortedTable[[#This Row],[President $ Change]], $G$4:$G$227)+COUNTIF($G$4:G14, G14)-1, 0))</f>
        <v>8</v>
      </c>
      <c r="M14" t="str">
        <f>IFERROR((IF(MemberOrgs_SortedTable[[#This Row],[Sort 1]] = 0, COUNTIF($L$4:L14, 0), "")+MAX(MemberOrgs_SortedTable[Sort 1])), "")</f>
        <v/>
      </c>
      <c r="N14">
        <f>IF(MemberOrgs_SortedTable[[#This Row],[Sort 1]]&gt;0, MemberOrgs_SortedTable[[#This Row],[Sort 1]], MemberOrgs_SortedTable[[#This Row],[Sort 2]])</f>
        <v>8</v>
      </c>
      <c r="P14">
        <v>11</v>
      </c>
      <c r="Q14">
        <f>IFERROR(INDEX(MemberOrgs_SortedTable[Unique CFDA], MATCH(Table7[[#This Row],[Desired Order]], MemberOrgs_SortedTable[Final Pres. Sort], 0)), "")</f>
        <v>14.269</v>
      </c>
      <c r="R14" s="1">
        <f>IF(ISNUMBER(Table7[[#This Row],[CFDA]]), INDEX(MemberOrgs_Control[Row], MATCH(Table7[[#This Row],[Desired Order]], MemberOrgs_Control['#], 0)), "")</f>
        <v>361</v>
      </c>
    </row>
    <row r="15" spans="1:18" x14ac:dyDescent="0.25">
      <c r="A15">
        <f>IF(OR(MemberOrgControl!$B18 = "", MemberOrgControl!$B18 &lt;0), "", INDEX(MemberOrgsData[CFDA], MemberOrgControl!$B18))</f>
        <v>93.6</v>
      </c>
      <c r="C15">
        <f>IFERROR(INDEX(AllCFDAs[All CFDAs], MATCH(0, INDEX(COUNTIF($C$3:C14, AllCFDAs[All CFDAs]),),0)), "")</f>
        <v>93.6</v>
      </c>
      <c r="D15" t="str">
        <f t="array" ref="D15">IFERROR(INDEX(MemberOrgsData[FEDERALPROGRAMNAME], MATCH(1, (SelectMemberOrgs = MemberOrgsData[Auditee Name])*(MemberOrgs_SortedTable[[#This Row],[Unique CFDA]]= MemberOrgsData[CFDA]), 0)), "")</f>
        <v>HEAD START</v>
      </c>
      <c r="E15" s="20">
        <f t="array" ref="E15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>5043590</v>
      </c>
      <c r="F15" s="21">
        <f t="array" ref="F15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>0</v>
      </c>
      <c r="G15" s="19">
        <f>IF(MemberOrgs_SortedTable[[#This Row],[Unique CFDA]] = "", "", IFERROR(MemberOrgs_SortedTable[[#This Row],[FY 2018 Total]]*MemberOrgs_SortedTable[[#This Row],[President % Change]], "No Budget Data"))</f>
        <v>0</v>
      </c>
      <c r="H15" s="21">
        <f t="array" ref="H15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>0.14906091622776507</v>
      </c>
      <c r="I15" s="19">
        <f>IF(MemberOrgs_SortedTable[[#This Row],[Unique CFDA]] = "", "", IFERROR(MemberOrgs_SortedTable[[#This Row],[FY 2018 Total]]*MemberOrgs_SortedTable[[#This Row],[House % Change]], "No Budget Data"))</f>
        <v>751802.14647719369</v>
      </c>
      <c r="K15" s="19">
        <f>IF(MemberOrgs_SortedTable[[#This Row],[Unique CFDA]] = "", "", IFERROR(MemberOrgs_SortedTable[[#This Row],[FY 2018 Total]]*MemberOrgs_SortedTable[[#This Row],[Senate Budget]], "No Budget Data"))</f>
        <v>0</v>
      </c>
      <c r="L15">
        <f>IF(MemberOrgs_SortedTable[[#This Row],[Unique CFDA]] = "", "", IF(ISNUMBER(MemberOrgs_SortedTable[[#This Row],[President $ Change]]), RANK(MemberOrgs_SortedTable[[#This Row],[President $ Change]], $G$4:$G$227)+COUNTIF($G$4:G15, G15)-1, 0))</f>
        <v>2</v>
      </c>
      <c r="M15" t="str">
        <f>IFERROR((IF(MemberOrgs_SortedTable[[#This Row],[Sort 1]] = 0, COUNTIF($L$4:L15, 0), "")+MAX(MemberOrgs_SortedTable[Sort 1])), "")</f>
        <v/>
      </c>
      <c r="N15">
        <f>IF(MemberOrgs_SortedTable[[#This Row],[Sort 1]]&gt;0, MemberOrgs_SortedTable[[#This Row],[Sort 1]], MemberOrgs_SortedTable[[#This Row],[Sort 2]])</f>
        <v>2</v>
      </c>
      <c r="P15">
        <v>12</v>
      </c>
      <c r="Q15">
        <f>IFERROR(INDEX(MemberOrgs_SortedTable[Unique CFDA], MATCH(Table7[[#This Row],[Desired Order]], MemberOrgs_SortedTable[Final Pres. Sort], 0)), "")</f>
        <v>45.024000000000001</v>
      </c>
      <c r="R15" s="1">
        <f>IF(ISNUMBER(Table7[[#This Row],[CFDA]]), INDEX(MemberOrgs_Control[Row], MATCH(Table7[[#This Row],[Desired Order]], MemberOrgs_Control['#], 0)), "")</f>
        <v>362</v>
      </c>
    </row>
    <row r="16" spans="1:18" x14ac:dyDescent="0.25">
      <c r="A16">
        <f>IF(OR(MemberOrgControl!$B19 = "", MemberOrgControl!$B19 &lt;0), "", INDEX(MemberOrgsData[CFDA], MemberOrgControl!$B19))</f>
        <v>93.6</v>
      </c>
      <c r="C16">
        <f>IFERROR(INDEX(AllCFDAs[All CFDAs], MATCH(0, INDEX(COUNTIF($C$3:C15, AllCFDAs[All CFDAs]),),0)), "")</f>
        <v>93.667000000000002</v>
      </c>
      <c r="D16" t="str">
        <f t="array" ref="D16">IFERROR(INDEX(MemberOrgsData[FEDERALPROGRAMNAME], MATCH(1, (SelectMemberOrgs = MemberOrgsData[Auditee Name])*(MemberOrgs_SortedTable[[#This Row],[Unique CFDA]]= MemberOrgsData[CFDA]), 0)), "")</f>
        <v>SOCIAL SERVICES BLOCK GRANT</v>
      </c>
      <c r="E16" s="20">
        <f t="array" ref="E16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>64519</v>
      </c>
      <c r="F16" s="21">
        <f t="array" ref="F16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>-1</v>
      </c>
      <c r="G16" s="19">
        <f>IF(MemberOrgs_SortedTable[[#This Row],[Unique CFDA]] = "", "", IFERROR(MemberOrgs_SortedTable[[#This Row],[FY 2018 Total]]*MemberOrgs_SortedTable[[#This Row],[President % Change]], "No Budget Data"))</f>
        <v>-64519</v>
      </c>
      <c r="H16" s="21">
        <f t="array" ref="H16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>3.134796238244514E-3</v>
      </c>
      <c r="I16" s="19">
        <f>IF(MemberOrgs_SortedTable[[#This Row],[Unique CFDA]] = "", "", IFERROR(MemberOrgs_SortedTable[[#This Row],[FY 2018 Total]]*MemberOrgs_SortedTable[[#This Row],[House % Change]], "No Budget Data"))</f>
        <v>202.2539184952978</v>
      </c>
      <c r="K16" s="19">
        <f>IF(MemberOrgs_SortedTable[[#This Row],[Unique CFDA]] = "", "", IFERROR(MemberOrgs_SortedTable[[#This Row],[FY 2018 Total]]*MemberOrgs_SortedTable[[#This Row],[Senate Budget]], "No Budget Data"))</f>
        <v>0</v>
      </c>
      <c r="L16">
        <f>IF(MemberOrgs_SortedTable[[#This Row],[Unique CFDA]] = "", "", IF(ISNUMBER(MemberOrgs_SortedTable[[#This Row],[President $ Change]]), RANK(MemberOrgs_SortedTable[[#This Row],[President $ Change]], $G$4:$G$227)+COUNTIF($G$4:G16, G16)-1, 0))</f>
        <v>7</v>
      </c>
      <c r="M16" t="str">
        <f>IFERROR((IF(MemberOrgs_SortedTable[[#This Row],[Sort 1]] = 0, COUNTIF($L$4:L16, 0), "")+MAX(MemberOrgs_SortedTable[Sort 1])), "")</f>
        <v/>
      </c>
      <c r="N16">
        <f>IF(MemberOrgs_SortedTable[[#This Row],[Sort 1]]&gt;0, MemberOrgs_SortedTable[[#This Row],[Sort 1]], MemberOrgs_SortedTable[[#This Row],[Sort 2]])</f>
        <v>7</v>
      </c>
      <c r="P16">
        <v>13</v>
      </c>
      <c r="Q16">
        <f>IFERROR(INDEX(MemberOrgs_SortedTable[Unique CFDA], MATCH(Table7[[#This Row],[Desired Order]], MemberOrgs_SortedTable[Final Pres. Sort], 0)), "")</f>
        <v>84.043999999999997</v>
      </c>
      <c r="R16" s="1">
        <f>IF(ISNUMBER(Table7[[#This Row],[CFDA]]), INDEX(MemberOrgs_Control[Row], MATCH(Table7[[#This Row],[Desired Order]], MemberOrgs_Control['#], 0)), "")</f>
        <v>363</v>
      </c>
    </row>
    <row r="17" spans="1:18" x14ac:dyDescent="0.25">
      <c r="A17">
        <f>IF(OR(MemberOrgControl!$B20 = "", MemberOrgControl!$B20 &lt;0), "", INDEX(MemberOrgsData[CFDA], MemberOrgControl!$B20))</f>
        <v>93.667000000000002</v>
      </c>
      <c r="C17">
        <f>IFERROR(INDEX(AllCFDAs[All CFDAs], MATCH(0, INDEX(COUNTIF($C$3:C16, AllCFDAs[All CFDAs]),),0)), "")</f>
        <v>97.024000000000001</v>
      </c>
      <c r="D17" t="str">
        <f t="array" ref="D17">IFERROR(INDEX(MemberOrgsData[FEDERALPROGRAMNAME], MATCH(1, (SelectMemberOrgs = MemberOrgsData[Auditee Name])*(MemberOrgs_SortedTable[[#This Row],[Unique CFDA]]= MemberOrgsData[CFDA]), 0)), "")</f>
        <v>EMERGENCY FOOD AND SHELTER NATIONAL BOARD PROGRAM</v>
      </c>
      <c r="E17" s="20">
        <f t="array" ref="E17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>29394</v>
      </c>
      <c r="F17" s="21">
        <f t="array" ref="F17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>-1</v>
      </c>
      <c r="G17" s="19">
        <f>IF(MemberOrgs_SortedTable[[#This Row],[Unique CFDA]] = "", "", IFERROR(MemberOrgs_SortedTable[[#This Row],[FY 2018 Total]]*MemberOrgs_SortedTable[[#This Row],[President % Change]], "No Budget Data"))</f>
        <v>-29394</v>
      </c>
      <c r="H17" s="21">
        <f t="array" ref="H17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>8.3333333333333329E-2</v>
      </c>
      <c r="I17" s="19">
        <f>IF(MemberOrgs_SortedTable[[#This Row],[Unique CFDA]] = "", "", IFERROR(MemberOrgs_SortedTable[[#This Row],[FY 2018 Total]]*MemberOrgs_SortedTable[[#This Row],[House % Change]], "No Budget Data"))</f>
        <v>2449.5</v>
      </c>
      <c r="K17" s="19">
        <f>IF(MemberOrgs_SortedTable[[#This Row],[Unique CFDA]] = "", "", IFERROR(MemberOrgs_SortedTable[[#This Row],[FY 2018 Total]]*MemberOrgs_SortedTable[[#This Row],[Senate Budget]], "No Budget Data"))</f>
        <v>0</v>
      </c>
      <c r="L17">
        <f>IF(MemberOrgs_SortedTable[[#This Row],[Unique CFDA]] = "", "", IF(ISNUMBER(MemberOrgs_SortedTable[[#This Row],[President $ Change]]), RANK(MemberOrgs_SortedTable[[#This Row],[President $ Change]], $G$4:$G$227)+COUNTIF($G$4:G17, G17)-1, 0))</f>
        <v>6</v>
      </c>
      <c r="M17" t="str">
        <f>IFERROR((IF(MemberOrgs_SortedTable[[#This Row],[Sort 1]] = 0, COUNTIF($L$4:L17, 0), "")+MAX(MemberOrgs_SortedTable[Sort 1])), "")</f>
        <v/>
      </c>
      <c r="N17">
        <f>IF(MemberOrgs_SortedTable[[#This Row],[Sort 1]]&gt;0, MemberOrgs_SortedTable[[#This Row],[Sort 1]], MemberOrgs_SortedTable[[#This Row],[Sort 2]])</f>
        <v>6</v>
      </c>
      <c r="P17">
        <v>14</v>
      </c>
      <c r="Q17">
        <f>IFERROR(INDEX(MemberOrgs_SortedTable[Unique CFDA], MATCH(Table7[[#This Row],[Desired Order]], MemberOrgs_SortedTable[Final Pres. Sort], 0)), "")</f>
        <v>94.019000000000005</v>
      </c>
      <c r="R17" s="1">
        <f>IF(ISNUMBER(Table7[[#This Row],[CFDA]]), INDEX(MemberOrgs_Control[Row], MATCH(Table7[[#This Row],[Desired Order]], MemberOrgs_Control['#], 0)), "")</f>
        <v>364</v>
      </c>
    </row>
    <row r="18" spans="1:18" x14ac:dyDescent="0.25">
      <c r="A18">
        <f>IF(OR(MemberOrgControl!$B21 = "", MemberOrgControl!$B21 &lt;0), "", INDEX(MemberOrgsData[CFDA], MemberOrgControl!$B21))</f>
        <v>97.024000000000001</v>
      </c>
      <c r="C18" t="str">
        <f>IFERROR(INDEX(AllCFDAs[All CFDAs], MATCH(0, INDEX(COUNTIF($C$3:C17, AllCFDAs[All CFDAs]),),0)), "")</f>
        <v/>
      </c>
      <c r="D18" t="str">
        <f t="array" ref="D18">IFERROR(INDEX(MemberOrgsData[FEDERALPROGRAMNAME], MATCH(1, (SelectMemberOrgs = MemberOrgsData[Auditee Name])*(MemberOrgs_SortedTable[[#This Row],[Unique CFDA]]= MemberOrgsData[CFDA]), 0)), "")</f>
        <v/>
      </c>
      <c r="E18" s="20" t="str">
        <f t="array" ref="E18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8" s="21" t="str">
        <f t="array" ref="F18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8" s="19" t="str">
        <f>IF(MemberOrgs_SortedTable[[#This Row],[Unique CFDA]] = "", "", IFERROR(MemberOrgs_SortedTable[[#This Row],[FY 2018 Total]]*MemberOrgs_SortedTable[[#This Row],[President % Change]], "No Budget Data"))</f>
        <v/>
      </c>
      <c r="H18" s="21" t="str">
        <f t="array" ref="H18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8" s="19" t="str">
        <f>IF(MemberOrgs_SortedTable[[#This Row],[Unique CFDA]] = "", "", IFERROR(MemberOrgs_SortedTable[[#This Row],[FY 2018 Total]]*MemberOrgs_SortedTable[[#This Row],[House % Change]], "No Budget Data"))</f>
        <v/>
      </c>
      <c r="K18" s="19" t="str">
        <f>IF(MemberOrgs_SortedTable[[#This Row],[Unique CFDA]] = "", "", IFERROR(MemberOrgs_SortedTable[[#This Row],[FY 2018 Total]]*MemberOrgs_SortedTable[[#This Row],[Senate Budget]], "No Budget Data"))</f>
        <v/>
      </c>
      <c r="L18" t="str">
        <f>IF(MemberOrgs_SortedTable[[#This Row],[Unique CFDA]] = "", "", IF(ISNUMBER(MemberOrgs_SortedTable[[#This Row],[President $ Change]]), RANK(MemberOrgs_SortedTable[[#This Row],[President $ Change]], $G$4:$G$227)+COUNTIF($G$4:G18, G18)-1, 0))</f>
        <v/>
      </c>
      <c r="M18" t="str">
        <f>IFERROR((IF(MemberOrgs_SortedTable[[#This Row],[Sort 1]] = 0, COUNTIF($L$4:L18, 0), "")+MAX(MemberOrgs_SortedTable[Sort 1])), "")</f>
        <v/>
      </c>
      <c r="N18" t="str">
        <f>IF(MemberOrgs_SortedTable[[#This Row],[Sort 1]]&gt;0, MemberOrgs_SortedTable[[#This Row],[Sort 1]], MemberOrgs_SortedTable[[#This Row],[Sort 2]])</f>
        <v/>
      </c>
      <c r="P18">
        <v>15</v>
      </c>
      <c r="Q18" t="str">
        <f>IFERROR(INDEX(MemberOrgs_SortedTable[Unique CFDA], MATCH(Table7[[#This Row],[Desired Order]], MemberOrgs_SortedTable[Final Pres. Sort], 0)), "")</f>
        <v/>
      </c>
      <c r="R18" s="1" t="str">
        <f>IF(ISNUMBER(Table7[[#This Row],[CFDA]]), INDEX(MemberOrgs_Control[Row], MATCH(Table7[[#This Row],[Desired Order]], MemberOrgs_Control['#], 0)), "")</f>
        <v/>
      </c>
    </row>
    <row r="19" spans="1:18" x14ac:dyDescent="0.25">
      <c r="A19" t="str">
        <f>IF(OR(MemberOrgControl!$B22 = "", MemberOrgControl!$B22 &lt;0), "", INDEX(MemberOrgsData[CFDA], MemberOrgControl!$B22))</f>
        <v/>
      </c>
      <c r="C19" t="str">
        <f>IFERROR(INDEX(AllCFDAs[All CFDAs], MATCH(0, INDEX(COUNTIF($C$3:C18, AllCFDAs[All CFDAs]),),0)), "")</f>
        <v/>
      </c>
      <c r="D19" t="str">
        <f t="array" ref="D19">IFERROR(INDEX(MemberOrgsData[FEDERALPROGRAMNAME], MATCH(1, (SelectMemberOrgs = MemberOrgsData[Auditee Name])*(MemberOrgs_SortedTable[[#This Row],[Unique CFDA]]= MemberOrgsData[CFDA]), 0)), "")</f>
        <v/>
      </c>
      <c r="E19" s="20" t="str">
        <f t="array" ref="E19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9" s="21" t="str">
        <f t="array" ref="F19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9" s="19" t="str">
        <f>IF(MemberOrgs_SortedTable[[#This Row],[Unique CFDA]] = "", "", IFERROR(MemberOrgs_SortedTable[[#This Row],[FY 2018 Total]]*MemberOrgs_SortedTable[[#This Row],[President % Change]], "No Budget Data"))</f>
        <v/>
      </c>
      <c r="H19" s="21" t="str">
        <f t="array" ref="H19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9" s="19" t="str">
        <f>IF(MemberOrgs_SortedTable[[#This Row],[Unique CFDA]] = "", "", IFERROR(MemberOrgs_SortedTable[[#This Row],[FY 2018 Total]]*MemberOrgs_SortedTable[[#This Row],[House % Change]], "No Budget Data"))</f>
        <v/>
      </c>
      <c r="K19" s="19" t="str">
        <f>IF(MemberOrgs_SortedTable[[#This Row],[Unique CFDA]] = "", "", IFERROR(MemberOrgs_SortedTable[[#This Row],[FY 2018 Total]]*MemberOrgs_SortedTable[[#This Row],[Senate Budget]], "No Budget Data"))</f>
        <v/>
      </c>
      <c r="L19" t="str">
        <f>IF(MemberOrgs_SortedTable[[#This Row],[Unique CFDA]] = "", "", IF(ISNUMBER(MemberOrgs_SortedTable[[#This Row],[President $ Change]]), RANK(MemberOrgs_SortedTable[[#This Row],[President $ Change]], $G$4:$G$227)+COUNTIF($G$4:G19, G19)-1, 0))</f>
        <v/>
      </c>
      <c r="M19" t="str">
        <f>IFERROR((IF(MemberOrgs_SortedTable[[#This Row],[Sort 1]] = 0, COUNTIF($L$4:L19, 0), "")+MAX(MemberOrgs_SortedTable[Sort 1])), "")</f>
        <v/>
      </c>
      <c r="N19" t="str">
        <f>IF(MemberOrgs_SortedTable[[#This Row],[Sort 1]]&gt;0, MemberOrgs_SortedTable[[#This Row],[Sort 1]], MemberOrgs_SortedTable[[#This Row],[Sort 2]])</f>
        <v/>
      </c>
      <c r="P19">
        <v>16</v>
      </c>
      <c r="Q19" t="str">
        <f>IFERROR(INDEX(MemberOrgs_SortedTable[Unique CFDA], MATCH(Table7[[#This Row],[Desired Order]], MemberOrgs_SortedTable[Final Pres. Sort], 0)), "")</f>
        <v/>
      </c>
      <c r="R19" s="1" t="str">
        <f>IF(ISNUMBER(Table7[[#This Row],[CFDA]]), INDEX(MemberOrgs_Control[Row], MATCH(Table7[[#This Row],[Desired Order]], MemberOrgs_Control['#], 0)), "")</f>
        <v/>
      </c>
    </row>
    <row r="20" spans="1:18" x14ac:dyDescent="0.25">
      <c r="A20" t="str">
        <f>IF(OR(MemberOrgControl!$B23 = "", MemberOrgControl!$B23 &lt;0), "", INDEX(MemberOrgsData[CFDA], MemberOrgControl!$B23))</f>
        <v/>
      </c>
      <c r="C20" t="str">
        <f>IFERROR(INDEX(AllCFDAs[All CFDAs], MATCH(0, INDEX(COUNTIF($C$3:C19, AllCFDAs[All CFDAs]),),0)), "")</f>
        <v/>
      </c>
      <c r="D20" t="str">
        <f t="array" ref="D20">IFERROR(INDEX(MemberOrgsData[FEDERALPROGRAMNAME], MATCH(1, (SelectMemberOrgs = MemberOrgsData[Auditee Name])*(MemberOrgs_SortedTable[[#This Row],[Unique CFDA]]= MemberOrgsData[CFDA]), 0)), "")</f>
        <v/>
      </c>
      <c r="E20" s="20" t="str">
        <f t="array" ref="E20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20" s="21" t="str">
        <f t="array" ref="F20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20" s="19" t="str">
        <f>IF(MemberOrgs_SortedTable[[#This Row],[Unique CFDA]] = "", "", IFERROR(MemberOrgs_SortedTable[[#This Row],[FY 2018 Total]]*MemberOrgs_SortedTable[[#This Row],[President % Change]], "No Budget Data"))</f>
        <v/>
      </c>
      <c r="H20" s="21" t="str">
        <f t="array" ref="H20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20" s="19" t="str">
        <f>IF(MemberOrgs_SortedTable[[#This Row],[Unique CFDA]] = "", "", IFERROR(MemberOrgs_SortedTable[[#This Row],[FY 2018 Total]]*MemberOrgs_SortedTable[[#This Row],[House % Change]], "No Budget Data"))</f>
        <v/>
      </c>
      <c r="K20" s="19" t="str">
        <f>IF(MemberOrgs_SortedTable[[#This Row],[Unique CFDA]] = "", "", IFERROR(MemberOrgs_SortedTable[[#This Row],[FY 2018 Total]]*MemberOrgs_SortedTable[[#This Row],[Senate Budget]], "No Budget Data"))</f>
        <v/>
      </c>
      <c r="L20" t="str">
        <f>IF(MemberOrgs_SortedTable[[#This Row],[Unique CFDA]] = "", "", IF(ISNUMBER(MemberOrgs_SortedTable[[#This Row],[President $ Change]]), RANK(MemberOrgs_SortedTable[[#This Row],[President $ Change]], $G$4:$G$227)+COUNTIF($G$4:G20, G20)-1, 0))</f>
        <v/>
      </c>
      <c r="M20" t="str">
        <f>IFERROR((IF(MemberOrgs_SortedTable[[#This Row],[Sort 1]] = 0, COUNTIF($L$4:L20, 0), "")+MAX(MemberOrgs_SortedTable[Sort 1])), "")</f>
        <v/>
      </c>
      <c r="N20" t="str">
        <f>IF(MemberOrgs_SortedTable[[#This Row],[Sort 1]]&gt;0, MemberOrgs_SortedTable[[#This Row],[Sort 1]], MemberOrgs_SortedTable[[#This Row],[Sort 2]])</f>
        <v/>
      </c>
      <c r="P20">
        <v>17</v>
      </c>
      <c r="Q20" t="str">
        <f>IFERROR(INDEX(MemberOrgs_SortedTable[Unique CFDA], MATCH(Table7[[#This Row],[Desired Order]], MemberOrgs_SortedTable[Final Pres. Sort], 0)), "")</f>
        <v/>
      </c>
      <c r="R20" s="1" t="str">
        <f>IF(ISNUMBER(Table7[[#This Row],[CFDA]]), INDEX(MemberOrgs_Control[Row], MATCH(Table7[[#This Row],[Desired Order]], MemberOrgs_Control['#], 0)), "")</f>
        <v/>
      </c>
    </row>
    <row r="21" spans="1:18" x14ac:dyDescent="0.25">
      <c r="A21" t="str">
        <f>IF(OR(MemberOrgControl!$B24 = "", MemberOrgControl!$B24 &lt;0), "", INDEX(MemberOrgsData[CFDA], MemberOrgControl!$B24))</f>
        <v/>
      </c>
      <c r="C21" t="str">
        <f>IFERROR(INDEX(AllCFDAs[All CFDAs], MATCH(0, INDEX(COUNTIF($C$3:C20, AllCFDAs[All CFDAs]),),0)), "")</f>
        <v/>
      </c>
      <c r="D21" t="str">
        <f t="array" ref="D21">IFERROR(INDEX(MemberOrgsData[FEDERALPROGRAMNAME], MATCH(1, (SelectMemberOrgs = MemberOrgsData[Auditee Name])*(MemberOrgs_SortedTable[[#This Row],[Unique CFDA]]= MemberOrgsData[CFDA]), 0)), "")</f>
        <v/>
      </c>
      <c r="E21" s="20" t="str">
        <f t="array" ref="E21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21" s="21" t="str">
        <f t="array" ref="F21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21" s="19" t="str">
        <f>IF(MemberOrgs_SortedTable[[#This Row],[Unique CFDA]] = "", "", IFERROR(MemberOrgs_SortedTable[[#This Row],[FY 2018 Total]]*MemberOrgs_SortedTable[[#This Row],[President % Change]], "No Budget Data"))</f>
        <v/>
      </c>
      <c r="H21" s="21" t="str">
        <f t="array" ref="H21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21" s="19" t="str">
        <f>IF(MemberOrgs_SortedTable[[#This Row],[Unique CFDA]] = "", "", IFERROR(MemberOrgs_SortedTable[[#This Row],[FY 2018 Total]]*MemberOrgs_SortedTable[[#This Row],[House % Change]], "No Budget Data"))</f>
        <v/>
      </c>
      <c r="K21" s="19" t="str">
        <f>IF(MemberOrgs_SortedTable[[#This Row],[Unique CFDA]] = "", "", IFERROR(MemberOrgs_SortedTable[[#This Row],[FY 2018 Total]]*MemberOrgs_SortedTable[[#This Row],[Senate Budget]], "No Budget Data"))</f>
        <v/>
      </c>
      <c r="L21" t="str">
        <f>IF(MemberOrgs_SortedTable[[#This Row],[Unique CFDA]] = "", "", IF(ISNUMBER(MemberOrgs_SortedTable[[#This Row],[President $ Change]]), RANK(MemberOrgs_SortedTable[[#This Row],[President $ Change]], $G$4:$G$227)+COUNTIF($G$4:G21, G21)-1, 0))</f>
        <v/>
      </c>
      <c r="M21" t="str">
        <f>IFERROR((IF(MemberOrgs_SortedTable[[#This Row],[Sort 1]] = 0, COUNTIF($L$4:L21, 0), "")+MAX(MemberOrgs_SortedTable[Sort 1])), "")</f>
        <v/>
      </c>
      <c r="N21" t="str">
        <f>IF(MemberOrgs_SortedTable[[#This Row],[Sort 1]]&gt;0, MemberOrgs_SortedTable[[#This Row],[Sort 1]], MemberOrgs_SortedTable[[#This Row],[Sort 2]])</f>
        <v/>
      </c>
      <c r="P21">
        <v>18</v>
      </c>
      <c r="Q21" t="str">
        <f>IFERROR(INDEX(MemberOrgs_SortedTable[Unique CFDA], MATCH(Table7[[#This Row],[Desired Order]], MemberOrgs_SortedTable[Final Pres. Sort], 0)), "")</f>
        <v/>
      </c>
      <c r="R21" s="1" t="str">
        <f>IF(ISNUMBER(Table7[[#This Row],[CFDA]]), INDEX(MemberOrgs_Control[Row], MATCH(Table7[[#This Row],[Desired Order]], MemberOrgs_Control['#], 0)), "")</f>
        <v/>
      </c>
    </row>
    <row r="22" spans="1:18" x14ac:dyDescent="0.25">
      <c r="A22" t="str">
        <f>IF(OR(MemberOrgControl!$B25 = "", MemberOrgControl!$B25 &lt;0), "", INDEX(MemberOrgsData[CFDA], MemberOrgControl!$B25))</f>
        <v/>
      </c>
      <c r="C22" t="str">
        <f>IFERROR(INDEX(AllCFDAs[All CFDAs], MATCH(0, INDEX(COUNTIF($C$3:C21, AllCFDAs[All CFDAs]),),0)), "")</f>
        <v/>
      </c>
      <c r="D22" t="str">
        <f t="array" ref="D22">IFERROR(INDEX(MemberOrgsData[FEDERALPROGRAMNAME], MATCH(1, (SelectMemberOrgs = MemberOrgsData[Auditee Name])*(MemberOrgs_SortedTable[[#This Row],[Unique CFDA]]= MemberOrgsData[CFDA]), 0)), "")</f>
        <v/>
      </c>
      <c r="E22" s="20" t="str">
        <f t="array" ref="E22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22" s="21" t="str">
        <f t="array" ref="F22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22" s="19" t="str">
        <f>IF(MemberOrgs_SortedTable[[#This Row],[Unique CFDA]] = "", "", IFERROR(MemberOrgs_SortedTable[[#This Row],[FY 2018 Total]]*MemberOrgs_SortedTable[[#This Row],[President % Change]], "No Budget Data"))</f>
        <v/>
      </c>
      <c r="H22" s="21" t="str">
        <f t="array" ref="H22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22" s="19" t="str">
        <f>IF(MemberOrgs_SortedTable[[#This Row],[Unique CFDA]] = "", "", IFERROR(MemberOrgs_SortedTable[[#This Row],[FY 2018 Total]]*MemberOrgs_SortedTable[[#This Row],[House % Change]], "No Budget Data"))</f>
        <v/>
      </c>
      <c r="K22" s="19" t="str">
        <f>IF(MemberOrgs_SortedTable[[#This Row],[Unique CFDA]] = "", "", IFERROR(MemberOrgs_SortedTable[[#This Row],[FY 2018 Total]]*MemberOrgs_SortedTable[[#This Row],[Senate Budget]], "No Budget Data"))</f>
        <v/>
      </c>
      <c r="L22" t="str">
        <f>IF(MemberOrgs_SortedTable[[#This Row],[Unique CFDA]] = "", "", IF(ISNUMBER(MemberOrgs_SortedTable[[#This Row],[President $ Change]]), RANK(MemberOrgs_SortedTable[[#This Row],[President $ Change]], $G$4:$G$227)+COUNTIF($G$4:G22, G22)-1, 0))</f>
        <v/>
      </c>
      <c r="M22" t="str">
        <f>IFERROR((IF(MemberOrgs_SortedTable[[#This Row],[Sort 1]] = 0, COUNTIF($L$4:L22, 0), "")+MAX(MemberOrgs_SortedTable[Sort 1])), "")</f>
        <v/>
      </c>
      <c r="N22" t="str">
        <f>IF(MemberOrgs_SortedTable[[#This Row],[Sort 1]]&gt;0, MemberOrgs_SortedTable[[#This Row],[Sort 1]], MemberOrgs_SortedTable[[#This Row],[Sort 2]])</f>
        <v/>
      </c>
      <c r="P22">
        <v>19</v>
      </c>
      <c r="Q22" t="str">
        <f>IFERROR(INDEX(MemberOrgs_SortedTable[Unique CFDA], MATCH(Table7[[#This Row],[Desired Order]], MemberOrgs_SortedTable[Final Pres. Sort], 0)), "")</f>
        <v/>
      </c>
      <c r="R22" s="1" t="str">
        <f>IF(ISNUMBER(Table7[[#This Row],[CFDA]]), INDEX(MemberOrgs_Control[Row], MATCH(Table7[[#This Row],[Desired Order]], MemberOrgs_Control['#], 0)), "")</f>
        <v/>
      </c>
    </row>
    <row r="23" spans="1:18" x14ac:dyDescent="0.25">
      <c r="A23" t="str">
        <f>IF(OR(MemberOrgControl!$B26 = "", MemberOrgControl!$B26 &lt;0), "", INDEX(MemberOrgsData[CFDA], MemberOrgControl!$B26))</f>
        <v/>
      </c>
      <c r="C23" t="str">
        <f>IFERROR(INDEX(AllCFDAs[All CFDAs], MATCH(0, INDEX(COUNTIF($C$3:C22, AllCFDAs[All CFDAs]),),0)), "")</f>
        <v/>
      </c>
      <c r="D23" t="str">
        <f t="array" ref="D23">IFERROR(INDEX(MemberOrgsData[FEDERALPROGRAMNAME], MATCH(1, (SelectMemberOrgs = MemberOrgsData[Auditee Name])*(MemberOrgs_SortedTable[[#This Row],[Unique CFDA]]= MemberOrgsData[CFDA]), 0)), "")</f>
        <v/>
      </c>
      <c r="E23" s="20" t="str">
        <f t="array" ref="E23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23" s="21" t="str">
        <f t="array" ref="F23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23" s="19" t="str">
        <f>IF(MemberOrgs_SortedTable[[#This Row],[Unique CFDA]] = "", "", IFERROR(MemberOrgs_SortedTable[[#This Row],[FY 2018 Total]]*MemberOrgs_SortedTable[[#This Row],[President % Change]], "No Budget Data"))</f>
        <v/>
      </c>
      <c r="H23" s="21" t="str">
        <f t="array" ref="H23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23" s="19" t="str">
        <f>IF(MemberOrgs_SortedTable[[#This Row],[Unique CFDA]] = "", "", IFERROR(MemberOrgs_SortedTable[[#This Row],[FY 2018 Total]]*MemberOrgs_SortedTable[[#This Row],[House % Change]], "No Budget Data"))</f>
        <v/>
      </c>
      <c r="K23" s="19" t="str">
        <f>IF(MemberOrgs_SortedTable[[#This Row],[Unique CFDA]] = "", "", IFERROR(MemberOrgs_SortedTable[[#This Row],[FY 2018 Total]]*MemberOrgs_SortedTable[[#This Row],[Senate Budget]], "No Budget Data"))</f>
        <v/>
      </c>
      <c r="L23" t="str">
        <f>IF(MemberOrgs_SortedTable[[#This Row],[Unique CFDA]] = "", "", IF(ISNUMBER(MemberOrgs_SortedTable[[#This Row],[President $ Change]]), RANK(MemberOrgs_SortedTable[[#This Row],[President $ Change]], $G$4:$G$227)+COUNTIF($G$4:G23, G23)-1, 0))</f>
        <v/>
      </c>
      <c r="M23" t="str">
        <f>IFERROR((IF(MemberOrgs_SortedTable[[#This Row],[Sort 1]] = 0, COUNTIF($L$4:L23, 0), "")+MAX(MemberOrgs_SortedTable[Sort 1])), "")</f>
        <v/>
      </c>
      <c r="N23" t="str">
        <f>IF(MemberOrgs_SortedTable[[#This Row],[Sort 1]]&gt;0, MemberOrgs_SortedTable[[#This Row],[Sort 1]], MemberOrgs_SortedTable[[#This Row],[Sort 2]])</f>
        <v/>
      </c>
      <c r="P23">
        <v>20</v>
      </c>
      <c r="Q23" t="str">
        <f>IFERROR(INDEX(MemberOrgs_SortedTable[Unique CFDA], MATCH(Table7[[#This Row],[Desired Order]], MemberOrgs_SortedTable[Final Pres. Sort], 0)), "")</f>
        <v/>
      </c>
      <c r="R23" s="1" t="str">
        <f>IF(ISNUMBER(Table7[[#This Row],[CFDA]]), INDEX(MemberOrgs_Control[Row], MATCH(Table7[[#This Row],[Desired Order]], MemberOrgs_Control['#], 0)), "")</f>
        <v/>
      </c>
    </row>
    <row r="24" spans="1:18" x14ac:dyDescent="0.25">
      <c r="A24" t="str">
        <f>IF(OR(MemberOrgControl!$B27 = "", MemberOrgControl!$B27 &lt;0), "", INDEX(MemberOrgsData[CFDA], MemberOrgControl!$B27))</f>
        <v/>
      </c>
      <c r="C24" t="str">
        <f>IFERROR(INDEX(AllCFDAs[All CFDAs], MATCH(0, INDEX(COUNTIF($C$3:C23, AllCFDAs[All CFDAs]),),0)), "")</f>
        <v/>
      </c>
      <c r="D24" t="str">
        <f t="array" ref="D24">IFERROR(INDEX(MemberOrgsData[FEDERALPROGRAMNAME], MATCH(1, (SelectMemberOrgs = MemberOrgsData[Auditee Name])*(MemberOrgs_SortedTable[[#This Row],[Unique CFDA]]= MemberOrgsData[CFDA]), 0)), "")</f>
        <v/>
      </c>
      <c r="E24" s="20" t="str">
        <f t="array" ref="E24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24" s="21" t="str">
        <f t="array" ref="F24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24" s="19" t="str">
        <f>IF(MemberOrgs_SortedTable[[#This Row],[Unique CFDA]] = "", "", IFERROR(MemberOrgs_SortedTable[[#This Row],[FY 2018 Total]]*MemberOrgs_SortedTable[[#This Row],[President % Change]], "No Budget Data"))</f>
        <v/>
      </c>
      <c r="H24" s="21" t="str">
        <f t="array" ref="H24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24" s="19" t="str">
        <f>IF(MemberOrgs_SortedTable[[#This Row],[Unique CFDA]] = "", "", IFERROR(MemberOrgs_SortedTable[[#This Row],[FY 2018 Total]]*MemberOrgs_SortedTable[[#This Row],[House % Change]], "No Budget Data"))</f>
        <v/>
      </c>
      <c r="K24" s="19" t="str">
        <f>IF(MemberOrgs_SortedTable[[#This Row],[Unique CFDA]] = "", "", IFERROR(MemberOrgs_SortedTable[[#This Row],[FY 2018 Total]]*MemberOrgs_SortedTable[[#This Row],[Senate Budget]], "No Budget Data"))</f>
        <v/>
      </c>
      <c r="L24" t="str">
        <f>IF(MemberOrgs_SortedTable[[#This Row],[Unique CFDA]] = "", "", IF(ISNUMBER(MemberOrgs_SortedTable[[#This Row],[President $ Change]]), RANK(MemberOrgs_SortedTable[[#This Row],[President $ Change]], $G$4:$G$227)+COUNTIF($G$4:G24, G24)-1, 0))</f>
        <v/>
      </c>
      <c r="M24" t="str">
        <f>IFERROR((IF(MemberOrgs_SortedTable[[#This Row],[Sort 1]] = 0, COUNTIF($L$4:L24, 0), "")+MAX(MemberOrgs_SortedTable[Sort 1])), "")</f>
        <v/>
      </c>
      <c r="N24" t="str">
        <f>IF(MemberOrgs_SortedTable[[#This Row],[Sort 1]]&gt;0, MemberOrgs_SortedTable[[#This Row],[Sort 1]], MemberOrgs_SortedTable[[#This Row],[Sort 2]])</f>
        <v/>
      </c>
      <c r="P24">
        <v>21</v>
      </c>
      <c r="Q24" t="str">
        <f>IFERROR(INDEX(MemberOrgs_SortedTable[Unique CFDA], MATCH(Table7[[#This Row],[Desired Order]], MemberOrgs_SortedTable[Final Pres. Sort], 0)), "")</f>
        <v/>
      </c>
      <c r="R24" s="1" t="str">
        <f>IF(ISNUMBER(Table7[[#This Row],[CFDA]]), INDEX(MemberOrgs_Control[Row], MATCH(Table7[[#This Row],[Desired Order]], MemberOrgs_Control['#], 0)), "")</f>
        <v/>
      </c>
    </row>
    <row r="25" spans="1:18" x14ac:dyDescent="0.25">
      <c r="A25" t="str">
        <f>IF(OR(MemberOrgControl!$B28 = "", MemberOrgControl!$B28 &lt;0), "", INDEX(MemberOrgsData[CFDA], MemberOrgControl!$B28))</f>
        <v/>
      </c>
      <c r="C25" t="str">
        <f>IFERROR(INDEX(AllCFDAs[All CFDAs], MATCH(0, INDEX(COUNTIF($C$3:C24, AllCFDAs[All CFDAs]),),0)), "")</f>
        <v/>
      </c>
      <c r="D25" t="str">
        <f t="array" ref="D25">IFERROR(INDEX(MemberOrgsData[FEDERALPROGRAMNAME], MATCH(1, (SelectMemberOrgs = MemberOrgsData[Auditee Name])*(MemberOrgs_SortedTable[[#This Row],[Unique CFDA]]= MemberOrgsData[CFDA]), 0)), "")</f>
        <v/>
      </c>
      <c r="E25" s="20" t="str">
        <f t="array" ref="E25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25" s="21" t="str">
        <f t="array" ref="F25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25" s="19" t="str">
        <f>IF(MemberOrgs_SortedTable[[#This Row],[Unique CFDA]] = "", "", IFERROR(MemberOrgs_SortedTable[[#This Row],[FY 2018 Total]]*MemberOrgs_SortedTable[[#This Row],[President % Change]], "No Budget Data"))</f>
        <v/>
      </c>
      <c r="H25" s="21" t="str">
        <f t="array" ref="H25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25" s="19" t="str">
        <f>IF(MemberOrgs_SortedTable[[#This Row],[Unique CFDA]] = "", "", IFERROR(MemberOrgs_SortedTable[[#This Row],[FY 2018 Total]]*MemberOrgs_SortedTable[[#This Row],[House % Change]], "No Budget Data"))</f>
        <v/>
      </c>
      <c r="K25" s="19" t="str">
        <f>IF(MemberOrgs_SortedTable[[#This Row],[Unique CFDA]] = "", "", IFERROR(MemberOrgs_SortedTable[[#This Row],[FY 2018 Total]]*MemberOrgs_SortedTable[[#This Row],[Senate Budget]], "No Budget Data"))</f>
        <v/>
      </c>
      <c r="L25" t="str">
        <f>IF(MemberOrgs_SortedTable[[#This Row],[Unique CFDA]] = "", "", IF(ISNUMBER(MemberOrgs_SortedTable[[#This Row],[President $ Change]]), RANK(MemberOrgs_SortedTable[[#This Row],[President $ Change]], $G$4:$G$227)+COUNTIF($G$4:G25, G25)-1, 0))</f>
        <v/>
      </c>
      <c r="M25" t="str">
        <f>IFERROR((IF(MemberOrgs_SortedTable[[#This Row],[Sort 1]] = 0, COUNTIF($L$4:L25, 0), "")+MAX(MemberOrgs_SortedTable[Sort 1])), "")</f>
        <v/>
      </c>
      <c r="N25" t="str">
        <f>IF(MemberOrgs_SortedTable[[#This Row],[Sort 1]]&gt;0, MemberOrgs_SortedTable[[#This Row],[Sort 1]], MemberOrgs_SortedTable[[#This Row],[Sort 2]])</f>
        <v/>
      </c>
      <c r="P25">
        <v>22</v>
      </c>
      <c r="Q25" t="str">
        <f>IFERROR(INDEX(MemberOrgs_SortedTable[Unique CFDA], MATCH(Table7[[#This Row],[Desired Order]], MemberOrgs_SortedTable[Final Pres. Sort], 0)), "")</f>
        <v/>
      </c>
      <c r="R25" s="1" t="str">
        <f>IF(ISNUMBER(Table7[[#This Row],[CFDA]]), INDEX(MemberOrgs_Control[Row], MATCH(Table7[[#This Row],[Desired Order]], MemberOrgs_Control['#], 0)), "")</f>
        <v/>
      </c>
    </row>
    <row r="26" spans="1:18" x14ac:dyDescent="0.25">
      <c r="A26" t="str">
        <f>IF(OR(MemberOrgControl!$B29 = "", MemberOrgControl!$B29 &lt;0), "", INDEX(MemberOrgsData[CFDA], MemberOrgControl!$B29))</f>
        <v/>
      </c>
      <c r="C26" t="str">
        <f>IFERROR(INDEX(AllCFDAs[All CFDAs], MATCH(0, INDEX(COUNTIF($C$3:C25, AllCFDAs[All CFDAs]),),0)), "")</f>
        <v/>
      </c>
      <c r="D26" t="str">
        <f t="array" ref="D26">IFERROR(INDEX(MemberOrgsData[FEDERALPROGRAMNAME], MATCH(1, (SelectMemberOrgs = MemberOrgsData[Auditee Name])*(MemberOrgs_SortedTable[[#This Row],[Unique CFDA]]= MemberOrgsData[CFDA]), 0)), "")</f>
        <v/>
      </c>
      <c r="E26" s="20" t="str">
        <f t="array" ref="E26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26" s="21" t="str">
        <f t="array" ref="F26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26" s="19" t="str">
        <f>IF(MemberOrgs_SortedTable[[#This Row],[Unique CFDA]] = "", "", IFERROR(MemberOrgs_SortedTable[[#This Row],[FY 2018 Total]]*MemberOrgs_SortedTable[[#This Row],[President % Change]], "No Budget Data"))</f>
        <v/>
      </c>
      <c r="H26" s="21" t="str">
        <f t="array" ref="H26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26" s="19" t="str">
        <f>IF(MemberOrgs_SortedTable[[#This Row],[Unique CFDA]] = "", "", IFERROR(MemberOrgs_SortedTable[[#This Row],[FY 2018 Total]]*MemberOrgs_SortedTable[[#This Row],[House % Change]], "No Budget Data"))</f>
        <v/>
      </c>
      <c r="K26" s="19" t="str">
        <f>IF(MemberOrgs_SortedTable[[#This Row],[Unique CFDA]] = "", "", IFERROR(MemberOrgs_SortedTable[[#This Row],[FY 2018 Total]]*MemberOrgs_SortedTable[[#This Row],[Senate Budget]], "No Budget Data"))</f>
        <v/>
      </c>
      <c r="L26" t="str">
        <f>IF(MemberOrgs_SortedTable[[#This Row],[Unique CFDA]] = "", "", IF(ISNUMBER(MemberOrgs_SortedTable[[#This Row],[President $ Change]]), RANK(MemberOrgs_SortedTable[[#This Row],[President $ Change]], $G$4:$G$227)+COUNTIF($G$4:G26, G26)-1, 0))</f>
        <v/>
      </c>
      <c r="M26" t="str">
        <f>IFERROR((IF(MemberOrgs_SortedTable[[#This Row],[Sort 1]] = 0, COUNTIF($L$4:L26, 0), "")+MAX(MemberOrgs_SortedTable[Sort 1])), "")</f>
        <v/>
      </c>
      <c r="N26" t="str">
        <f>IF(MemberOrgs_SortedTable[[#This Row],[Sort 1]]&gt;0, MemberOrgs_SortedTable[[#This Row],[Sort 1]], MemberOrgs_SortedTable[[#This Row],[Sort 2]])</f>
        <v/>
      </c>
      <c r="P26">
        <v>23</v>
      </c>
      <c r="Q26" t="str">
        <f>IFERROR(INDEX(MemberOrgs_SortedTable[Unique CFDA], MATCH(Table7[[#This Row],[Desired Order]], MemberOrgs_SortedTable[Final Pres. Sort], 0)), "")</f>
        <v/>
      </c>
      <c r="R26" s="1" t="str">
        <f>IF(ISNUMBER(Table7[[#This Row],[CFDA]]), INDEX(MemberOrgs_Control[Row], MATCH(Table7[[#This Row],[Desired Order]], MemberOrgs_Control['#], 0)), "")</f>
        <v/>
      </c>
    </row>
    <row r="27" spans="1:18" x14ac:dyDescent="0.25">
      <c r="A27" t="str">
        <f>IF(OR(MemberOrgControl!$B30 = "", MemberOrgControl!$B30 &lt;0), "", INDEX(MemberOrgsData[CFDA], MemberOrgControl!$B30))</f>
        <v/>
      </c>
      <c r="C27" t="str">
        <f>IFERROR(INDEX(AllCFDAs[All CFDAs], MATCH(0, INDEX(COUNTIF($C$3:C26, AllCFDAs[All CFDAs]),),0)), "")</f>
        <v/>
      </c>
      <c r="D27" t="str">
        <f t="array" ref="D27">IFERROR(INDEX(MemberOrgsData[FEDERALPROGRAMNAME], MATCH(1, (SelectMemberOrgs = MemberOrgsData[Auditee Name])*(MemberOrgs_SortedTable[[#This Row],[Unique CFDA]]= MemberOrgsData[CFDA]), 0)), "")</f>
        <v/>
      </c>
      <c r="E27" s="20" t="str">
        <f t="array" ref="E27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27" s="21" t="str">
        <f t="array" ref="F27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27" s="19" t="str">
        <f>IF(MemberOrgs_SortedTable[[#This Row],[Unique CFDA]] = "", "", IFERROR(MemberOrgs_SortedTable[[#This Row],[FY 2018 Total]]*MemberOrgs_SortedTable[[#This Row],[President % Change]], "No Budget Data"))</f>
        <v/>
      </c>
      <c r="H27" s="21" t="str">
        <f t="array" ref="H27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27" s="19" t="str">
        <f>IF(MemberOrgs_SortedTable[[#This Row],[Unique CFDA]] = "", "", IFERROR(MemberOrgs_SortedTable[[#This Row],[FY 2018 Total]]*MemberOrgs_SortedTable[[#This Row],[House % Change]], "No Budget Data"))</f>
        <v/>
      </c>
      <c r="K27" s="19" t="str">
        <f>IF(MemberOrgs_SortedTable[[#This Row],[Unique CFDA]] = "", "", IFERROR(MemberOrgs_SortedTable[[#This Row],[FY 2018 Total]]*MemberOrgs_SortedTable[[#This Row],[Senate Budget]], "No Budget Data"))</f>
        <v/>
      </c>
      <c r="L27" t="str">
        <f>IF(MemberOrgs_SortedTable[[#This Row],[Unique CFDA]] = "", "", IF(ISNUMBER(MemberOrgs_SortedTable[[#This Row],[President $ Change]]), RANK(MemberOrgs_SortedTable[[#This Row],[President $ Change]], $G$4:$G$227)+COUNTIF($G$4:G27, G27)-1, 0))</f>
        <v/>
      </c>
      <c r="M27" t="str">
        <f>IFERROR((IF(MemberOrgs_SortedTable[[#This Row],[Sort 1]] = 0, COUNTIF($L$4:L27, 0), "")+MAX(MemberOrgs_SortedTable[Sort 1])), "")</f>
        <v/>
      </c>
      <c r="N27" t="str">
        <f>IF(MemberOrgs_SortedTable[[#This Row],[Sort 1]]&gt;0, MemberOrgs_SortedTable[[#This Row],[Sort 1]], MemberOrgs_SortedTable[[#This Row],[Sort 2]])</f>
        <v/>
      </c>
      <c r="P27">
        <v>24</v>
      </c>
      <c r="Q27" t="str">
        <f>IFERROR(INDEX(MemberOrgs_SortedTable[Unique CFDA], MATCH(Table7[[#This Row],[Desired Order]], MemberOrgs_SortedTable[Final Pres. Sort], 0)), "")</f>
        <v/>
      </c>
      <c r="R27" s="1" t="str">
        <f>IF(ISNUMBER(Table7[[#This Row],[CFDA]]), INDEX(MemberOrgs_Control[Row], MATCH(Table7[[#This Row],[Desired Order]], MemberOrgs_Control['#], 0)), "")</f>
        <v/>
      </c>
    </row>
    <row r="28" spans="1:18" x14ac:dyDescent="0.25">
      <c r="A28" t="str">
        <f>IF(OR(MemberOrgControl!$B31 = "", MemberOrgControl!$B31 &lt;0), "", INDEX(MemberOrgsData[CFDA], MemberOrgControl!$B31))</f>
        <v/>
      </c>
      <c r="C28" t="str">
        <f>IFERROR(INDEX(AllCFDAs[All CFDAs], MATCH(0, INDEX(COUNTIF($C$3:C27, AllCFDAs[All CFDAs]),),0)), "")</f>
        <v/>
      </c>
      <c r="D28" t="str">
        <f t="array" ref="D28">IFERROR(INDEX(MemberOrgsData[FEDERALPROGRAMNAME], MATCH(1, (SelectMemberOrgs = MemberOrgsData[Auditee Name])*(MemberOrgs_SortedTable[[#This Row],[Unique CFDA]]= MemberOrgsData[CFDA]), 0)), "")</f>
        <v/>
      </c>
      <c r="E28" s="20" t="str">
        <f t="array" ref="E28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28" s="21" t="str">
        <f t="array" ref="F28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28" s="19" t="str">
        <f>IF(MemberOrgs_SortedTable[[#This Row],[Unique CFDA]] = "", "", IFERROR(MemberOrgs_SortedTable[[#This Row],[FY 2018 Total]]*MemberOrgs_SortedTable[[#This Row],[President % Change]], "No Budget Data"))</f>
        <v/>
      </c>
      <c r="H28" s="21" t="str">
        <f t="array" ref="H28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28" s="19" t="str">
        <f>IF(MemberOrgs_SortedTable[[#This Row],[Unique CFDA]] = "", "", IFERROR(MemberOrgs_SortedTable[[#This Row],[FY 2018 Total]]*MemberOrgs_SortedTable[[#This Row],[House % Change]], "No Budget Data"))</f>
        <v/>
      </c>
      <c r="K28" s="19" t="str">
        <f>IF(MemberOrgs_SortedTable[[#This Row],[Unique CFDA]] = "", "", IFERROR(MemberOrgs_SortedTable[[#This Row],[FY 2018 Total]]*MemberOrgs_SortedTable[[#This Row],[Senate Budget]], "No Budget Data"))</f>
        <v/>
      </c>
      <c r="L28" t="str">
        <f>IF(MemberOrgs_SortedTable[[#This Row],[Unique CFDA]] = "", "", IF(ISNUMBER(MemberOrgs_SortedTable[[#This Row],[President $ Change]]), RANK(MemberOrgs_SortedTable[[#This Row],[President $ Change]], $G$4:$G$227)+COUNTIF($G$4:G28, G28)-1, 0))</f>
        <v/>
      </c>
      <c r="M28" t="str">
        <f>IFERROR((IF(MemberOrgs_SortedTable[[#This Row],[Sort 1]] = 0, COUNTIF($L$4:L28, 0), "")+MAX(MemberOrgs_SortedTable[Sort 1])), "")</f>
        <v/>
      </c>
      <c r="N28" t="str">
        <f>IF(MemberOrgs_SortedTable[[#This Row],[Sort 1]]&gt;0, MemberOrgs_SortedTable[[#This Row],[Sort 1]], MemberOrgs_SortedTable[[#This Row],[Sort 2]])</f>
        <v/>
      </c>
      <c r="P28">
        <v>25</v>
      </c>
      <c r="Q28" t="str">
        <f>IFERROR(INDEX(MemberOrgs_SortedTable[Unique CFDA], MATCH(Table7[[#This Row],[Desired Order]], MemberOrgs_SortedTable[Final Pres. Sort], 0)), "")</f>
        <v/>
      </c>
      <c r="R28" s="1" t="str">
        <f>IF(ISNUMBER(Table7[[#This Row],[CFDA]]), INDEX(MemberOrgs_Control[Row], MATCH(Table7[[#This Row],[Desired Order]], MemberOrgs_Control['#], 0)), "")</f>
        <v/>
      </c>
    </row>
    <row r="29" spans="1:18" x14ac:dyDescent="0.25">
      <c r="A29" t="str">
        <f>IF(OR(MemberOrgControl!$B32 = "", MemberOrgControl!$B32 &lt;0), "", INDEX(MemberOrgsData[CFDA], MemberOrgControl!$B32))</f>
        <v/>
      </c>
      <c r="C29" t="str">
        <f>IFERROR(INDEX(AllCFDAs[All CFDAs], MATCH(0, INDEX(COUNTIF($C$3:C28, AllCFDAs[All CFDAs]),),0)), "")</f>
        <v/>
      </c>
      <c r="D29" t="str">
        <f t="array" ref="D29">IFERROR(INDEX(MemberOrgsData[FEDERALPROGRAMNAME], MATCH(1, (SelectMemberOrgs = MemberOrgsData[Auditee Name])*(MemberOrgs_SortedTable[[#This Row],[Unique CFDA]]= MemberOrgsData[CFDA]), 0)), "")</f>
        <v/>
      </c>
      <c r="E29" s="20" t="str">
        <f t="array" ref="E29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29" s="21" t="str">
        <f t="array" ref="F29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29" s="19" t="str">
        <f>IF(MemberOrgs_SortedTable[[#This Row],[Unique CFDA]] = "", "", IFERROR(MemberOrgs_SortedTable[[#This Row],[FY 2018 Total]]*MemberOrgs_SortedTable[[#This Row],[President % Change]], "No Budget Data"))</f>
        <v/>
      </c>
      <c r="H29" s="21" t="str">
        <f t="array" ref="H29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29" s="19" t="str">
        <f>IF(MemberOrgs_SortedTable[[#This Row],[Unique CFDA]] = "", "", IFERROR(MemberOrgs_SortedTable[[#This Row],[FY 2018 Total]]*MemberOrgs_SortedTable[[#This Row],[House % Change]], "No Budget Data"))</f>
        <v/>
      </c>
      <c r="K29" s="19" t="str">
        <f>IF(MemberOrgs_SortedTable[[#This Row],[Unique CFDA]] = "", "", IFERROR(MemberOrgs_SortedTable[[#This Row],[FY 2018 Total]]*MemberOrgs_SortedTable[[#This Row],[Senate Budget]], "No Budget Data"))</f>
        <v/>
      </c>
      <c r="L29" t="str">
        <f>IF(MemberOrgs_SortedTable[[#This Row],[Unique CFDA]] = "", "", IF(ISNUMBER(MemberOrgs_SortedTable[[#This Row],[President $ Change]]), RANK(MemberOrgs_SortedTable[[#This Row],[President $ Change]], $G$4:$G$227)+COUNTIF($G$4:G29, G29)-1, 0))</f>
        <v/>
      </c>
      <c r="M29" t="str">
        <f>IFERROR((IF(MemberOrgs_SortedTable[[#This Row],[Sort 1]] = 0, COUNTIF($L$4:L29, 0), "")+MAX(MemberOrgs_SortedTable[Sort 1])), "")</f>
        <v/>
      </c>
      <c r="N29" t="str">
        <f>IF(MemberOrgs_SortedTable[[#This Row],[Sort 1]]&gt;0, MemberOrgs_SortedTable[[#This Row],[Sort 1]], MemberOrgs_SortedTable[[#This Row],[Sort 2]])</f>
        <v/>
      </c>
      <c r="P29">
        <v>26</v>
      </c>
      <c r="Q29" t="str">
        <f>IFERROR(INDEX(MemberOrgs_SortedTable[Unique CFDA], MATCH(Table7[[#This Row],[Desired Order]], MemberOrgs_SortedTable[Final Pres. Sort], 0)), "")</f>
        <v/>
      </c>
      <c r="R29" s="1" t="str">
        <f>IF(ISNUMBER(Table7[[#This Row],[CFDA]]), INDEX(MemberOrgs_Control[Row], MATCH(Table7[[#This Row],[Desired Order]], MemberOrgs_Control['#], 0)), "")</f>
        <v/>
      </c>
    </row>
    <row r="30" spans="1:18" x14ac:dyDescent="0.25">
      <c r="A30" t="str">
        <f>IF(OR(MemberOrgControl!$B33 = "", MemberOrgControl!$B33 &lt;0), "", INDEX(MemberOrgsData[CFDA], MemberOrgControl!$B33))</f>
        <v/>
      </c>
      <c r="C30" t="str">
        <f>IFERROR(INDEX(AllCFDAs[All CFDAs], MATCH(0, INDEX(COUNTIF($C$3:C29, AllCFDAs[All CFDAs]),),0)), "")</f>
        <v/>
      </c>
      <c r="D30" t="str">
        <f t="array" ref="D30">IFERROR(INDEX(MemberOrgsData[FEDERALPROGRAMNAME], MATCH(1, (SelectMemberOrgs = MemberOrgsData[Auditee Name])*(MemberOrgs_SortedTable[[#This Row],[Unique CFDA]]= MemberOrgsData[CFDA]), 0)), "")</f>
        <v/>
      </c>
      <c r="E30" s="20" t="str">
        <f t="array" ref="E30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30" s="21" t="str">
        <f t="array" ref="F30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30" s="19" t="str">
        <f>IF(MemberOrgs_SortedTable[[#This Row],[Unique CFDA]] = "", "", IFERROR(MemberOrgs_SortedTable[[#This Row],[FY 2018 Total]]*MemberOrgs_SortedTable[[#This Row],[President % Change]], "No Budget Data"))</f>
        <v/>
      </c>
      <c r="H30" s="21" t="str">
        <f t="array" ref="H30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30" s="19" t="str">
        <f>IF(MemberOrgs_SortedTable[[#This Row],[Unique CFDA]] = "", "", IFERROR(MemberOrgs_SortedTable[[#This Row],[FY 2018 Total]]*MemberOrgs_SortedTable[[#This Row],[House % Change]], "No Budget Data"))</f>
        <v/>
      </c>
      <c r="K30" s="19" t="str">
        <f>IF(MemberOrgs_SortedTable[[#This Row],[Unique CFDA]] = "", "", IFERROR(MemberOrgs_SortedTable[[#This Row],[FY 2018 Total]]*MemberOrgs_SortedTable[[#This Row],[Senate Budget]], "No Budget Data"))</f>
        <v/>
      </c>
      <c r="L30" t="str">
        <f>IF(MemberOrgs_SortedTable[[#This Row],[Unique CFDA]] = "", "", IF(ISNUMBER(MemberOrgs_SortedTable[[#This Row],[President $ Change]]), RANK(MemberOrgs_SortedTable[[#This Row],[President $ Change]], $G$4:$G$227)+COUNTIF($G$4:G30, G30)-1, 0))</f>
        <v/>
      </c>
      <c r="M30" t="str">
        <f>IFERROR((IF(MemberOrgs_SortedTable[[#This Row],[Sort 1]] = 0, COUNTIF($L$4:L30, 0), "")+MAX(MemberOrgs_SortedTable[Sort 1])), "")</f>
        <v/>
      </c>
      <c r="N30" t="str">
        <f>IF(MemberOrgs_SortedTable[[#This Row],[Sort 1]]&gt;0, MemberOrgs_SortedTable[[#This Row],[Sort 1]], MemberOrgs_SortedTable[[#This Row],[Sort 2]])</f>
        <v/>
      </c>
      <c r="P30">
        <v>27</v>
      </c>
      <c r="Q30" t="str">
        <f>IFERROR(INDEX(MemberOrgs_SortedTable[Unique CFDA], MATCH(Table7[[#This Row],[Desired Order]], MemberOrgs_SortedTable[Final Pres. Sort], 0)), "")</f>
        <v/>
      </c>
      <c r="R30" s="1" t="str">
        <f>IF(ISNUMBER(Table7[[#This Row],[CFDA]]), INDEX(MemberOrgs_Control[Row], MATCH(Table7[[#This Row],[Desired Order]], MemberOrgs_Control['#], 0)), "")</f>
        <v/>
      </c>
    </row>
    <row r="31" spans="1:18" x14ac:dyDescent="0.25">
      <c r="A31" t="str">
        <f>IF(OR(MemberOrgControl!$B34 = "", MemberOrgControl!$B34 &lt;0), "", INDEX(MemberOrgsData[CFDA], MemberOrgControl!$B34))</f>
        <v/>
      </c>
      <c r="C31" t="str">
        <f>IFERROR(INDEX(AllCFDAs[All CFDAs], MATCH(0, INDEX(COUNTIF($C$3:C30, AllCFDAs[All CFDAs]),),0)), "")</f>
        <v/>
      </c>
      <c r="D31" t="str">
        <f t="array" ref="D31">IFERROR(INDEX(MemberOrgsData[FEDERALPROGRAMNAME], MATCH(1, (SelectMemberOrgs = MemberOrgsData[Auditee Name])*(MemberOrgs_SortedTable[[#This Row],[Unique CFDA]]= MemberOrgsData[CFDA]), 0)), "")</f>
        <v/>
      </c>
      <c r="E31" s="20" t="str">
        <f t="array" ref="E31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31" s="21" t="str">
        <f t="array" ref="F31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31" s="19" t="str">
        <f>IF(MemberOrgs_SortedTable[[#This Row],[Unique CFDA]] = "", "", IFERROR(MemberOrgs_SortedTable[[#This Row],[FY 2018 Total]]*MemberOrgs_SortedTable[[#This Row],[President % Change]], "No Budget Data"))</f>
        <v/>
      </c>
      <c r="H31" s="21" t="str">
        <f t="array" ref="H31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31" s="19" t="str">
        <f>IF(MemberOrgs_SortedTable[[#This Row],[Unique CFDA]] = "", "", IFERROR(MemberOrgs_SortedTable[[#This Row],[FY 2018 Total]]*MemberOrgs_SortedTable[[#This Row],[House % Change]], "No Budget Data"))</f>
        <v/>
      </c>
      <c r="K31" s="19" t="str">
        <f>IF(MemberOrgs_SortedTable[[#This Row],[Unique CFDA]] = "", "", IFERROR(MemberOrgs_SortedTable[[#This Row],[FY 2018 Total]]*MemberOrgs_SortedTable[[#This Row],[Senate Budget]], "No Budget Data"))</f>
        <v/>
      </c>
      <c r="L31" t="str">
        <f>IF(MemberOrgs_SortedTable[[#This Row],[Unique CFDA]] = "", "", IF(ISNUMBER(MemberOrgs_SortedTable[[#This Row],[President $ Change]]), RANK(MemberOrgs_SortedTable[[#This Row],[President $ Change]], $G$4:$G$227)+COUNTIF($G$4:G31, G31)-1, 0))</f>
        <v/>
      </c>
      <c r="M31" t="str">
        <f>IFERROR((IF(MemberOrgs_SortedTable[[#This Row],[Sort 1]] = 0, COUNTIF($L$4:L31, 0), "")+MAX(MemberOrgs_SortedTable[Sort 1])), "")</f>
        <v/>
      </c>
      <c r="N31" t="str">
        <f>IF(MemberOrgs_SortedTable[[#This Row],[Sort 1]]&gt;0, MemberOrgs_SortedTable[[#This Row],[Sort 1]], MemberOrgs_SortedTable[[#This Row],[Sort 2]])</f>
        <v/>
      </c>
      <c r="P31">
        <v>28</v>
      </c>
      <c r="Q31" t="str">
        <f>IFERROR(INDEX(MemberOrgs_SortedTable[Unique CFDA], MATCH(Table7[[#This Row],[Desired Order]], MemberOrgs_SortedTable[Final Pres. Sort], 0)), "")</f>
        <v/>
      </c>
      <c r="R31" s="1" t="str">
        <f>IF(ISNUMBER(Table7[[#This Row],[CFDA]]), INDEX(MemberOrgs_Control[Row], MATCH(Table7[[#This Row],[Desired Order]], MemberOrgs_Control['#], 0)), "")</f>
        <v/>
      </c>
    </row>
    <row r="32" spans="1:18" x14ac:dyDescent="0.25">
      <c r="A32" t="str">
        <f>IF(OR(MemberOrgControl!$B35 = "", MemberOrgControl!$B35 &lt;0), "", INDEX(MemberOrgsData[CFDA], MemberOrgControl!$B35))</f>
        <v/>
      </c>
      <c r="C32" t="str">
        <f>IFERROR(INDEX(AllCFDAs[All CFDAs], MATCH(0, INDEX(COUNTIF($C$3:C31, AllCFDAs[All CFDAs]),),0)), "")</f>
        <v/>
      </c>
      <c r="D32" t="str">
        <f t="array" ref="D32">IFERROR(INDEX(MemberOrgsData[FEDERALPROGRAMNAME], MATCH(1, (SelectMemberOrgs = MemberOrgsData[Auditee Name])*(MemberOrgs_SortedTable[[#This Row],[Unique CFDA]]= MemberOrgsData[CFDA]), 0)), "")</f>
        <v/>
      </c>
      <c r="E32" s="20" t="str">
        <f t="array" ref="E32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32" s="21" t="str">
        <f t="array" ref="F32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32" s="19" t="str">
        <f>IF(MemberOrgs_SortedTable[[#This Row],[Unique CFDA]] = "", "", IFERROR(MemberOrgs_SortedTable[[#This Row],[FY 2018 Total]]*MemberOrgs_SortedTable[[#This Row],[President % Change]], "No Budget Data"))</f>
        <v/>
      </c>
      <c r="H32" s="21" t="str">
        <f t="array" ref="H32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32" s="19" t="str">
        <f>IF(MemberOrgs_SortedTable[[#This Row],[Unique CFDA]] = "", "", IFERROR(MemberOrgs_SortedTable[[#This Row],[FY 2018 Total]]*MemberOrgs_SortedTable[[#This Row],[House % Change]], "No Budget Data"))</f>
        <v/>
      </c>
      <c r="K32" s="19" t="str">
        <f>IF(MemberOrgs_SortedTable[[#This Row],[Unique CFDA]] = "", "", IFERROR(MemberOrgs_SortedTable[[#This Row],[FY 2018 Total]]*MemberOrgs_SortedTable[[#This Row],[Senate Budget]], "No Budget Data"))</f>
        <v/>
      </c>
      <c r="L32" t="str">
        <f>IF(MemberOrgs_SortedTable[[#This Row],[Unique CFDA]] = "", "", IF(ISNUMBER(MemberOrgs_SortedTable[[#This Row],[President $ Change]]), RANK(MemberOrgs_SortedTable[[#This Row],[President $ Change]], $G$4:$G$227)+COUNTIF($G$4:G32, G32)-1, 0))</f>
        <v/>
      </c>
      <c r="M32" t="str">
        <f>IFERROR((IF(MemberOrgs_SortedTable[[#This Row],[Sort 1]] = 0, COUNTIF($L$4:L32, 0), "")+MAX(MemberOrgs_SortedTable[Sort 1])), "")</f>
        <v/>
      </c>
      <c r="N32" t="str">
        <f>IF(MemberOrgs_SortedTable[[#This Row],[Sort 1]]&gt;0, MemberOrgs_SortedTable[[#This Row],[Sort 1]], MemberOrgs_SortedTable[[#This Row],[Sort 2]])</f>
        <v/>
      </c>
      <c r="P32">
        <v>29</v>
      </c>
      <c r="Q32" t="str">
        <f>IFERROR(INDEX(MemberOrgs_SortedTable[Unique CFDA], MATCH(Table7[[#This Row],[Desired Order]], MemberOrgs_SortedTable[Final Pres. Sort], 0)), "")</f>
        <v/>
      </c>
      <c r="R32" s="1" t="str">
        <f>IF(ISNUMBER(Table7[[#This Row],[CFDA]]), INDEX(MemberOrgs_Control[Row], MATCH(Table7[[#This Row],[Desired Order]], MemberOrgs_Control['#], 0)), "")</f>
        <v/>
      </c>
    </row>
    <row r="33" spans="1:18" x14ac:dyDescent="0.25">
      <c r="A33" t="str">
        <f>IF(OR(MemberOrgControl!$B36 = "", MemberOrgControl!$B36 &lt;0), "", INDEX(MemberOrgsData[CFDA], MemberOrgControl!$B36))</f>
        <v/>
      </c>
      <c r="C33" t="str">
        <f>IFERROR(INDEX(AllCFDAs[All CFDAs], MATCH(0, INDEX(COUNTIF($C$3:C32, AllCFDAs[All CFDAs]),),0)), "")</f>
        <v/>
      </c>
      <c r="D33" t="str">
        <f t="array" ref="D33">IFERROR(INDEX(MemberOrgsData[FEDERALPROGRAMNAME], MATCH(1, (SelectMemberOrgs = MemberOrgsData[Auditee Name])*(MemberOrgs_SortedTable[[#This Row],[Unique CFDA]]= MemberOrgsData[CFDA]), 0)), "")</f>
        <v/>
      </c>
      <c r="E33" s="20" t="str">
        <f t="array" ref="E33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33" s="21" t="str">
        <f t="array" ref="F33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33" s="19" t="str">
        <f>IF(MemberOrgs_SortedTable[[#This Row],[Unique CFDA]] = "", "", IFERROR(MemberOrgs_SortedTable[[#This Row],[FY 2018 Total]]*MemberOrgs_SortedTable[[#This Row],[President % Change]], "No Budget Data"))</f>
        <v/>
      </c>
      <c r="H33" s="21" t="str">
        <f t="array" ref="H33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33" s="19" t="str">
        <f>IF(MemberOrgs_SortedTable[[#This Row],[Unique CFDA]] = "", "", IFERROR(MemberOrgs_SortedTable[[#This Row],[FY 2018 Total]]*MemberOrgs_SortedTable[[#This Row],[House % Change]], "No Budget Data"))</f>
        <v/>
      </c>
      <c r="K33" s="19" t="str">
        <f>IF(MemberOrgs_SortedTable[[#This Row],[Unique CFDA]] = "", "", IFERROR(MemberOrgs_SortedTable[[#This Row],[FY 2018 Total]]*MemberOrgs_SortedTable[[#This Row],[Senate Budget]], "No Budget Data"))</f>
        <v/>
      </c>
      <c r="L33" t="str">
        <f>IF(MemberOrgs_SortedTable[[#This Row],[Unique CFDA]] = "", "", IF(ISNUMBER(MemberOrgs_SortedTable[[#This Row],[President $ Change]]), RANK(MemberOrgs_SortedTable[[#This Row],[President $ Change]], $G$4:$G$227)+COUNTIF($G$4:G33, G33)-1, 0))</f>
        <v/>
      </c>
      <c r="M33" t="str">
        <f>IFERROR((IF(MemberOrgs_SortedTable[[#This Row],[Sort 1]] = 0, COUNTIF($L$4:L33, 0), "")+MAX(MemberOrgs_SortedTable[Sort 1])), "")</f>
        <v/>
      </c>
      <c r="N33" t="str">
        <f>IF(MemberOrgs_SortedTable[[#This Row],[Sort 1]]&gt;0, MemberOrgs_SortedTable[[#This Row],[Sort 1]], MemberOrgs_SortedTable[[#This Row],[Sort 2]])</f>
        <v/>
      </c>
      <c r="P33">
        <v>30</v>
      </c>
      <c r="Q33" t="str">
        <f>IFERROR(INDEX(MemberOrgs_SortedTable[Unique CFDA], MATCH(Table7[[#This Row],[Desired Order]], MemberOrgs_SortedTable[Final Pres. Sort], 0)), "")</f>
        <v/>
      </c>
      <c r="R33" s="1" t="str">
        <f>IF(ISNUMBER(Table7[[#This Row],[CFDA]]), INDEX(MemberOrgs_Control[Row], MATCH(Table7[[#This Row],[Desired Order]], MemberOrgs_Control['#], 0)), "")</f>
        <v/>
      </c>
    </row>
    <row r="34" spans="1:18" x14ac:dyDescent="0.25">
      <c r="A34" t="str">
        <f>IF(OR(MemberOrgControl!$B37 = "", MemberOrgControl!$B37 &lt;0), "", INDEX(MemberOrgsData[CFDA], MemberOrgControl!$B37))</f>
        <v/>
      </c>
      <c r="C34" t="str">
        <f>IFERROR(INDEX(AllCFDAs[All CFDAs], MATCH(0, INDEX(COUNTIF($C$3:C33, AllCFDAs[All CFDAs]),),0)), "")</f>
        <v/>
      </c>
      <c r="D34" t="str">
        <f t="array" ref="D34">IFERROR(INDEX(MemberOrgsData[FEDERALPROGRAMNAME], MATCH(1, (SelectMemberOrgs = MemberOrgsData[Auditee Name])*(MemberOrgs_SortedTable[[#This Row],[Unique CFDA]]= MemberOrgsData[CFDA]), 0)), "")</f>
        <v/>
      </c>
      <c r="E34" s="20" t="str">
        <f t="array" ref="E34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34" s="21" t="str">
        <f t="array" ref="F34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34" s="19" t="str">
        <f>IF(MemberOrgs_SortedTable[[#This Row],[Unique CFDA]] = "", "", IFERROR(MemberOrgs_SortedTable[[#This Row],[FY 2018 Total]]*MemberOrgs_SortedTable[[#This Row],[President % Change]], "No Budget Data"))</f>
        <v/>
      </c>
      <c r="H34" s="21" t="str">
        <f t="array" ref="H34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34" s="19" t="str">
        <f>IF(MemberOrgs_SortedTable[[#This Row],[Unique CFDA]] = "", "", IFERROR(MemberOrgs_SortedTable[[#This Row],[FY 2018 Total]]*MemberOrgs_SortedTable[[#This Row],[House % Change]], "No Budget Data"))</f>
        <v/>
      </c>
      <c r="K34" s="19" t="str">
        <f>IF(MemberOrgs_SortedTable[[#This Row],[Unique CFDA]] = "", "", IFERROR(MemberOrgs_SortedTable[[#This Row],[FY 2018 Total]]*MemberOrgs_SortedTable[[#This Row],[Senate Budget]], "No Budget Data"))</f>
        <v/>
      </c>
      <c r="L34" t="str">
        <f>IF(MemberOrgs_SortedTable[[#This Row],[Unique CFDA]] = "", "", IF(ISNUMBER(MemberOrgs_SortedTable[[#This Row],[President $ Change]]), RANK(MemberOrgs_SortedTable[[#This Row],[President $ Change]], $G$4:$G$227)+COUNTIF($G$4:G34, G34)-1, 0))</f>
        <v/>
      </c>
      <c r="M34" t="str">
        <f>IFERROR((IF(MemberOrgs_SortedTable[[#This Row],[Sort 1]] = 0, COUNTIF($L$4:L34, 0), "")+MAX(MemberOrgs_SortedTable[Sort 1])), "")</f>
        <v/>
      </c>
      <c r="N34" t="str">
        <f>IF(MemberOrgs_SortedTable[[#This Row],[Sort 1]]&gt;0, MemberOrgs_SortedTable[[#This Row],[Sort 1]], MemberOrgs_SortedTable[[#This Row],[Sort 2]])</f>
        <v/>
      </c>
      <c r="P34">
        <v>31</v>
      </c>
      <c r="Q34" t="str">
        <f>IFERROR(INDEX(MemberOrgs_SortedTable[Unique CFDA], MATCH(Table7[[#This Row],[Desired Order]], MemberOrgs_SortedTable[Final Pres. Sort], 0)), "")</f>
        <v/>
      </c>
      <c r="R34" s="1" t="str">
        <f>IF(ISNUMBER(Table7[[#This Row],[CFDA]]), INDEX(MemberOrgs_Control[Row], MATCH(Table7[[#This Row],[Desired Order]], MemberOrgs_Control['#], 0)), "")</f>
        <v/>
      </c>
    </row>
    <row r="35" spans="1:18" x14ac:dyDescent="0.25">
      <c r="A35" t="str">
        <f>IF(OR(MemberOrgControl!$B38 = "", MemberOrgControl!$B38 &lt;0), "", INDEX(MemberOrgsData[CFDA], MemberOrgControl!$B38))</f>
        <v/>
      </c>
      <c r="C35" t="str">
        <f>IFERROR(INDEX(AllCFDAs[All CFDAs], MATCH(0, INDEX(COUNTIF($C$3:C34, AllCFDAs[All CFDAs]),),0)), "")</f>
        <v/>
      </c>
      <c r="D35" t="str">
        <f t="array" ref="D35">IFERROR(INDEX(MemberOrgsData[FEDERALPROGRAMNAME], MATCH(1, (SelectMemberOrgs = MemberOrgsData[Auditee Name])*(MemberOrgs_SortedTable[[#This Row],[Unique CFDA]]= MemberOrgsData[CFDA]), 0)), "")</f>
        <v/>
      </c>
      <c r="E35" s="20" t="str">
        <f t="array" ref="E35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35" s="21" t="str">
        <f t="array" ref="F35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35" s="19" t="str">
        <f>IF(MemberOrgs_SortedTable[[#This Row],[Unique CFDA]] = "", "", IFERROR(MemberOrgs_SortedTable[[#This Row],[FY 2018 Total]]*MemberOrgs_SortedTable[[#This Row],[President % Change]], "No Budget Data"))</f>
        <v/>
      </c>
      <c r="H35" s="21" t="str">
        <f t="array" ref="H35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35" s="19" t="str">
        <f>IF(MemberOrgs_SortedTable[[#This Row],[Unique CFDA]] = "", "", IFERROR(MemberOrgs_SortedTable[[#This Row],[FY 2018 Total]]*MemberOrgs_SortedTable[[#This Row],[House % Change]], "No Budget Data"))</f>
        <v/>
      </c>
      <c r="K35" s="19" t="str">
        <f>IF(MemberOrgs_SortedTable[[#This Row],[Unique CFDA]] = "", "", IFERROR(MemberOrgs_SortedTable[[#This Row],[FY 2018 Total]]*MemberOrgs_SortedTable[[#This Row],[Senate Budget]], "No Budget Data"))</f>
        <v/>
      </c>
      <c r="L35" t="str">
        <f>IF(MemberOrgs_SortedTable[[#This Row],[Unique CFDA]] = "", "", IF(ISNUMBER(MemberOrgs_SortedTable[[#This Row],[President $ Change]]), RANK(MemberOrgs_SortedTable[[#This Row],[President $ Change]], $G$4:$G$227)+COUNTIF($G$4:G35, G35)-1, 0))</f>
        <v/>
      </c>
      <c r="M35" t="str">
        <f>IFERROR((IF(MemberOrgs_SortedTable[[#This Row],[Sort 1]] = 0, COUNTIF($L$4:L35, 0), "")+MAX(MemberOrgs_SortedTable[Sort 1])), "")</f>
        <v/>
      </c>
      <c r="N35" t="str">
        <f>IF(MemberOrgs_SortedTable[[#This Row],[Sort 1]]&gt;0, MemberOrgs_SortedTable[[#This Row],[Sort 1]], MemberOrgs_SortedTable[[#This Row],[Sort 2]])</f>
        <v/>
      </c>
      <c r="P35">
        <v>32</v>
      </c>
      <c r="Q35" t="str">
        <f>IFERROR(INDEX(MemberOrgs_SortedTable[Unique CFDA], MATCH(Table7[[#This Row],[Desired Order]], MemberOrgs_SortedTable[Final Pres. Sort], 0)), "")</f>
        <v/>
      </c>
      <c r="R35" s="1" t="str">
        <f>IF(ISNUMBER(Table7[[#This Row],[CFDA]]), INDEX(MemberOrgs_Control[Row], MATCH(Table7[[#This Row],[Desired Order]], MemberOrgs_Control['#], 0)), "")</f>
        <v/>
      </c>
    </row>
    <row r="36" spans="1:18" x14ac:dyDescent="0.25">
      <c r="A36" t="str">
        <f>IF(OR(MemberOrgControl!$B39 = "", MemberOrgControl!$B39 &lt;0), "", INDEX(MemberOrgsData[CFDA], MemberOrgControl!$B39))</f>
        <v/>
      </c>
      <c r="C36" t="str">
        <f>IFERROR(INDEX(AllCFDAs[All CFDAs], MATCH(0, INDEX(COUNTIF($C$3:C35, AllCFDAs[All CFDAs]),),0)), "")</f>
        <v/>
      </c>
      <c r="D36" t="str">
        <f t="array" ref="D36">IFERROR(INDEX(MemberOrgsData[FEDERALPROGRAMNAME], MATCH(1, (SelectMemberOrgs = MemberOrgsData[Auditee Name])*(MemberOrgs_SortedTable[[#This Row],[Unique CFDA]]= MemberOrgsData[CFDA]), 0)), "")</f>
        <v/>
      </c>
      <c r="E36" s="20" t="str">
        <f t="array" ref="E36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36" s="21" t="str">
        <f t="array" ref="F36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36" s="19" t="str">
        <f>IF(MemberOrgs_SortedTable[[#This Row],[Unique CFDA]] = "", "", IFERROR(MemberOrgs_SortedTable[[#This Row],[FY 2018 Total]]*MemberOrgs_SortedTable[[#This Row],[President % Change]], "No Budget Data"))</f>
        <v/>
      </c>
      <c r="H36" s="21" t="str">
        <f t="array" ref="H36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36" s="19" t="str">
        <f>IF(MemberOrgs_SortedTable[[#This Row],[Unique CFDA]] = "", "", IFERROR(MemberOrgs_SortedTable[[#This Row],[FY 2018 Total]]*MemberOrgs_SortedTable[[#This Row],[House % Change]], "No Budget Data"))</f>
        <v/>
      </c>
      <c r="K36" s="19" t="str">
        <f>IF(MemberOrgs_SortedTable[[#This Row],[Unique CFDA]] = "", "", IFERROR(MemberOrgs_SortedTable[[#This Row],[FY 2018 Total]]*MemberOrgs_SortedTable[[#This Row],[Senate Budget]], "No Budget Data"))</f>
        <v/>
      </c>
      <c r="L36" t="str">
        <f>IF(MemberOrgs_SortedTable[[#This Row],[Unique CFDA]] = "", "", IF(ISNUMBER(MemberOrgs_SortedTable[[#This Row],[President $ Change]]), RANK(MemberOrgs_SortedTable[[#This Row],[President $ Change]], $G$4:$G$227)+COUNTIF($G$4:G36, G36)-1, 0))</f>
        <v/>
      </c>
      <c r="M36" t="str">
        <f>IFERROR((IF(MemberOrgs_SortedTable[[#This Row],[Sort 1]] = 0, COUNTIF($L$4:L36, 0), "")+MAX(MemberOrgs_SortedTable[Sort 1])), "")</f>
        <v/>
      </c>
      <c r="N36" t="str">
        <f>IF(MemberOrgs_SortedTable[[#This Row],[Sort 1]]&gt;0, MemberOrgs_SortedTable[[#This Row],[Sort 1]], MemberOrgs_SortedTable[[#This Row],[Sort 2]])</f>
        <v/>
      </c>
      <c r="P36">
        <v>33</v>
      </c>
      <c r="Q36" t="str">
        <f>IFERROR(INDEX(MemberOrgs_SortedTable[Unique CFDA], MATCH(Table7[[#This Row],[Desired Order]], MemberOrgs_SortedTable[Final Pres. Sort], 0)), "")</f>
        <v/>
      </c>
      <c r="R36" s="1" t="str">
        <f>IF(ISNUMBER(Table7[[#This Row],[CFDA]]), INDEX(MemberOrgs_Control[Row], MATCH(Table7[[#This Row],[Desired Order]], MemberOrgs_Control['#], 0)), "")</f>
        <v/>
      </c>
    </row>
    <row r="37" spans="1:18" x14ac:dyDescent="0.25">
      <c r="A37" t="str">
        <f>IF(OR(MemberOrgControl!$B40 = "", MemberOrgControl!$B40 &lt;0), "", INDEX(MemberOrgsData[CFDA], MemberOrgControl!$B40))</f>
        <v/>
      </c>
      <c r="C37" t="str">
        <f>IFERROR(INDEX(AllCFDAs[All CFDAs], MATCH(0, INDEX(COUNTIF($C$3:C36, AllCFDAs[All CFDAs]),),0)), "")</f>
        <v/>
      </c>
      <c r="D37" t="str">
        <f t="array" ref="D37">IFERROR(INDEX(MemberOrgsData[FEDERALPROGRAMNAME], MATCH(1, (SelectMemberOrgs = MemberOrgsData[Auditee Name])*(MemberOrgs_SortedTable[[#This Row],[Unique CFDA]]= MemberOrgsData[CFDA]), 0)), "")</f>
        <v/>
      </c>
      <c r="E37" s="20" t="str">
        <f t="array" ref="E37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37" s="21" t="str">
        <f t="array" ref="F37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37" s="19" t="str">
        <f>IF(MemberOrgs_SortedTable[[#This Row],[Unique CFDA]] = "", "", IFERROR(MemberOrgs_SortedTable[[#This Row],[FY 2018 Total]]*MemberOrgs_SortedTable[[#This Row],[President % Change]], "No Budget Data"))</f>
        <v/>
      </c>
      <c r="H37" s="21" t="str">
        <f t="array" ref="H37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37" s="19" t="str">
        <f>IF(MemberOrgs_SortedTable[[#This Row],[Unique CFDA]] = "", "", IFERROR(MemberOrgs_SortedTable[[#This Row],[FY 2018 Total]]*MemberOrgs_SortedTable[[#This Row],[House % Change]], "No Budget Data"))</f>
        <v/>
      </c>
      <c r="K37" s="19" t="str">
        <f>IF(MemberOrgs_SortedTable[[#This Row],[Unique CFDA]] = "", "", IFERROR(MemberOrgs_SortedTable[[#This Row],[FY 2018 Total]]*MemberOrgs_SortedTable[[#This Row],[Senate Budget]], "No Budget Data"))</f>
        <v/>
      </c>
      <c r="L37" t="str">
        <f>IF(MemberOrgs_SortedTable[[#This Row],[Unique CFDA]] = "", "", IF(ISNUMBER(MemberOrgs_SortedTable[[#This Row],[President $ Change]]), RANK(MemberOrgs_SortedTable[[#This Row],[President $ Change]], $G$4:$G$227)+COUNTIF($G$4:G37, G37)-1, 0))</f>
        <v/>
      </c>
      <c r="M37" t="str">
        <f>IFERROR((IF(MemberOrgs_SortedTable[[#This Row],[Sort 1]] = 0, COUNTIF($L$4:L37, 0), "")+MAX(MemberOrgs_SortedTable[Sort 1])), "")</f>
        <v/>
      </c>
      <c r="N37" t="str">
        <f>IF(MemberOrgs_SortedTable[[#This Row],[Sort 1]]&gt;0, MemberOrgs_SortedTable[[#This Row],[Sort 1]], MemberOrgs_SortedTable[[#This Row],[Sort 2]])</f>
        <v/>
      </c>
      <c r="P37">
        <v>34</v>
      </c>
      <c r="Q37" t="str">
        <f>IFERROR(INDEX(MemberOrgs_SortedTable[Unique CFDA], MATCH(Table7[[#This Row],[Desired Order]], MemberOrgs_SortedTable[Final Pres. Sort], 0)), "")</f>
        <v/>
      </c>
      <c r="R37" s="1" t="str">
        <f>IF(ISNUMBER(Table7[[#This Row],[CFDA]]), INDEX(MemberOrgs_Control[Row], MATCH(Table7[[#This Row],[Desired Order]], MemberOrgs_Control['#], 0)), "")</f>
        <v/>
      </c>
    </row>
    <row r="38" spans="1:18" x14ac:dyDescent="0.25">
      <c r="A38" t="str">
        <f>IF(OR(MemberOrgControl!$B41 = "", MemberOrgControl!$B41 &lt;0), "", INDEX(MemberOrgsData[CFDA], MemberOrgControl!$B41))</f>
        <v/>
      </c>
      <c r="C38" t="str">
        <f>IFERROR(INDEX(AllCFDAs[All CFDAs], MATCH(0, INDEX(COUNTIF($C$3:C37, AllCFDAs[All CFDAs]),),0)), "")</f>
        <v/>
      </c>
      <c r="D38" t="str">
        <f t="array" ref="D38">IFERROR(INDEX(MemberOrgsData[FEDERALPROGRAMNAME], MATCH(1, (SelectMemberOrgs = MemberOrgsData[Auditee Name])*(MemberOrgs_SortedTable[[#This Row],[Unique CFDA]]= MemberOrgsData[CFDA]), 0)), "")</f>
        <v/>
      </c>
      <c r="E38" s="20" t="str">
        <f t="array" ref="E38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38" s="21" t="str">
        <f t="array" ref="F38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38" s="19" t="str">
        <f>IF(MemberOrgs_SortedTable[[#This Row],[Unique CFDA]] = "", "", IFERROR(MemberOrgs_SortedTable[[#This Row],[FY 2018 Total]]*MemberOrgs_SortedTable[[#This Row],[President % Change]], "No Budget Data"))</f>
        <v/>
      </c>
      <c r="H38" s="21" t="str">
        <f t="array" ref="H38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38" s="19" t="str">
        <f>IF(MemberOrgs_SortedTable[[#This Row],[Unique CFDA]] = "", "", IFERROR(MemberOrgs_SortedTable[[#This Row],[FY 2018 Total]]*MemberOrgs_SortedTable[[#This Row],[House % Change]], "No Budget Data"))</f>
        <v/>
      </c>
      <c r="K38" s="19" t="str">
        <f>IF(MemberOrgs_SortedTable[[#This Row],[Unique CFDA]] = "", "", IFERROR(MemberOrgs_SortedTable[[#This Row],[FY 2018 Total]]*MemberOrgs_SortedTable[[#This Row],[Senate Budget]], "No Budget Data"))</f>
        <v/>
      </c>
      <c r="L38" t="str">
        <f>IF(MemberOrgs_SortedTable[[#This Row],[Unique CFDA]] = "", "", IF(ISNUMBER(MemberOrgs_SortedTable[[#This Row],[President $ Change]]), RANK(MemberOrgs_SortedTable[[#This Row],[President $ Change]], $G$4:$G$227)+COUNTIF($G$4:G38, G38)-1, 0))</f>
        <v/>
      </c>
      <c r="M38" t="str">
        <f>IFERROR((IF(MemberOrgs_SortedTable[[#This Row],[Sort 1]] = 0, COUNTIF($L$4:L38, 0), "")+MAX(MemberOrgs_SortedTable[Sort 1])), "")</f>
        <v/>
      </c>
      <c r="N38" t="str">
        <f>IF(MemberOrgs_SortedTable[[#This Row],[Sort 1]]&gt;0, MemberOrgs_SortedTable[[#This Row],[Sort 1]], MemberOrgs_SortedTable[[#This Row],[Sort 2]])</f>
        <v/>
      </c>
      <c r="P38">
        <v>35</v>
      </c>
      <c r="Q38" t="str">
        <f>IFERROR(INDEX(MemberOrgs_SortedTable[Unique CFDA], MATCH(Table7[[#This Row],[Desired Order]], MemberOrgs_SortedTable[Final Pres. Sort], 0)), "")</f>
        <v/>
      </c>
      <c r="R38" s="1" t="str">
        <f>IF(ISNUMBER(Table7[[#This Row],[CFDA]]), INDEX(MemberOrgs_Control[Row], MATCH(Table7[[#This Row],[Desired Order]], MemberOrgs_Control['#], 0)), "")</f>
        <v/>
      </c>
    </row>
    <row r="39" spans="1:18" x14ac:dyDescent="0.25">
      <c r="A39" t="str">
        <f>IF(OR(MemberOrgControl!$B42 = "", MemberOrgControl!$B42 &lt;0), "", INDEX(MemberOrgsData[CFDA], MemberOrgControl!$B42))</f>
        <v/>
      </c>
      <c r="C39" t="str">
        <f>IFERROR(INDEX(AllCFDAs[All CFDAs], MATCH(0, INDEX(COUNTIF($C$3:C38, AllCFDAs[All CFDAs]),),0)), "")</f>
        <v/>
      </c>
      <c r="D39" t="str">
        <f t="array" ref="D39">IFERROR(INDEX(MemberOrgsData[FEDERALPROGRAMNAME], MATCH(1, (SelectMemberOrgs = MemberOrgsData[Auditee Name])*(MemberOrgs_SortedTable[[#This Row],[Unique CFDA]]= MemberOrgsData[CFDA]), 0)), "")</f>
        <v/>
      </c>
      <c r="E39" s="20" t="str">
        <f t="array" ref="E39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39" s="21" t="str">
        <f t="array" ref="F39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39" s="19" t="str">
        <f>IF(MemberOrgs_SortedTable[[#This Row],[Unique CFDA]] = "", "", IFERROR(MemberOrgs_SortedTable[[#This Row],[FY 2018 Total]]*MemberOrgs_SortedTable[[#This Row],[President % Change]], "No Budget Data"))</f>
        <v/>
      </c>
      <c r="H39" s="21" t="str">
        <f t="array" ref="H39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39" s="19" t="str">
        <f>IF(MemberOrgs_SortedTable[[#This Row],[Unique CFDA]] = "", "", IFERROR(MemberOrgs_SortedTable[[#This Row],[FY 2018 Total]]*MemberOrgs_SortedTable[[#This Row],[House % Change]], "No Budget Data"))</f>
        <v/>
      </c>
      <c r="K39" s="19" t="str">
        <f>IF(MemberOrgs_SortedTable[[#This Row],[Unique CFDA]] = "", "", IFERROR(MemberOrgs_SortedTable[[#This Row],[FY 2018 Total]]*MemberOrgs_SortedTable[[#This Row],[Senate Budget]], "No Budget Data"))</f>
        <v/>
      </c>
      <c r="L39" t="str">
        <f>IF(MemberOrgs_SortedTable[[#This Row],[Unique CFDA]] = "", "", IF(ISNUMBER(MemberOrgs_SortedTable[[#This Row],[President $ Change]]), RANK(MemberOrgs_SortedTable[[#This Row],[President $ Change]], $G$4:$G$227)+COUNTIF($G$4:G39, G39)-1, 0))</f>
        <v/>
      </c>
      <c r="M39" t="str">
        <f>IFERROR((IF(MemberOrgs_SortedTable[[#This Row],[Sort 1]] = 0, COUNTIF($L$4:L39, 0), "")+MAX(MemberOrgs_SortedTable[Sort 1])), "")</f>
        <v/>
      </c>
      <c r="N39" t="str">
        <f>IF(MemberOrgs_SortedTable[[#This Row],[Sort 1]]&gt;0, MemberOrgs_SortedTable[[#This Row],[Sort 1]], MemberOrgs_SortedTable[[#This Row],[Sort 2]])</f>
        <v/>
      </c>
      <c r="P39">
        <v>36</v>
      </c>
      <c r="Q39" t="str">
        <f>IFERROR(INDEX(MemberOrgs_SortedTable[Unique CFDA], MATCH(Table7[[#This Row],[Desired Order]], MemberOrgs_SortedTable[Final Pres. Sort], 0)), "")</f>
        <v/>
      </c>
      <c r="R39" s="1" t="str">
        <f>IF(ISNUMBER(Table7[[#This Row],[CFDA]]), INDEX(MemberOrgs_Control[Row], MATCH(Table7[[#This Row],[Desired Order]], MemberOrgs_Control['#], 0)), "")</f>
        <v/>
      </c>
    </row>
    <row r="40" spans="1:18" x14ac:dyDescent="0.25">
      <c r="A40" t="str">
        <f>IF(OR(MemberOrgControl!$B43 = "", MemberOrgControl!$B43 &lt;0), "", INDEX(MemberOrgsData[CFDA], MemberOrgControl!$B43))</f>
        <v/>
      </c>
      <c r="C40" t="str">
        <f>IFERROR(INDEX(AllCFDAs[All CFDAs], MATCH(0, INDEX(COUNTIF($C$3:C39, AllCFDAs[All CFDAs]),),0)), "")</f>
        <v/>
      </c>
      <c r="D40" t="str">
        <f t="array" ref="D40">IFERROR(INDEX(MemberOrgsData[FEDERALPROGRAMNAME], MATCH(1, (SelectMemberOrgs = MemberOrgsData[Auditee Name])*(MemberOrgs_SortedTable[[#This Row],[Unique CFDA]]= MemberOrgsData[CFDA]), 0)), "")</f>
        <v/>
      </c>
      <c r="E40" s="20" t="str">
        <f t="array" ref="E40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40" s="21" t="str">
        <f t="array" ref="F40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40" s="19" t="str">
        <f>IF(MemberOrgs_SortedTable[[#This Row],[Unique CFDA]] = "", "", IFERROR(MemberOrgs_SortedTable[[#This Row],[FY 2018 Total]]*MemberOrgs_SortedTable[[#This Row],[President % Change]], "No Budget Data"))</f>
        <v/>
      </c>
      <c r="H40" s="21" t="str">
        <f t="array" ref="H40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40" s="19" t="str">
        <f>IF(MemberOrgs_SortedTable[[#This Row],[Unique CFDA]] = "", "", IFERROR(MemberOrgs_SortedTable[[#This Row],[FY 2018 Total]]*MemberOrgs_SortedTable[[#This Row],[House % Change]], "No Budget Data"))</f>
        <v/>
      </c>
      <c r="K40" s="19" t="str">
        <f>IF(MemberOrgs_SortedTable[[#This Row],[Unique CFDA]] = "", "", IFERROR(MemberOrgs_SortedTable[[#This Row],[FY 2018 Total]]*MemberOrgs_SortedTable[[#This Row],[Senate Budget]], "No Budget Data"))</f>
        <v/>
      </c>
      <c r="L40" t="str">
        <f>IF(MemberOrgs_SortedTable[[#This Row],[Unique CFDA]] = "", "", IF(ISNUMBER(MemberOrgs_SortedTable[[#This Row],[President $ Change]]), RANK(MemberOrgs_SortedTable[[#This Row],[President $ Change]], $G$4:$G$227)+COUNTIF($G$4:G40, G40)-1, 0))</f>
        <v/>
      </c>
      <c r="M40" t="str">
        <f>IFERROR((IF(MemberOrgs_SortedTable[[#This Row],[Sort 1]] = 0, COUNTIF($L$4:L40, 0), "")+MAX(MemberOrgs_SortedTable[Sort 1])), "")</f>
        <v/>
      </c>
      <c r="N40" t="str">
        <f>IF(MemberOrgs_SortedTable[[#This Row],[Sort 1]]&gt;0, MemberOrgs_SortedTable[[#This Row],[Sort 1]], MemberOrgs_SortedTable[[#This Row],[Sort 2]])</f>
        <v/>
      </c>
      <c r="P40">
        <v>37</v>
      </c>
      <c r="Q40" t="str">
        <f>IFERROR(INDEX(MemberOrgs_SortedTable[Unique CFDA], MATCH(Table7[[#This Row],[Desired Order]], MemberOrgs_SortedTable[Final Pres. Sort], 0)), "")</f>
        <v/>
      </c>
      <c r="R40" s="1" t="str">
        <f>IF(ISNUMBER(Table7[[#This Row],[CFDA]]), INDEX(MemberOrgs_Control[Row], MATCH(Table7[[#This Row],[Desired Order]], MemberOrgs_Control['#], 0)), "")</f>
        <v/>
      </c>
    </row>
    <row r="41" spans="1:18" x14ac:dyDescent="0.25">
      <c r="A41" t="str">
        <f>IF(OR(MemberOrgControl!$B44 = "", MemberOrgControl!$B44 &lt;0), "", INDEX(MemberOrgsData[CFDA], MemberOrgControl!$B44))</f>
        <v/>
      </c>
      <c r="C41" t="str">
        <f>IFERROR(INDEX(AllCFDAs[All CFDAs], MATCH(0, INDEX(COUNTIF($C$3:C40, AllCFDAs[All CFDAs]),),0)), "")</f>
        <v/>
      </c>
      <c r="D41" t="str">
        <f t="array" ref="D41">IFERROR(INDEX(MemberOrgsData[FEDERALPROGRAMNAME], MATCH(1, (SelectMemberOrgs = MemberOrgsData[Auditee Name])*(MemberOrgs_SortedTable[[#This Row],[Unique CFDA]]= MemberOrgsData[CFDA]), 0)), "")</f>
        <v/>
      </c>
      <c r="E41" s="20" t="str">
        <f t="array" ref="E41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41" s="21" t="str">
        <f t="array" ref="F41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41" s="19" t="str">
        <f>IF(MemberOrgs_SortedTable[[#This Row],[Unique CFDA]] = "", "", IFERROR(MemberOrgs_SortedTable[[#This Row],[FY 2018 Total]]*MemberOrgs_SortedTable[[#This Row],[President % Change]], "No Budget Data"))</f>
        <v/>
      </c>
      <c r="H41" s="21" t="str">
        <f t="array" ref="H41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41" s="19" t="str">
        <f>IF(MemberOrgs_SortedTable[[#This Row],[Unique CFDA]] = "", "", IFERROR(MemberOrgs_SortedTable[[#This Row],[FY 2018 Total]]*MemberOrgs_SortedTable[[#This Row],[House % Change]], "No Budget Data"))</f>
        <v/>
      </c>
      <c r="K41" s="19" t="str">
        <f>IF(MemberOrgs_SortedTable[[#This Row],[Unique CFDA]] = "", "", IFERROR(MemberOrgs_SortedTable[[#This Row],[FY 2018 Total]]*MemberOrgs_SortedTable[[#This Row],[Senate Budget]], "No Budget Data"))</f>
        <v/>
      </c>
      <c r="L41" t="str">
        <f>IF(MemberOrgs_SortedTable[[#This Row],[Unique CFDA]] = "", "", IF(ISNUMBER(MemberOrgs_SortedTable[[#This Row],[President $ Change]]), RANK(MemberOrgs_SortedTable[[#This Row],[President $ Change]], $G$4:$G$227)+COUNTIF($G$4:G41, G41)-1, 0))</f>
        <v/>
      </c>
      <c r="M41" t="str">
        <f>IFERROR((IF(MemberOrgs_SortedTable[[#This Row],[Sort 1]] = 0, COUNTIF($L$4:L41, 0), "")+MAX(MemberOrgs_SortedTable[Sort 1])), "")</f>
        <v/>
      </c>
      <c r="N41" t="str">
        <f>IF(MemberOrgs_SortedTable[[#This Row],[Sort 1]]&gt;0, MemberOrgs_SortedTable[[#This Row],[Sort 1]], MemberOrgs_SortedTable[[#This Row],[Sort 2]])</f>
        <v/>
      </c>
      <c r="P41">
        <v>38</v>
      </c>
      <c r="Q41" t="str">
        <f>IFERROR(INDEX(MemberOrgs_SortedTable[Unique CFDA], MATCH(Table7[[#This Row],[Desired Order]], MemberOrgs_SortedTable[Final Pres. Sort], 0)), "")</f>
        <v/>
      </c>
      <c r="R41" s="1" t="str">
        <f>IF(ISNUMBER(Table7[[#This Row],[CFDA]]), INDEX(MemberOrgs_Control[Row], MATCH(Table7[[#This Row],[Desired Order]], MemberOrgs_Control['#], 0)), "")</f>
        <v/>
      </c>
    </row>
    <row r="42" spans="1:18" x14ac:dyDescent="0.25">
      <c r="A42" t="str">
        <f>IF(OR(MemberOrgControl!$B45 = "", MemberOrgControl!$B45 &lt;0), "", INDEX(MemberOrgsData[CFDA], MemberOrgControl!$B45))</f>
        <v/>
      </c>
      <c r="C42" t="str">
        <f>IFERROR(INDEX(AllCFDAs[All CFDAs], MATCH(0, INDEX(COUNTIF($C$3:C41, AllCFDAs[All CFDAs]),),0)), "")</f>
        <v/>
      </c>
      <c r="D42" t="str">
        <f t="array" ref="D42">IFERROR(INDEX(MemberOrgsData[FEDERALPROGRAMNAME], MATCH(1, (SelectMemberOrgs = MemberOrgsData[Auditee Name])*(MemberOrgs_SortedTable[[#This Row],[Unique CFDA]]= MemberOrgsData[CFDA]), 0)), "")</f>
        <v/>
      </c>
      <c r="E42" s="20" t="str">
        <f t="array" ref="E42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42" s="21" t="str">
        <f t="array" ref="F42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42" s="19" t="str">
        <f>IF(MemberOrgs_SortedTable[[#This Row],[Unique CFDA]] = "", "", IFERROR(MemberOrgs_SortedTable[[#This Row],[FY 2018 Total]]*MemberOrgs_SortedTable[[#This Row],[President % Change]], "No Budget Data"))</f>
        <v/>
      </c>
      <c r="H42" s="21" t="str">
        <f t="array" ref="H42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42" s="19" t="str">
        <f>IF(MemberOrgs_SortedTable[[#This Row],[Unique CFDA]] = "", "", IFERROR(MemberOrgs_SortedTable[[#This Row],[FY 2018 Total]]*MemberOrgs_SortedTable[[#This Row],[House % Change]], "No Budget Data"))</f>
        <v/>
      </c>
      <c r="K42" s="19" t="str">
        <f>IF(MemberOrgs_SortedTable[[#This Row],[Unique CFDA]] = "", "", IFERROR(MemberOrgs_SortedTable[[#This Row],[FY 2018 Total]]*MemberOrgs_SortedTable[[#This Row],[Senate Budget]], "No Budget Data"))</f>
        <v/>
      </c>
      <c r="L42" t="str">
        <f>IF(MemberOrgs_SortedTable[[#This Row],[Unique CFDA]] = "", "", IF(ISNUMBER(MemberOrgs_SortedTable[[#This Row],[President $ Change]]), RANK(MemberOrgs_SortedTable[[#This Row],[President $ Change]], $G$4:$G$227)+COUNTIF($G$4:G42, G42)-1, 0))</f>
        <v/>
      </c>
      <c r="M42" t="str">
        <f>IFERROR((IF(MemberOrgs_SortedTable[[#This Row],[Sort 1]] = 0, COUNTIF($L$4:L42, 0), "")+MAX(MemberOrgs_SortedTable[Sort 1])), "")</f>
        <v/>
      </c>
      <c r="N42" t="str">
        <f>IF(MemberOrgs_SortedTable[[#This Row],[Sort 1]]&gt;0, MemberOrgs_SortedTable[[#This Row],[Sort 1]], MemberOrgs_SortedTable[[#This Row],[Sort 2]])</f>
        <v/>
      </c>
      <c r="P42">
        <v>39</v>
      </c>
      <c r="Q42" t="str">
        <f>IFERROR(INDEX(MemberOrgs_SortedTable[Unique CFDA], MATCH(Table7[[#This Row],[Desired Order]], MemberOrgs_SortedTable[Final Pres. Sort], 0)), "")</f>
        <v/>
      </c>
      <c r="R42" s="1" t="str">
        <f>IF(ISNUMBER(Table7[[#This Row],[CFDA]]), INDEX(MemberOrgs_Control[Row], MATCH(Table7[[#This Row],[Desired Order]], MemberOrgs_Control['#], 0)), "")</f>
        <v/>
      </c>
    </row>
    <row r="43" spans="1:18" x14ac:dyDescent="0.25">
      <c r="A43" t="str">
        <f>IF(OR(MemberOrgControl!$B46 = "", MemberOrgControl!$B46 &lt;0), "", INDEX(MemberOrgsData[CFDA], MemberOrgControl!$B46))</f>
        <v/>
      </c>
      <c r="C43" t="str">
        <f>IFERROR(INDEX(AllCFDAs[All CFDAs], MATCH(0, INDEX(COUNTIF($C$3:C42, AllCFDAs[All CFDAs]),),0)), "")</f>
        <v/>
      </c>
      <c r="D43" t="str">
        <f t="array" ref="D43">IFERROR(INDEX(MemberOrgsData[FEDERALPROGRAMNAME], MATCH(1, (SelectMemberOrgs = MemberOrgsData[Auditee Name])*(MemberOrgs_SortedTable[[#This Row],[Unique CFDA]]= MemberOrgsData[CFDA]), 0)), "")</f>
        <v/>
      </c>
      <c r="E43" s="20" t="str">
        <f t="array" ref="E43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43" s="21" t="str">
        <f t="array" ref="F43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43" s="19" t="str">
        <f>IF(MemberOrgs_SortedTable[[#This Row],[Unique CFDA]] = "", "", IFERROR(MemberOrgs_SortedTable[[#This Row],[FY 2018 Total]]*MemberOrgs_SortedTable[[#This Row],[President % Change]], "No Budget Data"))</f>
        <v/>
      </c>
      <c r="H43" s="21" t="str">
        <f t="array" ref="H43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43" s="19" t="str">
        <f>IF(MemberOrgs_SortedTable[[#This Row],[Unique CFDA]] = "", "", IFERROR(MemberOrgs_SortedTable[[#This Row],[FY 2018 Total]]*MemberOrgs_SortedTable[[#This Row],[House % Change]], "No Budget Data"))</f>
        <v/>
      </c>
      <c r="K43" s="19" t="str">
        <f>IF(MemberOrgs_SortedTable[[#This Row],[Unique CFDA]] = "", "", IFERROR(MemberOrgs_SortedTable[[#This Row],[FY 2018 Total]]*MemberOrgs_SortedTable[[#This Row],[Senate Budget]], "No Budget Data"))</f>
        <v/>
      </c>
      <c r="L43" t="str">
        <f>IF(MemberOrgs_SortedTable[[#This Row],[Unique CFDA]] = "", "", IF(ISNUMBER(MemberOrgs_SortedTable[[#This Row],[President $ Change]]), RANK(MemberOrgs_SortedTable[[#This Row],[President $ Change]], $G$4:$G$227)+COUNTIF($G$4:G43, G43)-1, 0))</f>
        <v/>
      </c>
      <c r="M43" t="str">
        <f>IFERROR((IF(MemberOrgs_SortedTable[[#This Row],[Sort 1]] = 0, COUNTIF($L$4:L43, 0), "")+MAX(MemberOrgs_SortedTable[Sort 1])), "")</f>
        <v/>
      </c>
      <c r="N43" t="str">
        <f>IF(MemberOrgs_SortedTable[[#This Row],[Sort 1]]&gt;0, MemberOrgs_SortedTable[[#This Row],[Sort 1]], MemberOrgs_SortedTable[[#This Row],[Sort 2]])</f>
        <v/>
      </c>
      <c r="P43">
        <v>40</v>
      </c>
      <c r="Q43" t="str">
        <f>IFERROR(INDEX(MemberOrgs_SortedTable[Unique CFDA], MATCH(Table7[[#This Row],[Desired Order]], MemberOrgs_SortedTable[Final Pres. Sort], 0)), "")</f>
        <v/>
      </c>
      <c r="R43" s="1" t="str">
        <f>IF(ISNUMBER(Table7[[#This Row],[CFDA]]), INDEX(MemberOrgs_Control[Row], MATCH(Table7[[#This Row],[Desired Order]], MemberOrgs_Control['#], 0)), "")</f>
        <v/>
      </c>
    </row>
    <row r="44" spans="1:18" x14ac:dyDescent="0.25">
      <c r="A44" t="str">
        <f>IF(OR(MemberOrgControl!$B47 = "", MemberOrgControl!$B47 &lt;0), "", INDEX(MemberOrgsData[CFDA], MemberOrgControl!$B47))</f>
        <v/>
      </c>
      <c r="C44" t="str">
        <f>IFERROR(INDEX(AllCFDAs[All CFDAs], MATCH(0, INDEX(COUNTIF($C$3:C43, AllCFDAs[All CFDAs]),),0)), "")</f>
        <v/>
      </c>
      <c r="D44" t="str">
        <f t="array" ref="D44">IFERROR(INDEX(MemberOrgsData[FEDERALPROGRAMNAME], MATCH(1, (SelectMemberOrgs = MemberOrgsData[Auditee Name])*(MemberOrgs_SortedTable[[#This Row],[Unique CFDA]]= MemberOrgsData[CFDA]), 0)), "")</f>
        <v/>
      </c>
      <c r="E44" s="20" t="str">
        <f t="array" ref="E44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44" s="21" t="str">
        <f t="array" ref="F44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44" s="19" t="str">
        <f>IF(MemberOrgs_SortedTable[[#This Row],[Unique CFDA]] = "", "", IFERROR(MemberOrgs_SortedTable[[#This Row],[FY 2018 Total]]*MemberOrgs_SortedTable[[#This Row],[President % Change]], "No Budget Data"))</f>
        <v/>
      </c>
      <c r="H44" s="21" t="str">
        <f t="array" ref="H44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44" s="19" t="str">
        <f>IF(MemberOrgs_SortedTable[[#This Row],[Unique CFDA]] = "", "", IFERROR(MemberOrgs_SortedTable[[#This Row],[FY 2018 Total]]*MemberOrgs_SortedTable[[#This Row],[House % Change]], "No Budget Data"))</f>
        <v/>
      </c>
      <c r="K44" s="19" t="str">
        <f>IF(MemberOrgs_SortedTable[[#This Row],[Unique CFDA]] = "", "", IFERROR(MemberOrgs_SortedTable[[#This Row],[FY 2018 Total]]*MemberOrgs_SortedTable[[#This Row],[Senate Budget]], "No Budget Data"))</f>
        <v/>
      </c>
      <c r="L44" t="str">
        <f>IF(MemberOrgs_SortedTable[[#This Row],[Unique CFDA]] = "", "", IF(ISNUMBER(MemberOrgs_SortedTable[[#This Row],[President $ Change]]), RANK(MemberOrgs_SortedTable[[#This Row],[President $ Change]], $G$4:$G$227)+COUNTIF($G$4:G44, G44)-1, 0))</f>
        <v/>
      </c>
      <c r="M44" t="str">
        <f>IFERROR((IF(MemberOrgs_SortedTable[[#This Row],[Sort 1]] = 0, COUNTIF($L$4:L44, 0), "")+MAX(MemberOrgs_SortedTable[Sort 1])), "")</f>
        <v/>
      </c>
      <c r="N44" t="str">
        <f>IF(MemberOrgs_SortedTable[[#This Row],[Sort 1]]&gt;0, MemberOrgs_SortedTable[[#This Row],[Sort 1]], MemberOrgs_SortedTable[[#This Row],[Sort 2]])</f>
        <v/>
      </c>
      <c r="P44">
        <v>41</v>
      </c>
      <c r="Q44" t="str">
        <f>IFERROR(INDEX(MemberOrgs_SortedTable[Unique CFDA], MATCH(Table7[[#This Row],[Desired Order]], MemberOrgs_SortedTable[Final Pres. Sort], 0)), "")</f>
        <v/>
      </c>
      <c r="R44" s="1" t="str">
        <f>IF(ISNUMBER(Table7[[#This Row],[CFDA]]), INDEX(MemberOrgs_Control[Row], MATCH(Table7[[#This Row],[Desired Order]], MemberOrgs_Control['#], 0)), "")</f>
        <v/>
      </c>
    </row>
    <row r="45" spans="1:18" x14ac:dyDescent="0.25">
      <c r="A45" t="str">
        <f>IF(OR(MemberOrgControl!$B48 = "", MemberOrgControl!$B48 &lt;0), "", INDEX(MemberOrgsData[CFDA], MemberOrgControl!$B48))</f>
        <v/>
      </c>
      <c r="C45" t="str">
        <f>IFERROR(INDEX(AllCFDAs[All CFDAs], MATCH(0, INDEX(COUNTIF($C$3:C44, AllCFDAs[All CFDAs]),),0)), "")</f>
        <v/>
      </c>
      <c r="D45" t="str">
        <f t="array" ref="D45">IFERROR(INDEX(MemberOrgsData[FEDERALPROGRAMNAME], MATCH(1, (SelectMemberOrgs = MemberOrgsData[Auditee Name])*(MemberOrgs_SortedTable[[#This Row],[Unique CFDA]]= MemberOrgsData[CFDA]), 0)), "")</f>
        <v/>
      </c>
      <c r="E45" s="20" t="str">
        <f t="array" ref="E45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45" s="21" t="str">
        <f t="array" ref="F45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45" s="19" t="str">
        <f>IF(MemberOrgs_SortedTable[[#This Row],[Unique CFDA]] = "", "", IFERROR(MemberOrgs_SortedTable[[#This Row],[FY 2018 Total]]*MemberOrgs_SortedTable[[#This Row],[President % Change]], "No Budget Data"))</f>
        <v/>
      </c>
      <c r="H45" s="21" t="str">
        <f t="array" ref="H45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45" s="19" t="str">
        <f>IF(MemberOrgs_SortedTable[[#This Row],[Unique CFDA]] = "", "", IFERROR(MemberOrgs_SortedTable[[#This Row],[FY 2018 Total]]*MemberOrgs_SortedTable[[#This Row],[House % Change]], "No Budget Data"))</f>
        <v/>
      </c>
      <c r="K45" s="19" t="str">
        <f>IF(MemberOrgs_SortedTable[[#This Row],[Unique CFDA]] = "", "", IFERROR(MemberOrgs_SortedTable[[#This Row],[FY 2018 Total]]*MemberOrgs_SortedTable[[#This Row],[Senate Budget]], "No Budget Data"))</f>
        <v/>
      </c>
      <c r="L45" t="str">
        <f>IF(MemberOrgs_SortedTable[[#This Row],[Unique CFDA]] = "", "", IF(ISNUMBER(MemberOrgs_SortedTable[[#This Row],[President $ Change]]), RANK(MemberOrgs_SortedTable[[#This Row],[President $ Change]], $G$4:$G$227)+COUNTIF($G$4:G45, G45)-1, 0))</f>
        <v/>
      </c>
      <c r="M45" t="str">
        <f>IFERROR((IF(MemberOrgs_SortedTable[[#This Row],[Sort 1]] = 0, COUNTIF($L$4:L45, 0), "")+MAX(MemberOrgs_SortedTable[Sort 1])), "")</f>
        <v/>
      </c>
      <c r="N45" t="str">
        <f>IF(MemberOrgs_SortedTable[[#This Row],[Sort 1]]&gt;0, MemberOrgs_SortedTable[[#This Row],[Sort 1]], MemberOrgs_SortedTable[[#This Row],[Sort 2]])</f>
        <v/>
      </c>
      <c r="P45">
        <v>42</v>
      </c>
      <c r="Q45" t="str">
        <f>IFERROR(INDEX(MemberOrgs_SortedTable[Unique CFDA], MATCH(Table7[[#This Row],[Desired Order]], MemberOrgs_SortedTable[Final Pres. Sort], 0)), "")</f>
        <v/>
      </c>
      <c r="R45" s="1" t="str">
        <f>IF(ISNUMBER(Table7[[#This Row],[CFDA]]), INDEX(MemberOrgs_Control[Row], MATCH(Table7[[#This Row],[Desired Order]], MemberOrgs_Control['#], 0)), "")</f>
        <v/>
      </c>
    </row>
    <row r="46" spans="1:18" x14ac:dyDescent="0.25">
      <c r="A46" t="str">
        <f>IF(OR(MemberOrgControl!$B49 = "", MemberOrgControl!$B49 &lt;0), "", INDEX(MemberOrgsData[CFDA], MemberOrgControl!$B49))</f>
        <v/>
      </c>
      <c r="C46" t="str">
        <f>IFERROR(INDEX(AllCFDAs[All CFDAs], MATCH(0, INDEX(COUNTIF($C$3:C45, AllCFDAs[All CFDAs]),),0)), "")</f>
        <v/>
      </c>
      <c r="D46" t="str">
        <f t="array" ref="D46">IFERROR(INDEX(MemberOrgsData[FEDERALPROGRAMNAME], MATCH(1, (SelectMemberOrgs = MemberOrgsData[Auditee Name])*(MemberOrgs_SortedTable[[#This Row],[Unique CFDA]]= MemberOrgsData[CFDA]), 0)), "")</f>
        <v/>
      </c>
      <c r="E46" s="20" t="str">
        <f t="array" ref="E46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46" s="21" t="str">
        <f t="array" ref="F46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46" s="19" t="str">
        <f>IF(MemberOrgs_SortedTable[[#This Row],[Unique CFDA]] = "", "", IFERROR(MemberOrgs_SortedTable[[#This Row],[FY 2018 Total]]*MemberOrgs_SortedTable[[#This Row],[President % Change]], "No Budget Data"))</f>
        <v/>
      </c>
      <c r="H46" s="21" t="str">
        <f t="array" ref="H46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46" s="19" t="str">
        <f>IF(MemberOrgs_SortedTable[[#This Row],[Unique CFDA]] = "", "", IFERROR(MemberOrgs_SortedTable[[#This Row],[FY 2018 Total]]*MemberOrgs_SortedTable[[#This Row],[House % Change]], "No Budget Data"))</f>
        <v/>
      </c>
      <c r="K46" s="19" t="str">
        <f>IF(MemberOrgs_SortedTable[[#This Row],[Unique CFDA]] = "", "", IFERROR(MemberOrgs_SortedTable[[#This Row],[FY 2018 Total]]*MemberOrgs_SortedTable[[#This Row],[Senate Budget]], "No Budget Data"))</f>
        <v/>
      </c>
      <c r="L46" t="str">
        <f>IF(MemberOrgs_SortedTable[[#This Row],[Unique CFDA]] = "", "", IF(ISNUMBER(MemberOrgs_SortedTable[[#This Row],[President $ Change]]), RANK(MemberOrgs_SortedTable[[#This Row],[President $ Change]], $G$4:$G$227)+COUNTIF($G$4:G46, G46)-1, 0))</f>
        <v/>
      </c>
      <c r="M46" t="str">
        <f>IFERROR((IF(MemberOrgs_SortedTable[[#This Row],[Sort 1]] = 0, COUNTIF($L$4:L46, 0), "")+MAX(MemberOrgs_SortedTable[Sort 1])), "")</f>
        <v/>
      </c>
      <c r="N46" t="str">
        <f>IF(MemberOrgs_SortedTable[[#This Row],[Sort 1]]&gt;0, MemberOrgs_SortedTable[[#This Row],[Sort 1]], MemberOrgs_SortedTable[[#This Row],[Sort 2]])</f>
        <v/>
      </c>
      <c r="P46">
        <v>43</v>
      </c>
      <c r="Q46" t="str">
        <f>IFERROR(INDEX(MemberOrgs_SortedTable[Unique CFDA], MATCH(Table7[[#This Row],[Desired Order]], MemberOrgs_SortedTable[Final Pres. Sort], 0)), "")</f>
        <v/>
      </c>
      <c r="R46" s="1" t="str">
        <f>IF(ISNUMBER(Table7[[#This Row],[CFDA]]), INDEX(MemberOrgs_Control[Row], MATCH(Table7[[#This Row],[Desired Order]], MemberOrgs_Control['#], 0)), "")</f>
        <v/>
      </c>
    </row>
    <row r="47" spans="1:18" x14ac:dyDescent="0.25">
      <c r="A47" t="str">
        <f>IF(OR(MemberOrgControl!$B50 = "", MemberOrgControl!$B50 &lt;0), "", INDEX(MemberOrgsData[CFDA], MemberOrgControl!$B50))</f>
        <v/>
      </c>
      <c r="C47" t="str">
        <f>IFERROR(INDEX(AllCFDAs[All CFDAs], MATCH(0, INDEX(COUNTIF($C$3:C46, AllCFDAs[All CFDAs]),),0)), "")</f>
        <v/>
      </c>
      <c r="D47" t="str">
        <f t="array" ref="D47">IFERROR(INDEX(MemberOrgsData[FEDERALPROGRAMNAME], MATCH(1, (SelectMemberOrgs = MemberOrgsData[Auditee Name])*(MemberOrgs_SortedTable[[#This Row],[Unique CFDA]]= MemberOrgsData[CFDA]), 0)), "")</f>
        <v/>
      </c>
      <c r="E47" s="20" t="str">
        <f t="array" ref="E47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47" s="21" t="str">
        <f t="array" ref="F47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47" s="19" t="str">
        <f>IF(MemberOrgs_SortedTable[[#This Row],[Unique CFDA]] = "", "", IFERROR(MemberOrgs_SortedTable[[#This Row],[FY 2018 Total]]*MemberOrgs_SortedTable[[#This Row],[President % Change]], "No Budget Data"))</f>
        <v/>
      </c>
      <c r="H47" s="21" t="str">
        <f t="array" ref="H47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47" s="19" t="str">
        <f>IF(MemberOrgs_SortedTable[[#This Row],[Unique CFDA]] = "", "", IFERROR(MemberOrgs_SortedTable[[#This Row],[FY 2018 Total]]*MemberOrgs_SortedTable[[#This Row],[House % Change]], "No Budget Data"))</f>
        <v/>
      </c>
      <c r="K47" s="19" t="str">
        <f>IF(MemberOrgs_SortedTable[[#This Row],[Unique CFDA]] = "", "", IFERROR(MemberOrgs_SortedTable[[#This Row],[FY 2018 Total]]*MemberOrgs_SortedTable[[#This Row],[Senate Budget]], "No Budget Data"))</f>
        <v/>
      </c>
      <c r="L47" t="str">
        <f>IF(MemberOrgs_SortedTable[[#This Row],[Unique CFDA]] = "", "", IF(ISNUMBER(MemberOrgs_SortedTable[[#This Row],[President $ Change]]), RANK(MemberOrgs_SortedTable[[#This Row],[President $ Change]], $G$4:$G$227)+COUNTIF($G$4:G47, G47)-1, 0))</f>
        <v/>
      </c>
      <c r="M47" t="str">
        <f>IFERROR((IF(MemberOrgs_SortedTable[[#This Row],[Sort 1]] = 0, COUNTIF($L$4:L47, 0), "")+MAX(MemberOrgs_SortedTable[Sort 1])), "")</f>
        <v/>
      </c>
      <c r="N47" t="str">
        <f>IF(MemberOrgs_SortedTable[[#This Row],[Sort 1]]&gt;0, MemberOrgs_SortedTable[[#This Row],[Sort 1]], MemberOrgs_SortedTable[[#This Row],[Sort 2]])</f>
        <v/>
      </c>
      <c r="P47">
        <v>44</v>
      </c>
      <c r="Q47" t="str">
        <f>IFERROR(INDEX(MemberOrgs_SortedTable[Unique CFDA], MATCH(Table7[[#This Row],[Desired Order]], MemberOrgs_SortedTable[Final Pres. Sort], 0)), "")</f>
        <v/>
      </c>
      <c r="R47" s="1" t="str">
        <f>IF(ISNUMBER(Table7[[#This Row],[CFDA]]), INDEX(MemberOrgs_Control[Row], MATCH(Table7[[#This Row],[Desired Order]], MemberOrgs_Control['#], 0)), "")</f>
        <v/>
      </c>
    </row>
    <row r="48" spans="1:18" x14ac:dyDescent="0.25">
      <c r="A48" t="str">
        <f>IF(OR(MemberOrgControl!$B51 = "", MemberOrgControl!$B51 &lt;0), "", INDEX(MemberOrgsData[CFDA], MemberOrgControl!$B51))</f>
        <v/>
      </c>
      <c r="C48" t="str">
        <f>IFERROR(INDEX(AllCFDAs[All CFDAs], MATCH(0, INDEX(COUNTIF($C$3:C47, AllCFDAs[All CFDAs]),),0)), "")</f>
        <v/>
      </c>
      <c r="D48" t="str">
        <f t="array" ref="D48">IFERROR(INDEX(MemberOrgsData[FEDERALPROGRAMNAME], MATCH(1, (SelectMemberOrgs = MemberOrgsData[Auditee Name])*(MemberOrgs_SortedTable[[#This Row],[Unique CFDA]]= MemberOrgsData[CFDA]), 0)), "")</f>
        <v/>
      </c>
      <c r="E48" s="20" t="str">
        <f t="array" ref="E48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48" s="21" t="str">
        <f t="array" ref="F48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48" s="19" t="str">
        <f>IF(MemberOrgs_SortedTable[[#This Row],[Unique CFDA]] = "", "", IFERROR(MemberOrgs_SortedTable[[#This Row],[FY 2018 Total]]*MemberOrgs_SortedTable[[#This Row],[President % Change]], "No Budget Data"))</f>
        <v/>
      </c>
      <c r="H48" s="21" t="str">
        <f t="array" ref="H48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48" s="19" t="str">
        <f>IF(MemberOrgs_SortedTable[[#This Row],[Unique CFDA]] = "", "", IFERROR(MemberOrgs_SortedTable[[#This Row],[FY 2018 Total]]*MemberOrgs_SortedTable[[#This Row],[House % Change]], "No Budget Data"))</f>
        <v/>
      </c>
      <c r="K48" s="19" t="str">
        <f>IF(MemberOrgs_SortedTable[[#This Row],[Unique CFDA]] = "", "", IFERROR(MemberOrgs_SortedTable[[#This Row],[FY 2018 Total]]*MemberOrgs_SortedTable[[#This Row],[Senate Budget]], "No Budget Data"))</f>
        <v/>
      </c>
      <c r="L48" t="str">
        <f>IF(MemberOrgs_SortedTable[[#This Row],[Unique CFDA]] = "", "", IF(ISNUMBER(MemberOrgs_SortedTable[[#This Row],[President $ Change]]), RANK(MemberOrgs_SortedTable[[#This Row],[President $ Change]], $G$4:$G$227)+COUNTIF($G$4:G48, G48)-1, 0))</f>
        <v/>
      </c>
      <c r="M48" t="str">
        <f>IFERROR((IF(MemberOrgs_SortedTable[[#This Row],[Sort 1]] = 0, COUNTIF($L$4:L48, 0), "")+MAX(MemberOrgs_SortedTable[Sort 1])), "")</f>
        <v/>
      </c>
      <c r="N48" t="str">
        <f>IF(MemberOrgs_SortedTable[[#This Row],[Sort 1]]&gt;0, MemberOrgs_SortedTable[[#This Row],[Sort 1]], MemberOrgs_SortedTable[[#This Row],[Sort 2]])</f>
        <v/>
      </c>
      <c r="P48">
        <v>45</v>
      </c>
      <c r="Q48" t="str">
        <f>IFERROR(INDEX(MemberOrgs_SortedTable[Unique CFDA], MATCH(Table7[[#This Row],[Desired Order]], MemberOrgs_SortedTable[Final Pres. Sort], 0)), "")</f>
        <v/>
      </c>
      <c r="R48" s="1" t="str">
        <f>IF(ISNUMBER(Table7[[#This Row],[CFDA]]), INDEX(MemberOrgs_Control[Row], MATCH(Table7[[#This Row],[Desired Order]], MemberOrgs_Control['#], 0)), "")</f>
        <v/>
      </c>
    </row>
    <row r="49" spans="1:18" x14ac:dyDescent="0.25">
      <c r="A49" t="str">
        <f>IF(OR(MemberOrgControl!$B52 = "", MemberOrgControl!$B52 &lt;0), "", INDEX(MemberOrgsData[CFDA], MemberOrgControl!$B52))</f>
        <v/>
      </c>
      <c r="C49" t="str">
        <f>IFERROR(INDEX(AllCFDAs[All CFDAs], MATCH(0, INDEX(COUNTIF($C$3:C48, AllCFDAs[All CFDAs]),),0)), "")</f>
        <v/>
      </c>
      <c r="D49" t="str">
        <f t="array" ref="D49">IFERROR(INDEX(MemberOrgsData[FEDERALPROGRAMNAME], MATCH(1, (SelectMemberOrgs = MemberOrgsData[Auditee Name])*(MemberOrgs_SortedTable[[#This Row],[Unique CFDA]]= MemberOrgsData[CFDA]), 0)), "")</f>
        <v/>
      </c>
      <c r="E49" s="20" t="str">
        <f t="array" ref="E49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49" s="21" t="str">
        <f t="array" ref="F49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49" s="19" t="str">
        <f>IF(MemberOrgs_SortedTable[[#This Row],[Unique CFDA]] = "", "", IFERROR(MemberOrgs_SortedTable[[#This Row],[FY 2018 Total]]*MemberOrgs_SortedTable[[#This Row],[President % Change]], "No Budget Data"))</f>
        <v/>
      </c>
      <c r="H49" s="21" t="str">
        <f t="array" ref="H49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49" s="19" t="str">
        <f>IF(MemberOrgs_SortedTable[[#This Row],[Unique CFDA]] = "", "", IFERROR(MemberOrgs_SortedTable[[#This Row],[FY 2018 Total]]*MemberOrgs_SortedTable[[#This Row],[House % Change]], "No Budget Data"))</f>
        <v/>
      </c>
      <c r="K49" s="19" t="str">
        <f>IF(MemberOrgs_SortedTable[[#This Row],[Unique CFDA]] = "", "", IFERROR(MemberOrgs_SortedTable[[#This Row],[FY 2018 Total]]*MemberOrgs_SortedTable[[#This Row],[Senate Budget]], "No Budget Data"))</f>
        <v/>
      </c>
      <c r="L49" t="str">
        <f>IF(MemberOrgs_SortedTable[[#This Row],[Unique CFDA]] = "", "", IF(ISNUMBER(MemberOrgs_SortedTable[[#This Row],[President $ Change]]), RANK(MemberOrgs_SortedTable[[#This Row],[President $ Change]], $G$4:$G$227)+COUNTIF($G$4:G49, G49)-1, 0))</f>
        <v/>
      </c>
      <c r="M49" t="str">
        <f>IFERROR((IF(MemberOrgs_SortedTable[[#This Row],[Sort 1]] = 0, COUNTIF($L$4:L49, 0), "")+MAX(MemberOrgs_SortedTable[Sort 1])), "")</f>
        <v/>
      </c>
      <c r="N49" t="str">
        <f>IF(MemberOrgs_SortedTable[[#This Row],[Sort 1]]&gt;0, MemberOrgs_SortedTable[[#This Row],[Sort 1]], MemberOrgs_SortedTable[[#This Row],[Sort 2]])</f>
        <v/>
      </c>
      <c r="P49">
        <v>46</v>
      </c>
      <c r="Q49" t="str">
        <f>IFERROR(INDEX(MemberOrgs_SortedTable[Unique CFDA], MATCH(Table7[[#This Row],[Desired Order]], MemberOrgs_SortedTable[Final Pres. Sort], 0)), "")</f>
        <v/>
      </c>
      <c r="R49" s="1" t="str">
        <f>IF(ISNUMBER(Table7[[#This Row],[CFDA]]), INDEX(MemberOrgs_Control[Row], MATCH(Table7[[#This Row],[Desired Order]], MemberOrgs_Control['#], 0)), "")</f>
        <v/>
      </c>
    </row>
    <row r="50" spans="1:18" x14ac:dyDescent="0.25">
      <c r="A50" t="str">
        <f>IF(OR(MemberOrgControl!$B53 = "", MemberOrgControl!$B53 &lt;0), "", INDEX(MemberOrgsData[CFDA], MemberOrgControl!$B53))</f>
        <v/>
      </c>
      <c r="C50" t="str">
        <f>IFERROR(INDEX(AllCFDAs[All CFDAs], MATCH(0, INDEX(COUNTIF($C$3:C49, AllCFDAs[All CFDAs]),),0)), "")</f>
        <v/>
      </c>
      <c r="D50" t="str">
        <f t="array" ref="D50">IFERROR(INDEX(MemberOrgsData[FEDERALPROGRAMNAME], MATCH(1, (SelectMemberOrgs = MemberOrgsData[Auditee Name])*(MemberOrgs_SortedTable[[#This Row],[Unique CFDA]]= MemberOrgsData[CFDA]), 0)), "")</f>
        <v/>
      </c>
      <c r="E50" s="20" t="str">
        <f t="array" ref="E50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50" s="21" t="str">
        <f t="array" ref="F50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50" s="19" t="str">
        <f>IF(MemberOrgs_SortedTable[[#This Row],[Unique CFDA]] = "", "", IFERROR(MemberOrgs_SortedTable[[#This Row],[FY 2018 Total]]*MemberOrgs_SortedTable[[#This Row],[President % Change]], "No Budget Data"))</f>
        <v/>
      </c>
      <c r="H50" s="21" t="str">
        <f t="array" ref="H50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50" s="19" t="str">
        <f>IF(MemberOrgs_SortedTable[[#This Row],[Unique CFDA]] = "", "", IFERROR(MemberOrgs_SortedTable[[#This Row],[FY 2018 Total]]*MemberOrgs_SortedTable[[#This Row],[House % Change]], "No Budget Data"))</f>
        <v/>
      </c>
      <c r="K50" s="19" t="str">
        <f>IF(MemberOrgs_SortedTable[[#This Row],[Unique CFDA]] = "", "", IFERROR(MemberOrgs_SortedTable[[#This Row],[FY 2018 Total]]*MemberOrgs_SortedTable[[#This Row],[Senate Budget]], "No Budget Data"))</f>
        <v/>
      </c>
      <c r="L50" t="str">
        <f>IF(MemberOrgs_SortedTable[[#This Row],[Unique CFDA]] = "", "", IF(ISNUMBER(MemberOrgs_SortedTable[[#This Row],[President $ Change]]), RANK(MemberOrgs_SortedTable[[#This Row],[President $ Change]], $G$4:$G$227)+COUNTIF($G$4:G50, G50)-1, 0))</f>
        <v/>
      </c>
      <c r="M50" t="str">
        <f>IFERROR((IF(MemberOrgs_SortedTable[[#This Row],[Sort 1]] = 0, COUNTIF($L$4:L50, 0), "")+MAX(MemberOrgs_SortedTable[Sort 1])), "")</f>
        <v/>
      </c>
      <c r="N50" t="str">
        <f>IF(MemberOrgs_SortedTable[[#This Row],[Sort 1]]&gt;0, MemberOrgs_SortedTable[[#This Row],[Sort 1]], MemberOrgs_SortedTable[[#This Row],[Sort 2]])</f>
        <v/>
      </c>
      <c r="P50">
        <v>47</v>
      </c>
      <c r="Q50" t="str">
        <f>IFERROR(INDEX(MemberOrgs_SortedTable[Unique CFDA], MATCH(Table7[[#This Row],[Desired Order]], MemberOrgs_SortedTable[Final Pres. Sort], 0)), "")</f>
        <v/>
      </c>
      <c r="R50" s="1" t="str">
        <f>IF(ISNUMBER(Table7[[#This Row],[CFDA]]), INDEX(MemberOrgs_Control[Row], MATCH(Table7[[#This Row],[Desired Order]], MemberOrgs_Control['#], 0)), "")</f>
        <v/>
      </c>
    </row>
    <row r="51" spans="1:18" x14ac:dyDescent="0.25">
      <c r="A51" t="str">
        <f>IF(OR(MemberOrgControl!$B54 = "", MemberOrgControl!$B54 &lt;0), "", INDEX(MemberOrgsData[CFDA], MemberOrgControl!$B54))</f>
        <v/>
      </c>
      <c r="C51" t="str">
        <f>IFERROR(INDEX(AllCFDAs[All CFDAs], MATCH(0, INDEX(COUNTIF($C$3:C50, AllCFDAs[All CFDAs]),),0)), "")</f>
        <v/>
      </c>
      <c r="D51" t="str">
        <f t="array" ref="D51">IFERROR(INDEX(MemberOrgsData[FEDERALPROGRAMNAME], MATCH(1, (SelectMemberOrgs = MemberOrgsData[Auditee Name])*(MemberOrgs_SortedTable[[#This Row],[Unique CFDA]]= MemberOrgsData[CFDA]), 0)), "")</f>
        <v/>
      </c>
      <c r="E51" s="20" t="str">
        <f t="array" ref="E51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51" s="21" t="str">
        <f t="array" ref="F51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51" s="19" t="str">
        <f>IF(MemberOrgs_SortedTable[[#This Row],[Unique CFDA]] = "", "", IFERROR(MemberOrgs_SortedTable[[#This Row],[FY 2018 Total]]*MemberOrgs_SortedTable[[#This Row],[President % Change]], "No Budget Data"))</f>
        <v/>
      </c>
      <c r="H51" s="21" t="str">
        <f t="array" ref="H51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51" s="19" t="str">
        <f>IF(MemberOrgs_SortedTable[[#This Row],[Unique CFDA]] = "", "", IFERROR(MemberOrgs_SortedTable[[#This Row],[FY 2018 Total]]*MemberOrgs_SortedTable[[#This Row],[House % Change]], "No Budget Data"))</f>
        <v/>
      </c>
      <c r="K51" s="19" t="str">
        <f>IF(MemberOrgs_SortedTable[[#This Row],[Unique CFDA]] = "", "", IFERROR(MemberOrgs_SortedTable[[#This Row],[FY 2018 Total]]*MemberOrgs_SortedTable[[#This Row],[Senate Budget]], "No Budget Data"))</f>
        <v/>
      </c>
      <c r="L51" t="str">
        <f>IF(MemberOrgs_SortedTable[[#This Row],[Unique CFDA]] = "", "", IF(ISNUMBER(MemberOrgs_SortedTable[[#This Row],[President $ Change]]), RANK(MemberOrgs_SortedTable[[#This Row],[President $ Change]], $G$4:$G$227)+COUNTIF($G$4:G51, G51)-1, 0))</f>
        <v/>
      </c>
      <c r="M51" t="str">
        <f>IFERROR((IF(MemberOrgs_SortedTable[[#This Row],[Sort 1]] = 0, COUNTIF($L$4:L51, 0), "")+MAX(MemberOrgs_SortedTable[Sort 1])), "")</f>
        <v/>
      </c>
      <c r="N51" t="str">
        <f>IF(MemberOrgs_SortedTable[[#This Row],[Sort 1]]&gt;0, MemberOrgs_SortedTable[[#This Row],[Sort 1]], MemberOrgs_SortedTable[[#This Row],[Sort 2]])</f>
        <v/>
      </c>
      <c r="P51">
        <v>48</v>
      </c>
      <c r="Q51" t="str">
        <f>IFERROR(INDEX(MemberOrgs_SortedTable[Unique CFDA], MATCH(Table7[[#This Row],[Desired Order]], MemberOrgs_SortedTable[Final Pres. Sort], 0)), "")</f>
        <v/>
      </c>
      <c r="R51" s="1" t="str">
        <f>IF(ISNUMBER(Table7[[#This Row],[CFDA]]), INDEX(MemberOrgs_Control[Row], MATCH(Table7[[#This Row],[Desired Order]], MemberOrgs_Control['#], 0)), "")</f>
        <v/>
      </c>
    </row>
    <row r="52" spans="1:18" x14ac:dyDescent="0.25">
      <c r="A52" t="str">
        <f>IF(OR(MemberOrgControl!$B55 = "", MemberOrgControl!$B55 &lt;0), "", INDEX(MemberOrgsData[CFDA], MemberOrgControl!$B55))</f>
        <v/>
      </c>
      <c r="C52" t="str">
        <f>IFERROR(INDEX(AllCFDAs[All CFDAs], MATCH(0, INDEX(COUNTIF($C$3:C51, AllCFDAs[All CFDAs]),),0)), "")</f>
        <v/>
      </c>
      <c r="D52" t="str">
        <f t="array" ref="D52">IFERROR(INDEX(MemberOrgsData[FEDERALPROGRAMNAME], MATCH(1, (SelectMemberOrgs = MemberOrgsData[Auditee Name])*(MemberOrgs_SortedTable[[#This Row],[Unique CFDA]]= MemberOrgsData[CFDA]), 0)), "")</f>
        <v/>
      </c>
      <c r="E52" s="20" t="str">
        <f t="array" ref="E52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52" s="21" t="str">
        <f t="array" ref="F52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52" s="19" t="str">
        <f>IF(MemberOrgs_SortedTable[[#This Row],[Unique CFDA]] = "", "", IFERROR(MemberOrgs_SortedTable[[#This Row],[FY 2018 Total]]*MemberOrgs_SortedTable[[#This Row],[President % Change]], "No Budget Data"))</f>
        <v/>
      </c>
      <c r="H52" s="21" t="str">
        <f t="array" ref="H52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52" s="19" t="str">
        <f>IF(MemberOrgs_SortedTable[[#This Row],[Unique CFDA]] = "", "", IFERROR(MemberOrgs_SortedTable[[#This Row],[FY 2018 Total]]*MemberOrgs_SortedTable[[#This Row],[House % Change]], "No Budget Data"))</f>
        <v/>
      </c>
      <c r="K52" s="19" t="str">
        <f>IF(MemberOrgs_SortedTable[[#This Row],[Unique CFDA]] = "", "", IFERROR(MemberOrgs_SortedTable[[#This Row],[FY 2018 Total]]*MemberOrgs_SortedTable[[#This Row],[Senate Budget]], "No Budget Data"))</f>
        <v/>
      </c>
      <c r="L52" t="str">
        <f>IF(MemberOrgs_SortedTable[[#This Row],[Unique CFDA]] = "", "", IF(ISNUMBER(MemberOrgs_SortedTable[[#This Row],[President $ Change]]), RANK(MemberOrgs_SortedTable[[#This Row],[President $ Change]], $G$4:$G$227)+COUNTIF($G$4:G52, G52)-1, 0))</f>
        <v/>
      </c>
      <c r="M52" t="str">
        <f>IFERROR((IF(MemberOrgs_SortedTable[[#This Row],[Sort 1]] = 0, COUNTIF($L$4:L52, 0), "")+MAX(MemberOrgs_SortedTable[Sort 1])), "")</f>
        <v/>
      </c>
      <c r="N52" t="str">
        <f>IF(MemberOrgs_SortedTable[[#This Row],[Sort 1]]&gt;0, MemberOrgs_SortedTable[[#This Row],[Sort 1]], MemberOrgs_SortedTable[[#This Row],[Sort 2]])</f>
        <v/>
      </c>
      <c r="P52">
        <v>49</v>
      </c>
      <c r="Q52" t="str">
        <f>IFERROR(INDEX(MemberOrgs_SortedTable[Unique CFDA], MATCH(Table7[[#This Row],[Desired Order]], MemberOrgs_SortedTable[Final Pres. Sort], 0)), "")</f>
        <v/>
      </c>
      <c r="R52" s="1" t="str">
        <f>IF(ISNUMBER(Table7[[#This Row],[CFDA]]), INDEX(MemberOrgs_Control[Row], MATCH(Table7[[#This Row],[Desired Order]], MemberOrgs_Control['#], 0)), "")</f>
        <v/>
      </c>
    </row>
    <row r="53" spans="1:18" x14ac:dyDescent="0.25">
      <c r="A53" t="str">
        <f>IF(OR(MemberOrgControl!$B56 = "", MemberOrgControl!$B56 &lt;0), "", INDEX(MemberOrgsData[CFDA], MemberOrgControl!$B56))</f>
        <v/>
      </c>
      <c r="C53" t="str">
        <f>IFERROR(INDEX(AllCFDAs[All CFDAs], MATCH(0, INDEX(COUNTIF($C$3:C52, AllCFDAs[All CFDAs]),),0)), "")</f>
        <v/>
      </c>
      <c r="D53" t="str">
        <f t="array" ref="D53">IFERROR(INDEX(MemberOrgsData[FEDERALPROGRAMNAME], MATCH(1, (SelectMemberOrgs = MemberOrgsData[Auditee Name])*(MemberOrgs_SortedTable[[#This Row],[Unique CFDA]]= MemberOrgsData[CFDA]), 0)), "")</f>
        <v/>
      </c>
      <c r="E53" s="20" t="str">
        <f t="array" ref="E53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53" s="21" t="str">
        <f t="array" ref="F53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53" s="19" t="str">
        <f>IF(MemberOrgs_SortedTable[[#This Row],[Unique CFDA]] = "", "", IFERROR(MemberOrgs_SortedTable[[#This Row],[FY 2018 Total]]*MemberOrgs_SortedTable[[#This Row],[President % Change]], "No Budget Data"))</f>
        <v/>
      </c>
      <c r="H53" s="21" t="str">
        <f t="array" ref="H53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53" s="19" t="str">
        <f>IF(MemberOrgs_SortedTable[[#This Row],[Unique CFDA]] = "", "", IFERROR(MemberOrgs_SortedTable[[#This Row],[FY 2018 Total]]*MemberOrgs_SortedTable[[#This Row],[House % Change]], "No Budget Data"))</f>
        <v/>
      </c>
      <c r="K53" s="19" t="str">
        <f>IF(MemberOrgs_SortedTable[[#This Row],[Unique CFDA]] = "", "", IFERROR(MemberOrgs_SortedTable[[#This Row],[FY 2018 Total]]*MemberOrgs_SortedTable[[#This Row],[Senate Budget]], "No Budget Data"))</f>
        <v/>
      </c>
      <c r="L53" t="str">
        <f>IF(MemberOrgs_SortedTable[[#This Row],[Unique CFDA]] = "", "", IF(ISNUMBER(MemberOrgs_SortedTable[[#This Row],[President $ Change]]), RANK(MemberOrgs_SortedTable[[#This Row],[President $ Change]], $G$4:$G$227)+COUNTIF($G$4:G53, G53)-1, 0))</f>
        <v/>
      </c>
      <c r="M53" t="str">
        <f>IFERROR((IF(MemberOrgs_SortedTable[[#This Row],[Sort 1]] = 0, COUNTIF($L$4:L53, 0), "")+MAX(MemberOrgs_SortedTable[Sort 1])), "")</f>
        <v/>
      </c>
      <c r="N53" t="str">
        <f>IF(MemberOrgs_SortedTable[[#This Row],[Sort 1]]&gt;0, MemberOrgs_SortedTable[[#This Row],[Sort 1]], MemberOrgs_SortedTable[[#This Row],[Sort 2]])</f>
        <v/>
      </c>
      <c r="P53">
        <v>50</v>
      </c>
      <c r="Q53" t="str">
        <f>IFERROR(INDEX(MemberOrgs_SortedTable[Unique CFDA], MATCH(Table7[[#This Row],[Desired Order]], MemberOrgs_SortedTable[Final Pres. Sort], 0)), "")</f>
        <v/>
      </c>
      <c r="R53" s="1" t="str">
        <f>IF(ISNUMBER(Table7[[#This Row],[CFDA]]), INDEX(MemberOrgs_Control[Row], MATCH(Table7[[#This Row],[Desired Order]], MemberOrgs_Control['#], 0)), "")</f>
        <v/>
      </c>
    </row>
    <row r="54" spans="1:18" x14ac:dyDescent="0.25">
      <c r="A54" t="str">
        <f>IF(OR(MemberOrgControl!$B57 = "", MemberOrgControl!$B57 &lt;0), "", INDEX(MemberOrgsData[CFDA], MemberOrgControl!$B57))</f>
        <v/>
      </c>
      <c r="C54" t="str">
        <f>IFERROR(INDEX(AllCFDAs[All CFDAs], MATCH(0, INDEX(COUNTIF($C$3:C53, AllCFDAs[All CFDAs]),),0)), "")</f>
        <v/>
      </c>
      <c r="D54" t="str">
        <f t="array" ref="D54">IFERROR(INDEX(MemberOrgsData[FEDERALPROGRAMNAME], MATCH(1, (SelectMemberOrgs = MemberOrgsData[Auditee Name])*(MemberOrgs_SortedTable[[#This Row],[Unique CFDA]]= MemberOrgsData[CFDA]), 0)), "")</f>
        <v/>
      </c>
      <c r="E54" s="20" t="str">
        <f t="array" ref="E54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54" s="21" t="str">
        <f t="array" ref="F54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54" s="19" t="str">
        <f>IF(MemberOrgs_SortedTable[[#This Row],[Unique CFDA]] = "", "", IFERROR(MemberOrgs_SortedTable[[#This Row],[FY 2018 Total]]*MemberOrgs_SortedTable[[#This Row],[President % Change]], "No Budget Data"))</f>
        <v/>
      </c>
      <c r="H54" s="21" t="str">
        <f t="array" ref="H54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54" s="19" t="str">
        <f>IF(MemberOrgs_SortedTable[[#This Row],[Unique CFDA]] = "", "", IFERROR(MemberOrgs_SortedTable[[#This Row],[FY 2018 Total]]*MemberOrgs_SortedTable[[#This Row],[House % Change]], "No Budget Data"))</f>
        <v/>
      </c>
      <c r="K54" s="19" t="str">
        <f>IF(MemberOrgs_SortedTable[[#This Row],[Unique CFDA]] = "", "", IFERROR(MemberOrgs_SortedTable[[#This Row],[FY 2018 Total]]*MemberOrgs_SortedTable[[#This Row],[Senate Budget]], "No Budget Data"))</f>
        <v/>
      </c>
      <c r="L54" t="str">
        <f>IF(MemberOrgs_SortedTable[[#This Row],[Unique CFDA]] = "", "", IF(ISNUMBER(MemberOrgs_SortedTable[[#This Row],[President $ Change]]), RANK(MemberOrgs_SortedTable[[#This Row],[President $ Change]], $G$4:$G$227)+COUNTIF($G$4:G54, G54)-1, 0))</f>
        <v/>
      </c>
      <c r="M54" t="str">
        <f>IFERROR((IF(MemberOrgs_SortedTable[[#This Row],[Sort 1]] = 0, COUNTIF($L$4:L54, 0), "")+MAX(MemberOrgs_SortedTable[Sort 1])), "")</f>
        <v/>
      </c>
      <c r="N54" t="str">
        <f>IF(MemberOrgs_SortedTable[[#This Row],[Sort 1]]&gt;0, MemberOrgs_SortedTable[[#This Row],[Sort 1]], MemberOrgs_SortedTable[[#This Row],[Sort 2]])</f>
        <v/>
      </c>
      <c r="P54">
        <v>51</v>
      </c>
      <c r="Q54" t="str">
        <f>IFERROR(INDEX(MemberOrgs_SortedTable[Unique CFDA], MATCH(Table7[[#This Row],[Desired Order]], MemberOrgs_SortedTable[Final Pres. Sort], 0)), "")</f>
        <v/>
      </c>
      <c r="R54" s="1" t="str">
        <f>IF(ISNUMBER(Table7[[#This Row],[CFDA]]), INDEX(MemberOrgs_Control[Row], MATCH(Table7[[#This Row],[Desired Order]], MemberOrgs_Control['#], 0)), "")</f>
        <v/>
      </c>
    </row>
    <row r="55" spans="1:18" x14ac:dyDescent="0.25">
      <c r="A55" t="str">
        <f>IF(OR(MemberOrgControl!$B58 = "", MemberOrgControl!$B58 &lt;0), "", INDEX(MemberOrgsData[CFDA], MemberOrgControl!$B58))</f>
        <v/>
      </c>
      <c r="C55" t="str">
        <f>IFERROR(INDEX(AllCFDAs[All CFDAs], MATCH(0, INDEX(COUNTIF($C$3:C54, AllCFDAs[All CFDAs]),),0)), "")</f>
        <v/>
      </c>
      <c r="D55" t="str">
        <f t="array" ref="D55">IFERROR(INDEX(MemberOrgsData[FEDERALPROGRAMNAME], MATCH(1, (SelectMemberOrgs = MemberOrgsData[Auditee Name])*(MemberOrgs_SortedTable[[#This Row],[Unique CFDA]]= MemberOrgsData[CFDA]), 0)), "")</f>
        <v/>
      </c>
      <c r="E55" s="20" t="str">
        <f t="array" ref="E55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55" s="21" t="str">
        <f t="array" ref="F55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55" s="19" t="str">
        <f>IF(MemberOrgs_SortedTable[[#This Row],[Unique CFDA]] = "", "", IFERROR(MemberOrgs_SortedTable[[#This Row],[FY 2018 Total]]*MemberOrgs_SortedTable[[#This Row],[President % Change]], "No Budget Data"))</f>
        <v/>
      </c>
      <c r="H55" s="21" t="str">
        <f t="array" ref="H55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55" s="19" t="str">
        <f>IF(MemberOrgs_SortedTable[[#This Row],[Unique CFDA]] = "", "", IFERROR(MemberOrgs_SortedTable[[#This Row],[FY 2018 Total]]*MemberOrgs_SortedTable[[#This Row],[House % Change]], "No Budget Data"))</f>
        <v/>
      </c>
      <c r="K55" s="19" t="str">
        <f>IF(MemberOrgs_SortedTable[[#This Row],[Unique CFDA]] = "", "", IFERROR(MemberOrgs_SortedTable[[#This Row],[FY 2018 Total]]*MemberOrgs_SortedTable[[#This Row],[Senate Budget]], "No Budget Data"))</f>
        <v/>
      </c>
      <c r="L55" t="str">
        <f>IF(MemberOrgs_SortedTable[[#This Row],[Unique CFDA]] = "", "", IF(ISNUMBER(MemberOrgs_SortedTable[[#This Row],[President $ Change]]), RANK(MemberOrgs_SortedTable[[#This Row],[President $ Change]], $G$4:$G$227)+COUNTIF($G$4:G55, G55)-1, 0))</f>
        <v/>
      </c>
      <c r="M55" t="str">
        <f>IFERROR((IF(MemberOrgs_SortedTable[[#This Row],[Sort 1]] = 0, COUNTIF($L$4:L55, 0), "")+MAX(MemberOrgs_SortedTable[Sort 1])), "")</f>
        <v/>
      </c>
      <c r="N55" t="str">
        <f>IF(MemberOrgs_SortedTable[[#This Row],[Sort 1]]&gt;0, MemberOrgs_SortedTable[[#This Row],[Sort 1]], MemberOrgs_SortedTable[[#This Row],[Sort 2]])</f>
        <v/>
      </c>
      <c r="P55">
        <v>52</v>
      </c>
      <c r="Q55" t="str">
        <f>IFERROR(INDEX(MemberOrgs_SortedTable[Unique CFDA], MATCH(Table7[[#This Row],[Desired Order]], MemberOrgs_SortedTable[Final Pres. Sort], 0)), "")</f>
        <v/>
      </c>
      <c r="R55" s="1" t="str">
        <f>IF(ISNUMBER(Table7[[#This Row],[CFDA]]), INDEX(MemberOrgs_Control[Row], MATCH(Table7[[#This Row],[Desired Order]], MemberOrgs_Control['#], 0)), "")</f>
        <v/>
      </c>
    </row>
    <row r="56" spans="1:18" x14ac:dyDescent="0.25">
      <c r="A56" t="str">
        <f>IF(OR(MemberOrgControl!$B59 = "", MemberOrgControl!$B59 &lt;0), "", INDEX(MemberOrgsData[CFDA], MemberOrgControl!$B59))</f>
        <v/>
      </c>
      <c r="C56" t="str">
        <f>IFERROR(INDEX(AllCFDAs[All CFDAs], MATCH(0, INDEX(COUNTIF($C$3:C55, AllCFDAs[All CFDAs]),),0)), "")</f>
        <v/>
      </c>
      <c r="D56" t="str">
        <f t="array" ref="D56">IFERROR(INDEX(MemberOrgsData[FEDERALPROGRAMNAME], MATCH(1, (SelectMemberOrgs = MemberOrgsData[Auditee Name])*(MemberOrgs_SortedTable[[#This Row],[Unique CFDA]]= MemberOrgsData[CFDA]), 0)), "")</f>
        <v/>
      </c>
      <c r="E56" s="20" t="str">
        <f t="array" ref="E56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56" s="21" t="str">
        <f t="array" ref="F56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56" s="19" t="str">
        <f>IF(MemberOrgs_SortedTable[[#This Row],[Unique CFDA]] = "", "", IFERROR(MemberOrgs_SortedTable[[#This Row],[FY 2018 Total]]*MemberOrgs_SortedTable[[#This Row],[President % Change]], "No Budget Data"))</f>
        <v/>
      </c>
      <c r="H56" s="21" t="str">
        <f t="array" ref="H56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56" s="19" t="str">
        <f>IF(MemberOrgs_SortedTable[[#This Row],[Unique CFDA]] = "", "", IFERROR(MemberOrgs_SortedTable[[#This Row],[FY 2018 Total]]*MemberOrgs_SortedTable[[#This Row],[House % Change]], "No Budget Data"))</f>
        <v/>
      </c>
      <c r="K56" s="19" t="str">
        <f>IF(MemberOrgs_SortedTable[[#This Row],[Unique CFDA]] = "", "", IFERROR(MemberOrgs_SortedTable[[#This Row],[FY 2018 Total]]*MemberOrgs_SortedTable[[#This Row],[Senate Budget]], "No Budget Data"))</f>
        <v/>
      </c>
      <c r="L56" t="str">
        <f>IF(MemberOrgs_SortedTable[[#This Row],[Unique CFDA]] = "", "", IF(ISNUMBER(MemberOrgs_SortedTable[[#This Row],[President $ Change]]), RANK(MemberOrgs_SortedTable[[#This Row],[President $ Change]], $G$4:$G$227)+COUNTIF($G$4:G56, G56)-1, 0))</f>
        <v/>
      </c>
      <c r="M56" t="str">
        <f>IFERROR((IF(MemberOrgs_SortedTable[[#This Row],[Sort 1]] = 0, COUNTIF($L$4:L56, 0), "")+MAX(MemberOrgs_SortedTable[Sort 1])), "")</f>
        <v/>
      </c>
      <c r="N56" t="str">
        <f>IF(MemberOrgs_SortedTable[[#This Row],[Sort 1]]&gt;0, MemberOrgs_SortedTable[[#This Row],[Sort 1]], MemberOrgs_SortedTable[[#This Row],[Sort 2]])</f>
        <v/>
      </c>
      <c r="P56">
        <v>53</v>
      </c>
      <c r="Q56" t="str">
        <f>IFERROR(INDEX(MemberOrgs_SortedTable[Unique CFDA], MATCH(Table7[[#This Row],[Desired Order]], MemberOrgs_SortedTable[Final Pres. Sort], 0)), "")</f>
        <v/>
      </c>
      <c r="R56" s="1" t="str">
        <f>IF(ISNUMBER(Table7[[#This Row],[CFDA]]), INDEX(MemberOrgs_Control[Row], MATCH(Table7[[#This Row],[Desired Order]], MemberOrgs_Control['#], 0)), "")</f>
        <v/>
      </c>
    </row>
    <row r="57" spans="1:18" x14ac:dyDescent="0.25">
      <c r="A57" t="str">
        <f>IF(OR(MemberOrgControl!$B60 = "", MemberOrgControl!$B60 &lt;0), "", INDEX(MemberOrgsData[CFDA], MemberOrgControl!$B60))</f>
        <v/>
      </c>
      <c r="C57" t="str">
        <f>IFERROR(INDEX(AllCFDAs[All CFDAs], MATCH(0, INDEX(COUNTIF($C$3:C56, AllCFDAs[All CFDAs]),),0)), "")</f>
        <v/>
      </c>
      <c r="D57" t="str">
        <f t="array" ref="D57">IFERROR(INDEX(MemberOrgsData[FEDERALPROGRAMNAME], MATCH(1, (SelectMemberOrgs = MemberOrgsData[Auditee Name])*(MemberOrgs_SortedTable[[#This Row],[Unique CFDA]]= MemberOrgsData[CFDA]), 0)), "")</f>
        <v/>
      </c>
      <c r="E57" s="20" t="str">
        <f t="array" ref="E57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57" s="21" t="str">
        <f t="array" ref="F57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57" s="19" t="str">
        <f>IF(MemberOrgs_SortedTable[[#This Row],[Unique CFDA]] = "", "", IFERROR(MemberOrgs_SortedTable[[#This Row],[FY 2018 Total]]*MemberOrgs_SortedTable[[#This Row],[President % Change]], "No Budget Data"))</f>
        <v/>
      </c>
      <c r="H57" s="21" t="str">
        <f t="array" ref="H57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57" s="19" t="str">
        <f>IF(MemberOrgs_SortedTable[[#This Row],[Unique CFDA]] = "", "", IFERROR(MemberOrgs_SortedTable[[#This Row],[FY 2018 Total]]*MemberOrgs_SortedTable[[#This Row],[House % Change]], "No Budget Data"))</f>
        <v/>
      </c>
      <c r="K57" s="19" t="str">
        <f>IF(MemberOrgs_SortedTable[[#This Row],[Unique CFDA]] = "", "", IFERROR(MemberOrgs_SortedTable[[#This Row],[FY 2018 Total]]*MemberOrgs_SortedTable[[#This Row],[Senate Budget]], "No Budget Data"))</f>
        <v/>
      </c>
      <c r="L57" t="str">
        <f>IF(MemberOrgs_SortedTable[[#This Row],[Unique CFDA]] = "", "", IF(ISNUMBER(MemberOrgs_SortedTable[[#This Row],[President $ Change]]), RANK(MemberOrgs_SortedTable[[#This Row],[President $ Change]], $G$4:$G$227)+COUNTIF($G$4:G57, G57)-1, 0))</f>
        <v/>
      </c>
      <c r="M57" t="str">
        <f>IFERROR((IF(MemberOrgs_SortedTable[[#This Row],[Sort 1]] = 0, COUNTIF($L$4:L57, 0), "")+MAX(MemberOrgs_SortedTable[Sort 1])), "")</f>
        <v/>
      </c>
      <c r="N57" t="str">
        <f>IF(MemberOrgs_SortedTable[[#This Row],[Sort 1]]&gt;0, MemberOrgs_SortedTable[[#This Row],[Sort 1]], MemberOrgs_SortedTable[[#This Row],[Sort 2]])</f>
        <v/>
      </c>
      <c r="P57">
        <v>54</v>
      </c>
      <c r="Q57" t="str">
        <f>IFERROR(INDEX(MemberOrgs_SortedTable[Unique CFDA], MATCH(Table7[[#This Row],[Desired Order]], MemberOrgs_SortedTable[Final Pres. Sort], 0)), "")</f>
        <v/>
      </c>
      <c r="R57" s="1" t="str">
        <f>IF(ISNUMBER(Table7[[#This Row],[CFDA]]), INDEX(MemberOrgs_Control[Row], MATCH(Table7[[#This Row],[Desired Order]], MemberOrgs_Control['#], 0)), "")</f>
        <v/>
      </c>
    </row>
    <row r="58" spans="1:18" x14ac:dyDescent="0.25">
      <c r="A58" t="str">
        <f>IF(OR(MemberOrgControl!$B61 = "", MemberOrgControl!$B61 &lt;0), "", INDEX(MemberOrgsData[CFDA], MemberOrgControl!$B61))</f>
        <v/>
      </c>
      <c r="C58" t="str">
        <f>IFERROR(INDEX(AllCFDAs[All CFDAs], MATCH(0, INDEX(COUNTIF($C$3:C57, AllCFDAs[All CFDAs]),),0)), "")</f>
        <v/>
      </c>
      <c r="D58" t="str">
        <f t="array" ref="D58">IFERROR(INDEX(MemberOrgsData[FEDERALPROGRAMNAME], MATCH(1, (SelectMemberOrgs = MemberOrgsData[Auditee Name])*(MemberOrgs_SortedTable[[#This Row],[Unique CFDA]]= MemberOrgsData[CFDA]), 0)), "")</f>
        <v/>
      </c>
      <c r="E58" s="20" t="str">
        <f t="array" ref="E58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58" s="21" t="str">
        <f t="array" ref="F58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58" s="19" t="str">
        <f>IF(MemberOrgs_SortedTable[[#This Row],[Unique CFDA]] = "", "", IFERROR(MemberOrgs_SortedTable[[#This Row],[FY 2018 Total]]*MemberOrgs_SortedTable[[#This Row],[President % Change]], "No Budget Data"))</f>
        <v/>
      </c>
      <c r="H58" s="21" t="str">
        <f t="array" ref="H58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58" s="19" t="str">
        <f>IF(MemberOrgs_SortedTable[[#This Row],[Unique CFDA]] = "", "", IFERROR(MemberOrgs_SortedTable[[#This Row],[FY 2018 Total]]*MemberOrgs_SortedTable[[#This Row],[House % Change]], "No Budget Data"))</f>
        <v/>
      </c>
      <c r="K58" s="19" t="str">
        <f>IF(MemberOrgs_SortedTable[[#This Row],[Unique CFDA]] = "", "", IFERROR(MemberOrgs_SortedTable[[#This Row],[FY 2018 Total]]*MemberOrgs_SortedTable[[#This Row],[Senate Budget]], "No Budget Data"))</f>
        <v/>
      </c>
      <c r="L58" t="str">
        <f>IF(MemberOrgs_SortedTable[[#This Row],[Unique CFDA]] = "", "", IF(ISNUMBER(MemberOrgs_SortedTable[[#This Row],[President $ Change]]), RANK(MemberOrgs_SortedTable[[#This Row],[President $ Change]], $G$4:$G$227)+COUNTIF($G$4:G58, G58)-1, 0))</f>
        <v/>
      </c>
      <c r="M58" t="str">
        <f>IFERROR((IF(MemberOrgs_SortedTable[[#This Row],[Sort 1]] = 0, COUNTIF($L$4:L58, 0), "")+MAX(MemberOrgs_SortedTable[Sort 1])), "")</f>
        <v/>
      </c>
      <c r="N58" t="str">
        <f>IF(MemberOrgs_SortedTable[[#This Row],[Sort 1]]&gt;0, MemberOrgs_SortedTable[[#This Row],[Sort 1]], MemberOrgs_SortedTable[[#This Row],[Sort 2]])</f>
        <v/>
      </c>
      <c r="P58">
        <v>55</v>
      </c>
      <c r="Q58" t="str">
        <f>IFERROR(INDEX(MemberOrgs_SortedTable[Unique CFDA], MATCH(Table7[[#This Row],[Desired Order]], MemberOrgs_SortedTable[Final Pres. Sort], 0)), "")</f>
        <v/>
      </c>
      <c r="R58" s="1" t="str">
        <f>IF(ISNUMBER(Table7[[#This Row],[CFDA]]), INDEX(MemberOrgs_Control[Row], MATCH(Table7[[#This Row],[Desired Order]], MemberOrgs_Control['#], 0)), "")</f>
        <v/>
      </c>
    </row>
    <row r="59" spans="1:18" x14ac:dyDescent="0.25">
      <c r="A59" t="str">
        <f>IF(OR(MemberOrgControl!$B62 = "", MemberOrgControl!$B62 &lt;0), "", INDEX(MemberOrgsData[CFDA], MemberOrgControl!$B62))</f>
        <v/>
      </c>
      <c r="C59" t="str">
        <f>IFERROR(INDEX(AllCFDAs[All CFDAs], MATCH(0, INDEX(COUNTIF($C$3:C58, AllCFDAs[All CFDAs]),),0)), "")</f>
        <v/>
      </c>
      <c r="D59" t="str">
        <f t="array" ref="D59">IFERROR(INDEX(MemberOrgsData[FEDERALPROGRAMNAME], MATCH(1, (SelectMemberOrgs = MemberOrgsData[Auditee Name])*(MemberOrgs_SortedTable[[#This Row],[Unique CFDA]]= MemberOrgsData[CFDA]), 0)), "")</f>
        <v/>
      </c>
      <c r="E59" s="20" t="str">
        <f t="array" ref="E59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59" s="21" t="str">
        <f t="array" ref="F59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59" s="19" t="str">
        <f>IF(MemberOrgs_SortedTable[[#This Row],[Unique CFDA]] = "", "", IFERROR(MemberOrgs_SortedTable[[#This Row],[FY 2018 Total]]*MemberOrgs_SortedTable[[#This Row],[President % Change]], "No Budget Data"))</f>
        <v/>
      </c>
      <c r="H59" s="21" t="str">
        <f t="array" ref="H59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59" s="19" t="str">
        <f>IF(MemberOrgs_SortedTable[[#This Row],[Unique CFDA]] = "", "", IFERROR(MemberOrgs_SortedTable[[#This Row],[FY 2018 Total]]*MemberOrgs_SortedTable[[#This Row],[House % Change]], "No Budget Data"))</f>
        <v/>
      </c>
      <c r="K59" s="19" t="str">
        <f>IF(MemberOrgs_SortedTable[[#This Row],[Unique CFDA]] = "", "", IFERROR(MemberOrgs_SortedTable[[#This Row],[FY 2018 Total]]*MemberOrgs_SortedTable[[#This Row],[Senate Budget]], "No Budget Data"))</f>
        <v/>
      </c>
      <c r="L59" t="str">
        <f>IF(MemberOrgs_SortedTable[[#This Row],[Unique CFDA]] = "", "", IF(ISNUMBER(MemberOrgs_SortedTable[[#This Row],[President $ Change]]), RANK(MemberOrgs_SortedTable[[#This Row],[President $ Change]], $G$4:$G$227)+COUNTIF($G$4:G59, G59)-1, 0))</f>
        <v/>
      </c>
      <c r="M59" t="str">
        <f>IFERROR((IF(MemberOrgs_SortedTable[[#This Row],[Sort 1]] = 0, COUNTIF($L$4:L59, 0), "")+MAX(MemberOrgs_SortedTable[Sort 1])), "")</f>
        <v/>
      </c>
      <c r="N59" t="str">
        <f>IF(MemberOrgs_SortedTable[[#This Row],[Sort 1]]&gt;0, MemberOrgs_SortedTable[[#This Row],[Sort 1]], MemberOrgs_SortedTable[[#This Row],[Sort 2]])</f>
        <v/>
      </c>
      <c r="P59">
        <v>56</v>
      </c>
      <c r="Q59" t="str">
        <f>IFERROR(INDEX(MemberOrgs_SortedTable[Unique CFDA], MATCH(Table7[[#This Row],[Desired Order]], MemberOrgs_SortedTable[Final Pres. Sort], 0)), "")</f>
        <v/>
      </c>
      <c r="R59" s="1" t="str">
        <f>IF(ISNUMBER(Table7[[#This Row],[CFDA]]), INDEX(MemberOrgs_Control[Row], MATCH(Table7[[#This Row],[Desired Order]], MemberOrgs_Control['#], 0)), "")</f>
        <v/>
      </c>
    </row>
    <row r="60" spans="1:18" x14ac:dyDescent="0.25">
      <c r="A60" t="str">
        <f>IF(OR(MemberOrgControl!$B63 = "", MemberOrgControl!$B63 &lt;0), "", INDEX(MemberOrgsData[CFDA], MemberOrgControl!$B63))</f>
        <v/>
      </c>
      <c r="C60" t="str">
        <f>IFERROR(INDEX(AllCFDAs[All CFDAs], MATCH(0, INDEX(COUNTIF($C$3:C59, AllCFDAs[All CFDAs]),),0)), "")</f>
        <v/>
      </c>
      <c r="D60" t="str">
        <f t="array" ref="D60">IFERROR(INDEX(MemberOrgsData[FEDERALPROGRAMNAME], MATCH(1, (SelectMemberOrgs = MemberOrgsData[Auditee Name])*(MemberOrgs_SortedTable[[#This Row],[Unique CFDA]]= MemberOrgsData[CFDA]), 0)), "")</f>
        <v/>
      </c>
      <c r="E60" s="20" t="str">
        <f t="array" ref="E60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60" s="21" t="str">
        <f t="array" ref="F60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60" s="19" t="str">
        <f>IF(MemberOrgs_SortedTable[[#This Row],[Unique CFDA]] = "", "", IFERROR(MemberOrgs_SortedTable[[#This Row],[FY 2018 Total]]*MemberOrgs_SortedTable[[#This Row],[President % Change]], "No Budget Data"))</f>
        <v/>
      </c>
      <c r="H60" s="21" t="str">
        <f t="array" ref="H60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60" s="19" t="str">
        <f>IF(MemberOrgs_SortedTable[[#This Row],[Unique CFDA]] = "", "", IFERROR(MemberOrgs_SortedTable[[#This Row],[FY 2018 Total]]*MemberOrgs_SortedTable[[#This Row],[House % Change]], "No Budget Data"))</f>
        <v/>
      </c>
      <c r="K60" s="19" t="str">
        <f>IF(MemberOrgs_SortedTable[[#This Row],[Unique CFDA]] = "", "", IFERROR(MemberOrgs_SortedTable[[#This Row],[FY 2018 Total]]*MemberOrgs_SortedTable[[#This Row],[Senate Budget]], "No Budget Data"))</f>
        <v/>
      </c>
      <c r="L60" t="str">
        <f>IF(MemberOrgs_SortedTable[[#This Row],[Unique CFDA]] = "", "", IF(ISNUMBER(MemberOrgs_SortedTable[[#This Row],[President $ Change]]), RANK(MemberOrgs_SortedTable[[#This Row],[President $ Change]], $G$4:$G$227)+COUNTIF($G$4:G60, G60)-1, 0))</f>
        <v/>
      </c>
      <c r="M60" t="str">
        <f>IFERROR((IF(MemberOrgs_SortedTable[[#This Row],[Sort 1]] = 0, COUNTIF($L$4:L60, 0), "")+MAX(MemberOrgs_SortedTable[Sort 1])), "")</f>
        <v/>
      </c>
      <c r="N60" t="str">
        <f>IF(MemberOrgs_SortedTable[[#This Row],[Sort 1]]&gt;0, MemberOrgs_SortedTable[[#This Row],[Sort 1]], MemberOrgs_SortedTable[[#This Row],[Sort 2]])</f>
        <v/>
      </c>
      <c r="P60">
        <v>57</v>
      </c>
      <c r="Q60" t="str">
        <f>IFERROR(INDEX(MemberOrgs_SortedTable[Unique CFDA], MATCH(Table7[[#This Row],[Desired Order]], MemberOrgs_SortedTable[Final Pres. Sort], 0)), "")</f>
        <v/>
      </c>
      <c r="R60" s="1" t="str">
        <f>IF(ISNUMBER(Table7[[#This Row],[CFDA]]), INDEX(MemberOrgs_Control[Row], MATCH(Table7[[#This Row],[Desired Order]], MemberOrgs_Control['#], 0)), "")</f>
        <v/>
      </c>
    </row>
    <row r="61" spans="1:18" x14ac:dyDescent="0.25">
      <c r="A61" t="str">
        <f>IF(OR(MemberOrgControl!$B64 = "", MemberOrgControl!$B64 &lt;0), "", INDEX(MemberOrgsData[CFDA], MemberOrgControl!$B64))</f>
        <v/>
      </c>
      <c r="C61" t="str">
        <f>IFERROR(INDEX(AllCFDAs[All CFDAs], MATCH(0, INDEX(COUNTIF($C$3:C60, AllCFDAs[All CFDAs]),),0)), "")</f>
        <v/>
      </c>
      <c r="D61" t="str">
        <f t="array" ref="D61">IFERROR(INDEX(MemberOrgsData[FEDERALPROGRAMNAME], MATCH(1, (SelectMemberOrgs = MemberOrgsData[Auditee Name])*(MemberOrgs_SortedTable[[#This Row],[Unique CFDA]]= MemberOrgsData[CFDA]), 0)), "")</f>
        <v/>
      </c>
      <c r="E61" s="20" t="str">
        <f t="array" ref="E61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61" s="21" t="str">
        <f t="array" ref="F61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61" s="19" t="str">
        <f>IF(MemberOrgs_SortedTable[[#This Row],[Unique CFDA]] = "", "", IFERROR(MemberOrgs_SortedTable[[#This Row],[FY 2018 Total]]*MemberOrgs_SortedTable[[#This Row],[President % Change]], "No Budget Data"))</f>
        <v/>
      </c>
      <c r="H61" s="21" t="str">
        <f t="array" ref="H61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61" s="19" t="str">
        <f>IF(MemberOrgs_SortedTable[[#This Row],[Unique CFDA]] = "", "", IFERROR(MemberOrgs_SortedTable[[#This Row],[FY 2018 Total]]*MemberOrgs_SortedTable[[#This Row],[House % Change]], "No Budget Data"))</f>
        <v/>
      </c>
      <c r="K61" s="19" t="str">
        <f>IF(MemberOrgs_SortedTable[[#This Row],[Unique CFDA]] = "", "", IFERROR(MemberOrgs_SortedTable[[#This Row],[FY 2018 Total]]*MemberOrgs_SortedTable[[#This Row],[Senate Budget]], "No Budget Data"))</f>
        <v/>
      </c>
      <c r="L61" t="str">
        <f>IF(MemberOrgs_SortedTable[[#This Row],[Unique CFDA]] = "", "", IF(ISNUMBER(MemberOrgs_SortedTable[[#This Row],[President $ Change]]), RANK(MemberOrgs_SortedTable[[#This Row],[President $ Change]], $G$4:$G$227)+COUNTIF($G$4:G61, G61)-1, 0))</f>
        <v/>
      </c>
      <c r="M61" t="str">
        <f>IFERROR((IF(MemberOrgs_SortedTable[[#This Row],[Sort 1]] = 0, COUNTIF($L$4:L61, 0), "")+MAX(MemberOrgs_SortedTable[Sort 1])), "")</f>
        <v/>
      </c>
      <c r="N61" t="str">
        <f>IF(MemberOrgs_SortedTable[[#This Row],[Sort 1]]&gt;0, MemberOrgs_SortedTable[[#This Row],[Sort 1]], MemberOrgs_SortedTable[[#This Row],[Sort 2]])</f>
        <v/>
      </c>
      <c r="P61">
        <v>58</v>
      </c>
      <c r="Q61" t="str">
        <f>IFERROR(INDEX(MemberOrgs_SortedTable[Unique CFDA], MATCH(Table7[[#This Row],[Desired Order]], MemberOrgs_SortedTable[Final Pres. Sort], 0)), "")</f>
        <v/>
      </c>
      <c r="R61" s="1" t="str">
        <f>IF(ISNUMBER(Table7[[#This Row],[CFDA]]), INDEX(MemberOrgs_Control[Row], MATCH(Table7[[#This Row],[Desired Order]], MemberOrgs_Control['#], 0)), "")</f>
        <v/>
      </c>
    </row>
    <row r="62" spans="1:18" x14ac:dyDescent="0.25">
      <c r="A62" t="str">
        <f>IF(OR(MemberOrgControl!$B65 = "", MemberOrgControl!$B65 &lt;0), "", INDEX(MemberOrgsData[CFDA], MemberOrgControl!$B65))</f>
        <v/>
      </c>
      <c r="C62" t="str">
        <f>IFERROR(INDEX(AllCFDAs[All CFDAs], MATCH(0, INDEX(COUNTIF($C$3:C61, AllCFDAs[All CFDAs]),),0)), "")</f>
        <v/>
      </c>
      <c r="D62" t="str">
        <f t="array" ref="D62">IFERROR(INDEX(MemberOrgsData[FEDERALPROGRAMNAME], MATCH(1, (SelectMemberOrgs = MemberOrgsData[Auditee Name])*(MemberOrgs_SortedTable[[#This Row],[Unique CFDA]]= MemberOrgsData[CFDA]), 0)), "")</f>
        <v/>
      </c>
      <c r="E62" s="20" t="str">
        <f t="array" ref="E62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62" s="21" t="str">
        <f t="array" ref="F62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62" s="19" t="str">
        <f>IF(MemberOrgs_SortedTable[[#This Row],[Unique CFDA]] = "", "", IFERROR(MemberOrgs_SortedTable[[#This Row],[FY 2018 Total]]*MemberOrgs_SortedTable[[#This Row],[President % Change]], "No Budget Data"))</f>
        <v/>
      </c>
      <c r="H62" s="21" t="str">
        <f t="array" ref="H62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62" s="19" t="str">
        <f>IF(MemberOrgs_SortedTable[[#This Row],[Unique CFDA]] = "", "", IFERROR(MemberOrgs_SortedTable[[#This Row],[FY 2018 Total]]*MemberOrgs_SortedTable[[#This Row],[House % Change]], "No Budget Data"))</f>
        <v/>
      </c>
      <c r="K62" s="19" t="str">
        <f>IF(MemberOrgs_SortedTable[[#This Row],[Unique CFDA]] = "", "", IFERROR(MemberOrgs_SortedTable[[#This Row],[FY 2018 Total]]*MemberOrgs_SortedTable[[#This Row],[Senate Budget]], "No Budget Data"))</f>
        <v/>
      </c>
      <c r="L62" t="str">
        <f>IF(MemberOrgs_SortedTable[[#This Row],[Unique CFDA]] = "", "", IF(ISNUMBER(MemberOrgs_SortedTable[[#This Row],[President $ Change]]), RANK(MemberOrgs_SortedTable[[#This Row],[President $ Change]], $G$4:$G$227)+COUNTIF($G$4:G62, G62)-1, 0))</f>
        <v/>
      </c>
      <c r="M62" t="str">
        <f>IFERROR((IF(MemberOrgs_SortedTable[[#This Row],[Sort 1]] = 0, COUNTIF($L$4:L62, 0), "")+MAX(MemberOrgs_SortedTable[Sort 1])), "")</f>
        <v/>
      </c>
      <c r="N62" t="str">
        <f>IF(MemberOrgs_SortedTable[[#This Row],[Sort 1]]&gt;0, MemberOrgs_SortedTable[[#This Row],[Sort 1]], MemberOrgs_SortedTable[[#This Row],[Sort 2]])</f>
        <v/>
      </c>
      <c r="P62">
        <v>59</v>
      </c>
      <c r="Q62" t="str">
        <f>IFERROR(INDEX(MemberOrgs_SortedTable[Unique CFDA], MATCH(Table7[[#This Row],[Desired Order]], MemberOrgs_SortedTable[Final Pres. Sort], 0)), "")</f>
        <v/>
      </c>
      <c r="R62" s="1" t="str">
        <f>IF(ISNUMBER(Table7[[#This Row],[CFDA]]), INDEX(MemberOrgs_Control[Row], MATCH(Table7[[#This Row],[Desired Order]], MemberOrgs_Control['#], 0)), "")</f>
        <v/>
      </c>
    </row>
    <row r="63" spans="1:18" x14ac:dyDescent="0.25">
      <c r="A63" t="str">
        <f>IF(OR(MemberOrgControl!$B66 = "", MemberOrgControl!$B66 &lt;0), "", INDEX(MemberOrgsData[CFDA], MemberOrgControl!$B66))</f>
        <v/>
      </c>
      <c r="C63" t="str">
        <f>IFERROR(INDEX(AllCFDAs[All CFDAs], MATCH(0, INDEX(COUNTIF($C$3:C62, AllCFDAs[All CFDAs]),),0)), "")</f>
        <v/>
      </c>
      <c r="D63" t="str">
        <f t="array" ref="D63">IFERROR(INDEX(MemberOrgsData[FEDERALPROGRAMNAME], MATCH(1, (SelectMemberOrgs = MemberOrgsData[Auditee Name])*(MemberOrgs_SortedTable[[#This Row],[Unique CFDA]]= MemberOrgsData[CFDA]), 0)), "")</f>
        <v/>
      </c>
      <c r="E63" s="20" t="str">
        <f t="array" ref="E63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63" s="21" t="str">
        <f t="array" ref="F63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63" s="19" t="str">
        <f>IF(MemberOrgs_SortedTable[[#This Row],[Unique CFDA]] = "", "", IFERROR(MemberOrgs_SortedTable[[#This Row],[FY 2018 Total]]*MemberOrgs_SortedTable[[#This Row],[President % Change]], "No Budget Data"))</f>
        <v/>
      </c>
      <c r="H63" s="21" t="str">
        <f t="array" ref="H63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63" s="19" t="str">
        <f>IF(MemberOrgs_SortedTable[[#This Row],[Unique CFDA]] = "", "", IFERROR(MemberOrgs_SortedTable[[#This Row],[FY 2018 Total]]*MemberOrgs_SortedTable[[#This Row],[House % Change]], "No Budget Data"))</f>
        <v/>
      </c>
      <c r="K63" s="19" t="str">
        <f>IF(MemberOrgs_SortedTable[[#This Row],[Unique CFDA]] = "", "", IFERROR(MemberOrgs_SortedTable[[#This Row],[FY 2018 Total]]*MemberOrgs_SortedTable[[#This Row],[Senate Budget]], "No Budget Data"))</f>
        <v/>
      </c>
      <c r="L63" t="str">
        <f>IF(MemberOrgs_SortedTable[[#This Row],[Unique CFDA]] = "", "", IF(ISNUMBER(MemberOrgs_SortedTable[[#This Row],[President $ Change]]), RANK(MemberOrgs_SortedTable[[#This Row],[President $ Change]], $G$4:$G$227)+COUNTIF($G$4:G63, G63)-1, 0))</f>
        <v/>
      </c>
      <c r="M63" t="str">
        <f>IFERROR((IF(MemberOrgs_SortedTable[[#This Row],[Sort 1]] = 0, COUNTIF($L$4:L63, 0), "")+MAX(MemberOrgs_SortedTable[Sort 1])), "")</f>
        <v/>
      </c>
      <c r="N63" t="str">
        <f>IF(MemberOrgs_SortedTable[[#This Row],[Sort 1]]&gt;0, MemberOrgs_SortedTable[[#This Row],[Sort 1]], MemberOrgs_SortedTable[[#This Row],[Sort 2]])</f>
        <v/>
      </c>
      <c r="P63">
        <v>60</v>
      </c>
      <c r="Q63" t="str">
        <f>IFERROR(INDEX(MemberOrgs_SortedTable[Unique CFDA], MATCH(Table7[[#This Row],[Desired Order]], MemberOrgs_SortedTable[Final Pres. Sort], 0)), "")</f>
        <v/>
      </c>
      <c r="R63" s="1" t="str">
        <f>IF(ISNUMBER(Table7[[#This Row],[CFDA]]), INDEX(MemberOrgs_Control[Row], MATCH(Table7[[#This Row],[Desired Order]], MemberOrgs_Control['#], 0)), "")</f>
        <v/>
      </c>
    </row>
    <row r="64" spans="1:18" x14ac:dyDescent="0.25">
      <c r="A64" t="str">
        <f>IF(OR(MemberOrgControl!$B67 = "", MemberOrgControl!$B67 &lt;0), "", INDEX(MemberOrgsData[CFDA], MemberOrgControl!$B67))</f>
        <v/>
      </c>
      <c r="C64" t="str">
        <f>IFERROR(INDEX(AllCFDAs[All CFDAs], MATCH(0, INDEX(COUNTIF($C$3:C63, AllCFDAs[All CFDAs]),),0)), "")</f>
        <v/>
      </c>
      <c r="D64" t="str">
        <f t="array" ref="D64">IFERROR(INDEX(MemberOrgsData[FEDERALPROGRAMNAME], MATCH(1, (SelectMemberOrgs = MemberOrgsData[Auditee Name])*(MemberOrgs_SortedTable[[#This Row],[Unique CFDA]]= MemberOrgsData[CFDA]), 0)), "")</f>
        <v/>
      </c>
      <c r="E64" s="20" t="str">
        <f t="array" ref="E64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64" s="21" t="str">
        <f t="array" ref="F64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64" s="19" t="str">
        <f>IF(MemberOrgs_SortedTable[[#This Row],[Unique CFDA]] = "", "", IFERROR(MemberOrgs_SortedTable[[#This Row],[FY 2018 Total]]*MemberOrgs_SortedTable[[#This Row],[President % Change]], "No Budget Data"))</f>
        <v/>
      </c>
      <c r="H64" s="21" t="str">
        <f t="array" ref="H64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64" s="19" t="str">
        <f>IF(MemberOrgs_SortedTable[[#This Row],[Unique CFDA]] = "", "", IFERROR(MemberOrgs_SortedTable[[#This Row],[FY 2018 Total]]*MemberOrgs_SortedTable[[#This Row],[House % Change]], "No Budget Data"))</f>
        <v/>
      </c>
      <c r="K64" s="19" t="str">
        <f>IF(MemberOrgs_SortedTable[[#This Row],[Unique CFDA]] = "", "", IFERROR(MemberOrgs_SortedTable[[#This Row],[FY 2018 Total]]*MemberOrgs_SortedTable[[#This Row],[Senate Budget]], "No Budget Data"))</f>
        <v/>
      </c>
      <c r="L64" t="str">
        <f>IF(MemberOrgs_SortedTable[[#This Row],[Unique CFDA]] = "", "", IF(ISNUMBER(MemberOrgs_SortedTable[[#This Row],[President $ Change]]), RANK(MemberOrgs_SortedTable[[#This Row],[President $ Change]], $G$4:$G$227)+COUNTIF($G$4:G64, G64)-1, 0))</f>
        <v/>
      </c>
      <c r="M64" t="str">
        <f>IFERROR((IF(MemberOrgs_SortedTable[[#This Row],[Sort 1]] = 0, COUNTIF($L$4:L64, 0), "")+MAX(MemberOrgs_SortedTable[Sort 1])), "")</f>
        <v/>
      </c>
      <c r="N64" t="str">
        <f>IF(MemberOrgs_SortedTable[[#This Row],[Sort 1]]&gt;0, MemberOrgs_SortedTable[[#This Row],[Sort 1]], MemberOrgs_SortedTable[[#This Row],[Sort 2]])</f>
        <v/>
      </c>
      <c r="P64">
        <v>61</v>
      </c>
      <c r="Q64" t="str">
        <f>IFERROR(INDEX(MemberOrgs_SortedTable[Unique CFDA], MATCH(Table7[[#This Row],[Desired Order]], MemberOrgs_SortedTable[Final Pres. Sort], 0)), "")</f>
        <v/>
      </c>
      <c r="R64" s="1" t="str">
        <f>IF(ISNUMBER(Table7[[#This Row],[CFDA]]), INDEX(MemberOrgs_Control[Row], MATCH(Table7[[#This Row],[Desired Order]], MemberOrgs_Control['#], 0)), "")</f>
        <v/>
      </c>
    </row>
    <row r="65" spans="1:18" x14ac:dyDescent="0.25">
      <c r="A65" t="str">
        <f>IF(OR(MemberOrgControl!$B68 = "", MemberOrgControl!$B68 &lt;0), "", INDEX(MemberOrgsData[CFDA], MemberOrgControl!$B68))</f>
        <v/>
      </c>
      <c r="C65" t="str">
        <f>IFERROR(INDEX(AllCFDAs[All CFDAs], MATCH(0, INDEX(COUNTIF($C$3:C64, AllCFDAs[All CFDAs]),),0)), "")</f>
        <v/>
      </c>
      <c r="D65" t="str">
        <f t="array" ref="D65">IFERROR(INDEX(MemberOrgsData[FEDERALPROGRAMNAME], MATCH(1, (SelectMemberOrgs = MemberOrgsData[Auditee Name])*(MemberOrgs_SortedTable[[#This Row],[Unique CFDA]]= MemberOrgsData[CFDA]), 0)), "")</f>
        <v/>
      </c>
      <c r="E65" s="20" t="str">
        <f t="array" ref="E65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65" s="21" t="str">
        <f t="array" ref="F65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65" s="19" t="str">
        <f>IF(MemberOrgs_SortedTable[[#This Row],[Unique CFDA]] = "", "", IFERROR(MemberOrgs_SortedTable[[#This Row],[FY 2018 Total]]*MemberOrgs_SortedTable[[#This Row],[President % Change]], "No Budget Data"))</f>
        <v/>
      </c>
      <c r="H65" s="21" t="str">
        <f t="array" ref="H65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65" s="19" t="str">
        <f>IF(MemberOrgs_SortedTable[[#This Row],[Unique CFDA]] = "", "", IFERROR(MemberOrgs_SortedTable[[#This Row],[FY 2018 Total]]*MemberOrgs_SortedTable[[#This Row],[House % Change]], "No Budget Data"))</f>
        <v/>
      </c>
      <c r="K65" s="19" t="str">
        <f>IF(MemberOrgs_SortedTable[[#This Row],[Unique CFDA]] = "", "", IFERROR(MemberOrgs_SortedTable[[#This Row],[FY 2018 Total]]*MemberOrgs_SortedTable[[#This Row],[Senate Budget]], "No Budget Data"))</f>
        <v/>
      </c>
      <c r="L65" t="str">
        <f>IF(MemberOrgs_SortedTable[[#This Row],[Unique CFDA]] = "", "", IF(ISNUMBER(MemberOrgs_SortedTable[[#This Row],[President $ Change]]), RANK(MemberOrgs_SortedTable[[#This Row],[President $ Change]], $G$4:$G$227)+COUNTIF($G$4:G65, G65)-1, 0))</f>
        <v/>
      </c>
      <c r="M65" t="str">
        <f>IFERROR((IF(MemberOrgs_SortedTable[[#This Row],[Sort 1]] = 0, COUNTIF($L$4:L65, 0), "")+MAX(MemberOrgs_SortedTable[Sort 1])), "")</f>
        <v/>
      </c>
      <c r="N65" t="str">
        <f>IF(MemberOrgs_SortedTable[[#This Row],[Sort 1]]&gt;0, MemberOrgs_SortedTable[[#This Row],[Sort 1]], MemberOrgs_SortedTable[[#This Row],[Sort 2]])</f>
        <v/>
      </c>
      <c r="P65">
        <v>62</v>
      </c>
      <c r="Q65" t="str">
        <f>IFERROR(INDEX(MemberOrgs_SortedTable[Unique CFDA], MATCH(Table7[[#This Row],[Desired Order]], MemberOrgs_SortedTable[Final Pres. Sort], 0)), "")</f>
        <v/>
      </c>
      <c r="R65" s="1" t="str">
        <f>IF(ISNUMBER(Table7[[#This Row],[CFDA]]), INDEX(MemberOrgs_Control[Row], MATCH(Table7[[#This Row],[Desired Order]], MemberOrgs_Control['#], 0)), "")</f>
        <v/>
      </c>
    </row>
    <row r="66" spans="1:18" x14ac:dyDescent="0.25">
      <c r="A66" t="str">
        <f>IF(OR(MemberOrgControl!$B69 = "", MemberOrgControl!$B69 &lt;0), "", INDEX(MemberOrgsData[CFDA], MemberOrgControl!$B69))</f>
        <v/>
      </c>
      <c r="C66" t="str">
        <f>IFERROR(INDEX(AllCFDAs[All CFDAs], MATCH(0, INDEX(COUNTIF($C$3:C65, AllCFDAs[All CFDAs]),),0)), "")</f>
        <v/>
      </c>
      <c r="D66" t="str">
        <f t="array" ref="D66">IFERROR(INDEX(MemberOrgsData[FEDERALPROGRAMNAME], MATCH(1, (SelectMemberOrgs = MemberOrgsData[Auditee Name])*(MemberOrgs_SortedTable[[#This Row],[Unique CFDA]]= MemberOrgsData[CFDA]), 0)), "")</f>
        <v/>
      </c>
      <c r="E66" s="20" t="str">
        <f t="array" ref="E66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66" s="21" t="str">
        <f t="array" ref="F66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66" s="19" t="str">
        <f>IF(MemberOrgs_SortedTable[[#This Row],[Unique CFDA]] = "", "", IFERROR(MemberOrgs_SortedTable[[#This Row],[FY 2018 Total]]*MemberOrgs_SortedTable[[#This Row],[President % Change]], "No Budget Data"))</f>
        <v/>
      </c>
      <c r="H66" s="21" t="str">
        <f t="array" ref="H66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66" s="19" t="str">
        <f>IF(MemberOrgs_SortedTable[[#This Row],[Unique CFDA]] = "", "", IFERROR(MemberOrgs_SortedTable[[#This Row],[FY 2018 Total]]*MemberOrgs_SortedTable[[#This Row],[House % Change]], "No Budget Data"))</f>
        <v/>
      </c>
      <c r="K66" s="19" t="str">
        <f>IF(MemberOrgs_SortedTable[[#This Row],[Unique CFDA]] = "", "", IFERROR(MemberOrgs_SortedTable[[#This Row],[FY 2018 Total]]*MemberOrgs_SortedTable[[#This Row],[Senate Budget]], "No Budget Data"))</f>
        <v/>
      </c>
      <c r="L66" t="str">
        <f>IF(MemberOrgs_SortedTable[[#This Row],[Unique CFDA]] = "", "", IF(ISNUMBER(MemberOrgs_SortedTable[[#This Row],[President $ Change]]), RANK(MemberOrgs_SortedTable[[#This Row],[President $ Change]], $G$4:$G$227)+COUNTIF($G$4:G66, G66)-1, 0))</f>
        <v/>
      </c>
      <c r="M66" t="str">
        <f>IFERROR((IF(MemberOrgs_SortedTable[[#This Row],[Sort 1]] = 0, COUNTIF($L$4:L66, 0), "")+MAX(MemberOrgs_SortedTable[Sort 1])), "")</f>
        <v/>
      </c>
      <c r="N66" t="str">
        <f>IF(MemberOrgs_SortedTable[[#This Row],[Sort 1]]&gt;0, MemberOrgs_SortedTable[[#This Row],[Sort 1]], MemberOrgs_SortedTable[[#This Row],[Sort 2]])</f>
        <v/>
      </c>
      <c r="P66">
        <v>63</v>
      </c>
      <c r="Q66" t="str">
        <f>IFERROR(INDEX(MemberOrgs_SortedTable[Unique CFDA], MATCH(Table7[[#This Row],[Desired Order]], MemberOrgs_SortedTable[Final Pres. Sort], 0)), "")</f>
        <v/>
      </c>
      <c r="R66" s="1" t="str">
        <f>IF(ISNUMBER(Table7[[#This Row],[CFDA]]), INDEX(MemberOrgs_Control[Row], MATCH(Table7[[#This Row],[Desired Order]], MemberOrgs_Control['#], 0)), "")</f>
        <v/>
      </c>
    </row>
    <row r="67" spans="1:18" x14ac:dyDescent="0.25">
      <c r="A67" t="str">
        <f>IF(OR(MemberOrgControl!$B70 = "", MemberOrgControl!$B70 &lt;0), "", INDEX(MemberOrgsData[CFDA], MemberOrgControl!$B70))</f>
        <v/>
      </c>
      <c r="C67" t="str">
        <f>IFERROR(INDEX(AllCFDAs[All CFDAs], MATCH(0, INDEX(COUNTIF($C$3:C66, AllCFDAs[All CFDAs]),),0)), "")</f>
        <v/>
      </c>
      <c r="D67" t="str">
        <f t="array" ref="D67">IFERROR(INDEX(MemberOrgsData[FEDERALPROGRAMNAME], MATCH(1, (SelectMemberOrgs = MemberOrgsData[Auditee Name])*(MemberOrgs_SortedTable[[#This Row],[Unique CFDA]]= MemberOrgsData[CFDA]), 0)), "")</f>
        <v/>
      </c>
      <c r="E67" s="20" t="str">
        <f t="array" ref="E67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67" s="21" t="str">
        <f t="array" ref="F67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67" s="19" t="str">
        <f>IF(MemberOrgs_SortedTable[[#This Row],[Unique CFDA]] = "", "", IFERROR(MemberOrgs_SortedTable[[#This Row],[FY 2018 Total]]*MemberOrgs_SortedTable[[#This Row],[President % Change]], "No Budget Data"))</f>
        <v/>
      </c>
      <c r="H67" s="21" t="str">
        <f t="array" ref="H67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67" s="19" t="str">
        <f>IF(MemberOrgs_SortedTable[[#This Row],[Unique CFDA]] = "", "", IFERROR(MemberOrgs_SortedTable[[#This Row],[FY 2018 Total]]*MemberOrgs_SortedTable[[#This Row],[House % Change]], "No Budget Data"))</f>
        <v/>
      </c>
      <c r="K67" s="19" t="str">
        <f>IF(MemberOrgs_SortedTable[[#This Row],[Unique CFDA]] = "", "", IFERROR(MemberOrgs_SortedTable[[#This Row],[FY 2018 Total]]*MemberOrgs_SortedTable[[#This Row],[Senate Budget]], "No Budget Data"))</f>
        <v/>
      </c>
      <c r="L67" t="str">
        <f>IF(MemberOrgs_SortedTable[[#This Row],[Unique CFDA]] = "", "", IF(ISNUMBER(MemberOrgs_SortedTable[[#This Row],[President $ Change]]), RANK(MemberOrgs_SortedTable[[#This Row],[President $ Change]], $G$4:$G$227)+COUNTIF($G$4:G67, G67)-1, 0))</f>
        <v/>
      </c>
      <c r="M67" t="str">
        <f>IFERROR((IF(MemberOrgs_SortedTable[[#This Row],[Sort 1]] = 0, COUNTIF($L$4:L67, 0), "")+MAX(MemberOrgs_SortedTable[Sort 1])), "")</f>
        <v/>
      </c>
      <c r="N67" t="str">
        <f>IF(MemberOrgs_SortedTable[[#This Row],[Sort 1]]&gt;0, MemberOrgs_SortedTable[[#This Row],[Sort 1]], MemberOrgs_SortedTable[[#This Row],[Sort 2]])</f>
        <v/>
      </c>
      <c r="P67">
        <v>64</v>
      </c>
      <c r="Q67" t="str">
        <f>IFERROR(INDEX(MemberOrgs_SortedTable[Unique CFDA], MATCH(Table7[[#This Row],[Desired Order]], MemberOrgs_SortedTable[Final Pres. Sort], 0)), "")</f>
        <v/>
      </c>
      <c r="R67" s="1" t="str">
        <f>IF(ISNUMBER(Table7[[#This Row],[CFDA]]), INDEX(MemberOrgs_Control[Row], MATCH(Table7[[#This Row],[Desired Order]], MemberOrgs_Control['#], 0)), "")</f>
        <v/>
      </c>
    </row>
    <row r="68" spans="1:18" x14ac:dyDescent="0.25">
      <c r="A68" t="str">
        <f>IF(OR(MemberOrgControl!$B71 = "", MemberOrgControl!$B71 &lt;0), "", INDEX(MemberOrgsData[CFDA], MemberOrgControl!$B71))</f>
        <v/>
      </c>
      <c r="C68" t="str">
        <f>IFERROR(INDEX(AllCFDAs[All CFDAs], MATCH(0, INDEX(COUNTIF($C$3:C67, AllCFDAs[All CFDAs]),),0)), "")</f>
        <v/>
      </c>
      <c r="D68" t="str">
        <f t="array" ref="D68">IFERROR(INDEX(MemberOrgsData[FEDERALPROGRAMNAME], MATCH(1, (SelectMemberOrgs = MemberOrgsData[Auditee Name])*(MemberOrgs_SortedTable[[#This Row],[Unique CFDA]]= MemberOrgsData[CFDA]), 0)), "")</f>
        <v/>
      </c>
      <c r="E68" s="20" t="str">
        <f t="array" ref="E68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68" s="21" t="str">
        <f t="array" ref="F68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68" s="19" t="str">
        <f>IF(MemberOrgs_SortedTable[[#This Row],[Unique CFDA]] = "", "", IFERROR(MemberOrgs_SortedTable[[#This Row],[FY 2018 Total]]*MemberOrgs_SortedTable[[#This Row],[President % Change]], "No Budget Data"))</f>
        <v/>
      </c>
      <c r="H68" s="21" t="str">
        <f t="array" ref="H68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68" s="19" t="str">
        <f>IF(MemberOrgs_SortedTable[[#This Row],[Unique CFDA]] = "", "", IFERROR(MemberOrgs_SortedTable[[#This Row],[FY 2018 Total]]*MemberOrgs_SortedTable[[#This Row],[House % Change]], "No Budget Data"))</f>
        <v/>
      </c>
      <c r="K68" s="19" t="str">
        <f>IF(MemberOrgs_SortedTable[[#This Row],[Unique CFDA]] = "", "", IFERROR(MemberOrgs_SortedTable[[#This Row],[FY 2018 Total]]*MemberOrgs_SortedTable[[#This Row],[Senate Budget]], "No Budget Data"))</f>
        <v/>
      </c>
      <c r="L68" t="str">
        <f>IF(MemberOrgs_SortedTable[[#This Row],[Unique CFDA]] = "", "", IF(ISNUMBER(MemberOrgs_SortedTable[[#This Row],[President $ Change]]), RANK(MemberOrgs_SortedTable[[#This Row],[President $ Change]], $G$4:$G$227)+COUNTIF($G$4:G68, G68)-1, 0))</f>
        <v/>
      </c>
      <c r="M68" t="str">
        <f>IFERROR((IF(MemberOrgs_SortedTable[[#This Row],[Sort 1]] = 0, COUNTIF($L$4:L68, 0), "")+MAX(MemberOrgs_SortedTable[Sort 1])), "")</f>
        <v/>
      </c>
      <c r="N68" t="str">
        <f>IF(MemberOrgs_SortedTable[[#This Row],[Sort 1]]&gt;0, MemberOrgs_SortedTable[[#This Row],[Sort 1]], MemberOrgs_SortedTable[[#This Row],[Sort 2]])</f>
        <v/>
      </c>
      <c r="P68">
        <v>65</v>
      </c>
      <c r="Q68" t="str">
        <f>IFERROR(INDEX(MemberOrgs_SortedTable[Unique CFDA], MATCH(Table7[[#This Row],[Desired Order]], MemberOrgs_SortedTable[Final Pres. Sort], 0)), "")</f>
        <v/>
      </c>
      <c r="R68" s="1" t="str">
        <f>IF(ISNUMBER(Table7[[#This Row],[CFDA]]), INDEX(MemberOrgs_Control[Row], MATCH(Table7[[#This Row],[Desired Order]], MemberOrgs_Control['#], 0)), "")</f>
        <v/>
      </c>
    </row>
    <row r="69" spans="1:18" x14ac:dyDescent="0.25">
      <c r="A69" t="str">
        <f>IF(OR(MemberOrgControl!$B72 = "", MemberOrgControl!$B72 &lt;0), "", INDEX(MemberOrgsData[CFDA], MemberOrgControl!$B72))</f>
        <v/>
      </c>
      <c r="C69" t="str">
        <f>IFERROR(INDEX(AllCFDAs[All CFDAs], MATCH(0, INDEX(COUNTIF($C$3:C68, AllCFDAs[All CFDAs]),),0)), "")</f>
        <v/>
      </c>
      <c r="D69" t="str">
        <f t="array" ref="D69">IFERROR(INDEX(MemberOrgsData[FEDERALPROGRAMNAME], MATCH(1, (SelectMemberOrgs = MemberOrgsData[Auditee Name])*(MemberOrgs_SortedTable[[#This Row],[Unique CFDA]]= MemberOrgsData[CFDA]), 0)), "")</f>
        <v/>
      </c>
      <c r="E69" s="20" t="str">
        <f t="array" ref="E69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69" s="21" t="str">
        <f t="array" ref="F69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69" s="19" t="str">
        <f>IF(MemberOrgs_SortedTable[[#This Row],[Unique CFDA]] = "", "", IFERROR(MemberOrgs_SortedTable[[#This Row],[FY 2018 Total]]*MemberOrgs_SortedTable[[#This Row],[President % Change]], "No Budget Data"))</f>
        <v/>
      </c>
      <c r="H69" s="21" t="str">
        <f t="array" ref="H69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69" s="19" t="str">
        <f>IF(MemberOrgs_SortedTable[[#This Row],[Unique CFDA]] = "", "", IFERROR(MemberOrgs_SortedTable[[#This Row],[FY 2018 Total]]*MemberOrgs_SortedTable[[#This Row],[House % Change]], "No Budget Data"))</f>
        <v/>
      </c>
      <c r="K69" s="19" t="str">
        <f>IF(MemberOrgs_SortedTable[[#This Row],[Unique CFDA]] = "", "", IFERROR(MemberOrgs_SortedTable[[#This Row],[FY 2018 Total]]*MemberOrgs_SortedTable[[#This Row],[Senate Budget]], "No Budget Data"))</f>
        <v/>
      </c>
      <c r="L69" t="str">
        <f>IF(MemberOrgs_SortedTable[[#This Row],[Unique CFDA]] = "", "", IF(ISNUMBER(MemberOrgs_SortedTable[[#This Row],[President $ Change]]), RANK(MemberOrgs_SortedTable[[#This Row],[President $ Change]], $G$4:$G$227)+COUNTIF($G$4:G69, G69)-1, 0))</f>
        <v/>
      </c>
      <c r="M69" t="str">
        <f>IFERROR((IF(MemberOrgs_SortedTable[[#This Row],[Sort 1]] = 0, COUNTIF($L$4:L69, 0), "")+MAX(MemberOrgs_SortedTable[Sort 1])), "")</f>
        <v/>
      </c>
      <c r="N69" t="str">
        <f>IF(MemberOrgs_SortedTable[[#This Row],[Sort 1]]&gt;0, MemberOrgs_SortedTable[[#This Row],[Sort 1]], MemberOrgs_SortedTable[[#This Row],[Sort 2]])</f>
        <v/>
      </c>
      <c r="P69">
        <v>66</v>
      </c>
      <c r="Q69" t="str">
        <f>IFERROR(INDEX(MemberOrgs_SortedTable[Unique CFDA], MATCH(Table7[[#This Row],[Desired Order]], MemberOrgs_SortedTable[Final Pres. Sort], 0)), "")</f>
        <v/>
      </c>
      <c r="R69" s="1" t="str">
        <f>IF(ISNUMBER(Table7[[#This Row],[CFDA]]), INDEX(MemberOrgs_Control[Row], MATCH(Table7[[#This Row],[Desired Order]], MemberOrgs_Control['#], 0)), "")</f>
        <v/>
      </c>
    </row>
    <row r="70" spans="1:18" x14ac:dyDescent="0.25">
      <c r="A70" t="str">
        <f>IF(OR(MemberOrgControl!$B73 = "", MemberOrgControl!$B73 &lt;0), "", INDEX(MemberOrgsData[CFDA], MemberOrgControl!$B73))</f>
        <v/>
      </c>
      <c r="C70" t="str">
        <f>IFERROR(INDEX(AllCFDAs[All CFDAs], MATCH(0, INDEX(COUNTIF($C$3:C69, AllCFDAs[All CFDAs]),),0)), "")</f>
        <v/>
      </c>
      <c r="D70" t="str">
        <f t="array" ref="D70">IFERROR(INDEX(MemberOrgsData[FEDERALPROGRAMNAME], MATCH(1, (SelectMemberOrgs = MemberOrgsData[Auditee Name])*(MemberOrgs_SortedTable[[#This Row],[Unique CFDA]]= MemberOrgsData[CFDA]), 0)), "")</f>
        <v/>
      </c>
      <c r="E70" s="20" t="str">
        <f t="array" ref="E70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70" s="21" t="str">
        <f t="array" ref="F70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70" s="19" t="str">
        <f>IF(MemberOrgs_SortedTable[[#This Row],[Unique CFDA]] = "", "", IFERROR(MemberOrgs_SortedTable[[#This Row],[FY 2018 Total]]*MemberOrgs_SortedTable[[#This Row],[President % Change]], "No Budget Data"))</f>
        <v/>
      </c>
      <c r="H70" s="21" t="str">
        <f t="array" ref="H70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70" s="19" t="str">
        <f>IF(MemberOrgs_SortedTable[[#This Row],[Unique CFDA]] = "", "", IFERROR(MemberOrgs_SortedTable[[#This Row],[FY 2018 Total]]*MemberOrgs_SortedTable[[#This Row],[House % Change]], "No Budget Data"))</f>
        <v/>
      </c>
      <c r="K70" s="19" t="str">
        <f>IF(MemberOrgs_SortedTable[[#This Row],[Unique CFDA]] = "", "", IFERROR(MemberOrgs_SortedTable[[#This Row],[FY 2018 Total]]*MemberOrgs_SortedTable[[#This Row],[Senate Budget]], "No Budget Data"))</f>
        <v/>
      </c>
      <c r="L70" t="str">
        <f>IF(MemberOrgs_SortedTable[[#This Row],[Unique CFDA]] = "", "", IF(ISNUMBER(MemberOrgs_SortedTable[[#This Row],[President $ Change]]), RANK(MemberOrgs_SortedTable[[#This Row],[President $ Change]], $G$4:$G$227)+COUNTIF($G$4:G70, G70)-1, 0))</f>
        <v/>
      </c>
      <c r="M70" t="str">
        <f>IFERROR((IF(MemberOrgs_SortedTable[[#This Row],[Sort 1]] = 0, COUNTIF($L$4:L70, 0), "")+MAX(MemberOrgs_SortedTable[Sort 1])), "")</f>
        <v/>
      </c>
      <c r="N70" t="str">
        <f>IF(MemberOrgs_SortedTable[[#This Row],[Sort 1]]&gt;0, MemberOrgs_SortedTable[[#This Row],[Sort 1]], MemberOrgs_SortedTable[[#This Row],[Sort 2]])</f>
        <v/>
      </c>
      <c r="P70">
        <v>67</v>
      </c>
      <c r="Q70" t="str">
        <f>IFERROR(INDEX(MemberOrgs_SortedTable[Unique CFDA], MATCH(Table7[[#This Row],[Desired Order]], MemberOrgs_SortedTable[Final Pres. Sort], 0)), "")</f>
        <v/>
      </c>
      <c r="R70" s="1" t="str">
        <f>IF(ISNUMBER(Table7[[#This Row],[CFDA]]), INDEX(MemberOrgs_Control[Row], MATCH(Table7[[#This Row],[Desired Order]], MemberOrgs_Control['#], 0)), "")</f>
        <v/>
      </c>
    </row>
    <row r="71" spans="1:18" x14ac:dyDescent="0.25">
      <c r="A71" t="str">
        <f>IF(OR(MemberOrgControl!$B74 = "", MemberOrgControl!$B74 &lt;0), "", INDEX(MemberOrgsData[CFDA], MemberOrgControl!$B74))</f>
        <v/>
      </c>
      <c r="C71" t="str">
        <f>IFERROR(INDEX(AllCFDAs[All CFDAs], MATCH(0, INDEX(COUNTIF($C$3:C70, AllCFDAs[All CFDAs]),),0)), "")</f>
        <v/>
      </c>
      <c r="D71" t="str">
        <f t="array" ref="D71">IFERROR(INDEX(MemberOrgsData[FEDERALPROGRAMNAME], MATCH(1, (SelectMemberOrgs = MemberOrgsData[Auditee Name])*(MemberOrgs_SortedTable[[#This Row],[Unique CFDA]]= MemberOrgsData[CFDA]), 0)), "")</f>
        <v/>
      </c>
      <c r="E71" s="20" t="str">
        <f t="array" ref="E71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71" s="21" t="str">
        <f t="array" ref="F71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71" s="19" t="str">
        <f>IF(MemberOrgs_SortedTable[[#This Row],[Unique CFDA]] = "", "", IFERROR(MemberOrgs_SortedTable[[#This Row],[FY 2018 Total]]*MemberOrgs_SortedTable[[#This Row],[President % Change]], "No Budget Data"))</f>
        <v/>
      </c>
      <c r="H71" s="21" t="str">
        <f t="array" ref="H71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71" s="19" t="str">
        <f>IF(MemberOrgs_SortedTable[[#This Row],[Unique CFDA]] = "", "", IFERROR(MemberOrgs_SortedTable[[#This Row],[FY 2018 Total]]*MemberOrgs_SortedTable[[#This Row],[House % Change]], "No Budget Data"))</f>
        <v/>
      </c>
      <c r="K71" s="19" t="str">
        <f>IF(MemberOrgs_SortedTable[[#This Row],[Unique CFDA]] = "", "", IFERROR(MemberOrgs_SortedTable[[#This Row],[FY 2018 Total]]*MemberOrgs_SortedTable[[#This Row],[Senate Budget]], "No Budget Data"))</f>
        <v/>
      </c>
      <c r="L71" t="str">
        <f>IF(MemberOrgs_SortedTable[[#This Row],[Unique CFDA]] = "", "", IF(ISNUMBER(MemberOrgs_SortedTable[[#This Row],[President $ Change]]), RANK(MemberOrgs_SortedTable[[#This Row],[President $ Change]], $G$4:$G$227)+COUNTIF($G$4:G71, G71)-1, 0))</f>
        <v/>
      </c>
      <c r="M71" t="str">
        <f>IFERROR((IF(MemberOrgs_SortedTable[[#This Row],[Sort 1]] = 0, COUNTIF($L$4:L71, 0), "")+MAX(MemberOrgs_SortedTable[Sort 1])), "")</f>
        <v/>
      </c>
      <c r="N71" t="str">
        <f>IF(MemberOrgs_SortedTable[[#This Row],[Sort 1]]&gt;0, MemberOrgs_SortedTable[[#This Row],[Sort 1]], MemberOrgs_SortedTable[[#This Row],[Sort 2]])</f>
        <v/>
      </c>
      <c r="P71">
        <v>68</v>
      </c>
      <c r="Q71" t="str">
        <f>IFERROR(INDEX(MemberOrgs_SortedTable[Unique CFDA], MATCH(Table7[[#This Row],[Desired Order]], MemberOrgs_SortedTable[Final Pres. Sort], 0)), "")</f>
        <v/>
      </c>
      <c r="R71" s="1" t="str">
        <f>IF(ISNUMBER(Table7[[#This Row],[CFDA]]), INDEX(MemberOrgs_Control[Row], MATCH(Table7[[#This Row],[Desired Order]], MemberOrgs_Control['#], 0)), "")</f>
        <v/>
      </c>
    </row>
    <row r="72" spans="1:18" x14ac:dyDescent="0.25">
      <c r="A72" t="str">
        <f>IF(OR(MemberOrgControl!$B75 = "", MemberOrgControl!$B75 &lt;0), "", INDEX(MemberOrgsData[CFDA], MemberOrgControl!$B75))</f>
        <v/>
      </c>
      <c r="C72" t="str">
        <f>IFERROR(INDEX(AllCFDAs[All CFDAs], MATCH(0, INDEX(COUNTIF($C$3:C71, AllCFDAs[All CFDAs]),),0)), "")</f>
        <v/>
      </c>
      <c r="D72" t="str">
        <f t="array" ref="D72">IFERROR(INDEX(MemberOrgsData[FEDERALPROGRAMNAME], MATCH(1, (SelectMemberOrgs = MemberOrgsData[Auditee Name])*(MemberOrgs_SortedTable[[#This Row],[Unique CFDA]]= MemberOrgsData[CFDA]), 0)), "")</f>
        <v/>
      </c>
      <c r="E72" s="20" t="str">
        <f t="array" ref="E72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72" s="21" t="str">
        <f t="array" ref="F72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72" s="19" t="str">
        <f>IF(MemberOrgs_SortedTable[[#This Row],[Unique CFDA]] = "", "", IFERROR(MemberOrgs_SortedTable[[#This Row],[FY 2018 Total]]*MemberOrgs_SortedTable[[#This Row],[President % Change]], "No Budget Data"))</f>
        <v/>
      </c>
      <c r="H72" s="21" t="str">
        <f t="array" ref="H72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72" s="19" t="str">
        <f>IF(MemberOrgs_SortedTable[[#This Row],[Unique CFDA]] = "", "", IFERROR(MemberOrgs_SortedTable[[#This Row],[FY 2018 Total]]*MemberOrgs_SortedTable[[#This Row],[House % Change]], "No Budget Data"))</f>
        <v/>
      </c>
      <c r="K72" s="19" t="str">
        <f>IF(MemberOrgs_SortedTable[[#This Row],[Unique CFDA]] = "", "", IFERROR(MemberOrgs_SortedTable[[#This Row],[FY 2018 Total]]*MemberOrgs_SortedTable[[#This Row],[Senate Budget]], "No Budget Data"))</f>
        <v/>
      </c>
      <c r="L72" t="str">
        <f>IF(MemberOrgs_SortedTable[[#This Row],[Unique CFDA]] = "", "", IF(ISNUMBER(MemberOrgs_SortedTable[[#This Row],[President $ Change]]), RANK(MemberOrgs_SortedTable[[#This Row],[President $ Change]], $G$4:$G$227)+COUNTIF($G$4:G72, G72)-1, 0))</f>
        <v/>
      </c>
      <c r="M72" t="str">
        <f>IFERROR((IF(MemberOrgs_SortedTable[[#This Row],[Sort 1]] = 0, COUNTIF($L$4:L72, 0), "")+MAX(MemberOrgs_SortedTable[Sort 1])), "")</f>
        <v/>
      </c>
      <c r="N72" t="str">
        <f>IF(MemberOrgs_SortedTable[[#This Row],[Sort 1]]&gt;0, MemberOrgs_SortedTable[[#This Row],[Sort 1]], MemberOrgs_SortedTable[[#This Row],[Sort 2]])</f>
        <v/>
      </c>
      <c r="P72">
        <v>69</v>
      </c>
      <c r="Q72" t="str">
        <f>IFERROR(INDEX(MemberOrgs_SortedTable[Unique CFDA], MATCH(Table7[[#This Row],[Desired Order]], MemberOrgs_SortedTable[Final Pres. Sort], 0)), "")</f>
        <v/>
      </c>
      <c r="R72" s="1" t="str">
        <f>IF(ISNUMBER(Table7[[#This Row],[CFDA]]), INDEX(MemberOrgs_Control[Row], MATCH(Table7[[#This Row],[Desired Order]], MemberOrgs_Control['#], 0)), "")</f>
        <v/>
      </c>
    </row>
    <row r="73" spans="1:18" x14ac:dyDescent="0.25">
      <c r="A73" t="str">
        <f>IF(OR(MemberOrgControl!$B76 = "", MemberOrgControl!$B76 &lt;0), "", INDEX(MemberOrgsData[CFDA], MemberOrgControl!$B76))</f>
        <v/>
      </c>
      <c r="C73" t="str">
        <f>IFERROR(INDEX(AllCFDAs[All CFDAs], MATCH(0, INDEX(COUNTIF($C$3:C72, AllCFDAs[All CFDAs]),),0)), "")</f>
        <v/>
      </c>
      <c r="D73" t="str">
        <f t="array" ref="D73">IFERROR(INDEX(MemberOrgsData[FEDERALPROGRAMNAME], MATCH(1, (SelectMemberOrgs = MemberOrgsData[Auditee Name])*(MemberOrgs_SortedTable[[#This Row],[Unique CFDA]]= MemberOrgsData[CFDA]), 0)), "")</f>
        <v/>
      </c>
      <c r="E73" s="20" t="str">
        <f t="array" ref="E73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73" s="21" t="str">
        <f t="array" ref="F73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73" s="19" t="str">
        <f>IF(MemberOrgs_SortedTable[[#This Row],[Unique CFDA]] = "", "", IFERROR(MemberOrgs_SortedTable[[#This Row],[FY 2018 Total]]*MemberOrgs_SortedTable[[#This Row],[President % Change]], "No Budget Data"))</f>
        <v/>
      </c>
      <c r="H73" s="21" t="str">
        <f t="array" ref="H73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73" s="19" t="str">
        <f>IF(MemberOrgs_SortedTable[[#This Row],[Unique CFDA]] = "", "", IFERROR(MemberOrgs_SortedTable[[#This Row],[FY 2018 Total]]*MemberOrgs_SortedTable[[#This Row],[House % Change]], "No Budget Data"))</f>
        <v/>
      </c>
      <c r="K73" s="19" t="str">
        <f>IF(MemberOrgs_SortedTable[[#This Row],[Unique CFDA]] = "", "", IFERROR(MemberOrgs_SortedTable[[#This Row],[FY 2018 Total]]*MemberOrgs_SortedTable[[#This Row],[Senate Budget]], "No Budget Data"))</f>
        <v/>
      </c>
      <c r="L73" t="str">
        <f>IF(MemberOrgs_SortedTable[[#This Row],[Unique CFDA]] = "", "", IF(ISNUMBER(MemberOrgs_SortedTable[[#This Row],[President $ Change]]), RANK(MemberOrgs_SortedTable[[#This Row],[President $ Change]], $G$4:$G$227)+COUNTIF($G$4:G73, G73)-1, 0))</f>
        <v/>
      </c>
      <c r="M73" t="str">
        <f>IFERROR((IF(MemberOrgs_SortedTable[[#This Row],[Sort 1]] = 0, COUNTIF($L$4:L73, 0), "")+MAX(MemberOrgs_SortedTable[Sort 1])), "")</f>
        <v/>
      </c>
      <c r="N73" t="str">
        <f>IF(MemberOrgs_SortedTable[[#This Row],[Sort 1]]&gt;0, MemberOrgs_SortedTable[[#This Row],[Sort 1]], MemberOrgs_SortedTable[[#This Row],[Sort 2]])</f>
        <v/>
      </c>
      <c r="P73">
        <v>70</v>
      </c>
      <c r="Q73" t="str">
        <f>IFERROR(INDEX(MemberOrgs_SortedTable[Unique CFDA], MATCH(Table7[[#This Row],[Desired Order]], MemberOrgs_SortedTable[Final Pres. Sort], 0)), "")</f>
        <v/>
      </c>
      <c r="R73" s="1" t="str">
        <f>IF(ISNUMBER(Table7[[#This Row],[CFDA]]), INDEX(MemberOrgs_Control[Row], MATCH(Table7[[#This Row],[Desired Order]], MemberOrgs_Control['#], 0)), "")</f>
        <v/>
      </c>
    </row>
    <row r="74" spans="1:18" x14ac:dyDescent="0.25">
      <c r="A74" t="str">
        <f>IF(OR(MemberOrgControl!$B77 = "", MemberOrgControl!$B77 &lt;0), "", INDEX(MemberOrgsData[CFDA], MemberOrgControl!$B77))</f>
        <v/>
      </c>
      <c r="C74" t="str">
        <f>IFERROR(INDEX(AllCFDAs[All CFDAs], MATCH(0, INDEX(COUNTIF($C$3:C73, AllCFDAs[All CFDAs]),),0)), "")</f>
        <v/>
      </c>
      <c r="D74" t="str">
        <f t="array" ref="D74">IFERROR(INDEX(MemberOrgsData[FEDERALPROGRAMNAME], MATCH(1, (SelectMemberOrgs = MemberOrgsData[Auditee Name])*(MemberOrgs_SortedTable[[#This Row],[Unique CFDA]]= MemberOrgsData[CFDA]), 0)), "")</f>
        <v/>
      </c>
      <c r="E74" s="20" t="str">
        <f t="array" ref="E74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74" s="21" t="str">
        <f t="array" ref="F74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74" s="19" t="str">
        <f>IF(MemberOrgs_SortedTable[[#This Row],[Unique CFDA]] = "", "", IFERROR(MemberOrgs_SortedTable[[#This Row],[FY 2018 Total]]*MemberOrgs_SortedTable[[#This Row],[President % Change]], "No Budget Data"))</f>
        <v/>
      </c>
      <c r="H74" s="21" t="str">
        <f t="array" ref="H74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74" s="19" t="str">
        <f>IF(MemberOrgs_SortedTable[[#This Row],[Unique CFDA]] = "", "", IFERROR(MemberOrgs_SortedTable[[#This Row],[FY 2018 Total]]*MemberOrgs_SortedTable[[#This Row],[House % Change]], "No Budget Data"))</f>
        <v/>
      </c>
      <c r="K74" s="19" t="str">
        <f>IF(MemberOrgs_SortedTable[[#This Row],[Unique CFDA]] = "", "", IFERROR(MemberOrgs_SortedTable[[#This Row],[FY 2018 Total]]*MemberOrgs_SortedTable[[#This Row],[Senate Budget]], "No Budget Data"))</f>
        <v/>
      </c>
      <c r="L74" t="str">
        <f>IF(MemberOrgs_SortedTable[[#This Row],[Unique CFDA]] = "", "", IF(ISNUMBER(MemberOrgs_SortedTable[[#This Row],[President $ Change]]), RANK(MemberOrgs_SortedTable[[#This Row],[President $ Change]], $G$4:$G$227)+COUNTIF($G$4:G74, G74)-1, 0))</f>
        <v/>
      </c>
      <c r="M74" t="str">
        <f>IFERROR((IF(MemberOrgs_SortedTable[[#This Row],[Sort 1]] = 0, COUNTIF($L$4:L74, 0), "")+MAX(MemberOrgs_SortedTable[Sort 1])), "")</f>
        <v/>
      </c>
      <c r="N74" t="str">
        <f>IF(MemberOrgs_SortedTable[[#This Row],[Sort 1]]&gt;0, MemberOrgs_SortedTable[[#This Row],[Sort 1]], MemberOrgs_SortedTable[[#This Row],[Sort 2]])</f>
        <v/>
      </c>
      <c r="P74">
        <v>71</v>
      </c>
      <c r="Q74" t="str">
        <f>IFERROR(INDEX(MemberOrgs_SortedTable[Unique CFDA], MATCH(Table7[[#This Row],[Desired Order]], MemberOrgs_SortedTable[Final Pres. Sort], 0)), "")</f>
        <v/>
      </c>
      <c r="R74" s="1" t="str">
        <f>IF(ISNUMBER(Table7[[#This Row],[CFDA]]), INDEX(MemberOrgs_Control[Row], MATCH(Table7[[#This Row],[Desired Order]], MemberOrgs_Control['#], 0)), "")</f>
        <v/>
      </c>
    </row>
    <row r="75" spans="1:18" x14ac:dyDescent="0.25">
      <c r="A75" t="str">
        <f>IF(OR(MemberOrgControl!$B78 = "", MemberOrgControl!$B78 &lt;0), "", INDEX(MemberOrgsData[CFDA], MemberOrgControl!$B78))</f>
        <v/>
      </c>
      <c r="C75" t="str">
        <f>IFERROR(INDEX(AllCFDAs[All CFDAs], MATCH(0, INDEX(COUNTIF($C$3:C74, AllCFDAs[All CFDAs]),),0)), "")</f>
        <v/>
      </c>
      <c r="D75" t="str">
        <f t="array" ref="D75">IFERROR(INDEX(MemberOrgsData[FEDERALPROGRAMNAME], MATCH(1, (SelectMemberOrgs = MemberOrgsData[Auditee Name])*(MemberOrgs_SortedTable[[#This Row],[Unique CFDA]]= MemberOrgsData[CFDA]), 0)), "")</f>
        <v/>
      </c>
      <c r="E75" s="20" t="str">
        <f t="array" ref="E75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75" s="21" t="str">
        <f t="array" ref="F75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75" s="19" t="str">
        <f>IF(MemberOrgs_SortedTable[[#This Row],[Unique CFDA]] = "", "", IFERROR(MemberOrgs_SortedTable[[#This Row],[FY 2018 Total]]*MemberOrgs_SortedTable[[#This Row],[President % Change]], "No Budget Data"))</f>
        <v/>
      </c>
      <c r="H75" s="21" t="str">
        <f t="array" ref="H75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75" s="19" t="str">
        <f>IF(MemberOrgs_SortedTable[[#This Row],[Unique CFDA]] = "", "", IFERROR(MemberOrgs_SortedTable[[#This Row],[FY 2018 Total]]*MemberOrgs_SortedTable[[#This Row],[House % Change]], "No Budget Data"))</f>
        <v/>
      </c>
      <c r="K75" s="19" t="str">
        <f>IF(MemberOrgs_SortedTable[[#This Row],[Unique CFDA]] = "", "", IFERROR(MemberOrgs_SortedTable[[#This Row],[FY 2018 Total]]*MemberOrgs_SortedTable[[#This Row],[Senate Budget]], "No Budget Data"))</f>
        <v/>
      </c>
      <c r="L75" t="str">
        <f>IF(MemberOrgs_SortedTable[[#This Row],[Unique CFDA]] = "", "", IF(ISNUMBER(MemberOrgs_SortedTable[[#This Row],[President $ Change]]), RANK(MemberOrgs_SortedTable[[#This Row],[President $ Change]], $G$4:$G$227)+COUNTIF($G$4:G75, G75)-1, 0))</f>
        <v/>
      </c>
      <c r="M75" t="str">
        <f>IFERROR((IF(MemberOrgs_SortedTable[[#This Row],[Sort 1]] = 0, COUNTIF($L$4:L75, 0), "")+MAX(MemberOrgs_SortedTable[Sort 1])), "")</f>
        <v/>
      </c>
      <c r="N75" t="str">
        <f>IF(MemberOrgs_SortedTable[[#This Row],[Sort 1]]&gt;0, MemberOrgs_SortedTable[[#This Row],[Sort 1]], MemberOrgs_SortedTable[[#This Row],[Sort 2]])</f>
        <v/>
      </c>
      <c r="P75">
        <v>72</v>
      </c>
      <c r="Q75" t="str">
        <f>IFERROR(INDEX(MemberOrgs_SortedTable[Unique CFDA], MATCH(Table7[[#This Row],[Desired Order]], MemberOrgs_SortedTable[Final Pres. Sort], 0)), "")</f>
        <v/>
      </c>
      <c r="R75" s="1" t="str">
        <f>IF(ISNUMBER(Table7[[#This Row],[CFDA]]), INDEX(MemberOrgs_Control[Row], MATCH(Table7[[#This Row],[Desired Order]], MemberOrgs_Control['#], 0)), "")</f>
        <v/>
      </c>
    </row>
    <row r="76" spans="1:18" x14ac:dyDescent="0.25">
      <c r="A76" t="str">
        <f>IF(OR(MemberOrgControl!$B79 = "", MemberOrgControl!$B79 &lt;0), "", INDEX(MemberOrgsData[CFDA], MemberOrgControl!$B79))</f>
        <v/>
      </c>
      <c r="C76" t="str">
        <f>IFERROR(INDEX(AllCFDAs[All CFDAs], MATCH(0, INDEX(COUNTIF($C$3:C75, AllCFDAs[All CFDAs]),),0)), "")</f>
        <v/>
      </c>
      <c r="D76" t="str">
        <f t="array" ref="D76">IFERROR(INDEX(MemberOrgsData[FEDERALPROGRAMNAME], MATCH(1, (SelectMemberOrgs = MemberOrgsData[Auditee Name])*(MemberOrgs_SortedTable[[#This Row],[Unique CFDA]]= MemberOrgsData[CFDA]), 0)), "")</f>
        <v/>
      </c>
      <c r="E76" s="20" t="str">
        <f t="array" ref="E76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76" s="21" t="str">
        <f t="array" ref="F76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76" s="19" t="str">
        <f>IF(MemberOrgs_SortedTable[[#This Row],[Unique CFDA]] = "", "", IFERROR(MemberOrgs_SortedTable[[#This Row],[FY 2018 Total]]*MemberOrgs_SortedTable[[#This Row],[President % Change]], "No Budget Data"))</f>
        <v/>
      </c>
      <c r="H76" s="21" t="str">
        <f t="array" ref="H76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76" s="19" t="str">
        <f>IF(MemberOrgs_SortedTable[[#This Row],[Unique CFDA]] = "", "", IFERROR(MemberOrgs_SortedTable[[#This Row],[FY 2018 Total]]*MemberOrgs_SortedTable[[#This Row],[House % Change]], "No Budget Data"))</f>
        <v/>
      </c>
      <c r="K76" s="19" t="str">
        <f>IF(MemberOrgs_SortedTable[[#This Row],[Unique CFDA]] = "", "", IFERROR(MemberOrgs_SortedTable[[#This Row],[FY 2018 Total]]*MemberOrgs_SortedTable[[#This Row],[Senate Budget]], "No Budget Data"))</f>
        <v/>
      </c>
      <c r="L76" t="str">
        <f>IF(MemberOrgs_SortedTable[[#This Row],[Unique CFDA]] = "", "", IF(ISNUMBER(MemberOrgs_SortedTable[[#This Row],[President $ Change]]), RANK(MemberOrgs_SortedTable[[#This Row],[President $ Change]], $G$4:$G$227)+COUNTIF($G$4:G76, G76)-1, 0))</f>
        <v/>
      </c>
      <c r="M76" t="str">
        <f>IFERROR((IF(MemberOrgs_SortedTable[[#This Row],[Sort 1]] = 0, COUNTIF($L$4:L76, 0), "")+MAX(MemberOrgs_SortedTable[Sort 1])), "")</f>
        <v/>
      </c>
      <c r="N76" t="str">
        <f>IF(MemberOrgs_SortedTable[[#This Row],[Sort 1]]&gt;0, MemberOrgs_SortedTable[[#This Row],[Sort 1]], MemberOrgs_SortedTable[[#This Row],[Sort 2]])</f>
        <v/>
      </c>
      <c r="P76">
        <v>73</v>
      </c>
      <c r="Q76" t="str">
        <f>IFERROR(INDEX(MemberOrgs_SortedTable[Unique CFDA], MATCH(Table7[[#This Row],[Desired Order]], MemberOrgs_SortedTable[Final Pres. Sort], 0)), "")</f>
        <v/>
      </c>
      <c r="R76" s="1" t="str">
        <f>IF(ISNUMBER(Table7[[#This Row],[CFDA]]), INDEX(MemberOrgs_Control[Row], MATCH(Table7[[#This Row],[Desired Order]], MemberOrgs_Control['#], 0)), "")</f>
        <v/>
      </c>
    </row>
    <row r="77" spans="1:18" x14ac:dyDescent="0.25">
      <c r="A77" t="str">
        <f>IF(OR(MemberOrgControl!$B80 = "", MemberOrgControl!$B80 &lt;0), "", INDEX(MemberOrgsData[CFDA], MemberOrgControl!$B80))</f>
        <v/>
      </c>
      <c r="C77" t="str">
        <f>IFERROR(INDEX(AllCFDAs[All CFDAs], MATCH(0, INDEX(COUNTIF($C$3:C76, AllCFDAs[All CFDAs]),),0)), "")</f>
        <v/>
      </c>
      <c r="D77" t="str">
        <f t="array" ref="D77">IFERROR(INDEX(MemberOrgsData[FEDERALPROGRAMNAME], MATCH(1, (SelectMemberOrgs = MemberOrgsData[Auditee Name])*(MemberOrgs_SortedTable[[#This Row],[Unique CFDA]]= MemberOrgsData[CFDA]), 0)), "")</f>
        <v/>
      </c>
      <c r="E77" s="20" t="str">
        <f t="array" ref="E77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77" s="21" t="str">
        <f t="array" ref="F77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77" s="19" t="str">
        <f>IF(MemberOrgs_SortedTable[[#This Row],[Unique CFDA]] = "", "", IFERROR(MemberOrgs_SortedTable[[#This Row],[FY 2018 Total]]*MemberOrgs_SortedTable[[#This Row],[President % Change]], "No Budget Data"))</f>
        <v/>
      </c>
      <c r="H77" s="21" t="str">
        <f t="array" ref="H77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77" s="19" t="str">
        <f>IF(MemberOrgs_SortedTable[[#This Row],[Unique CFDA]] = "", "", IFERROR(MemberOrgs_SortedTable[[#This Row],[FY 2018 Total]]*MemberOrgs_SortedTable[[#This Row],[House % Change]], "No Budget Data"))</f>
        <v/>
      </c>
      <c r="K77" s="19" t="str">
        <f>IF(MemberOrgs_SortedTable[[#This Row],[Unique CFDA]] = "", "", IFERROR(MemberOrgs_SortedTable[[#This Row],[FY 2018 Total]]*MemberOrgs_SortedTable[[#This Row],[Senate Budget]], "No Budget Data"))</f>
        <v/>
      </c>
      <c r="L77" t="str">
        <f>IF(MemberOrgs_SortedTable[[#This Row],[Unique CFDA]] = "", "", IF(ISNUMBER(MemberOrgs_SortedTable[[#This Row],[President $ Change]]), RANK(MemberOrgs_SortedTable[[#This Row],[President $ Change]], $G$4:$G$227)+COUNTIF($G$4:G77, G77)-1, 0))</f>
        <v/>
      </c>
      <c r="M77" t="str">
        <f>IFERROR((IF(MemberOrgs_SortedTable[[#This Row],[Sort 1]] = 0, COUNTIF($L$4:L77, 0), "")+MAX(MemberOrgs_SortedTable[Sort 1])), "")</f>
        <v/>
      </c>
      <c r="N77" t="str">
        <f>IF(MemberOrgs_SortedTable[[#This Row],[Sort 1]]&gt;0, MemberOrgs_SortedTable[[#This Row],[Sort 1]], MemberOrgs_SortedTable[[#This Row],[Sort 2]])</f>
        <v/>
      </c>
      <c r="P77">
        <v>74</v>
      </c>
      <c r="Q77" t="str">
        <f>IFERROR(INDEX(MemberOrgs_SortedTable[Unique CFDA], MATCH(Table7[[#This Row],[Desired Order]], MemberOrgs_SortedTable[Final Pres. Sort], 0)), "")</f>
        <v/>
      </c>
      <c r="R77" s="1" t="str">
        <f>IF(ISNUMBER(Table7[[#This Row],[CFDA]]), INDEX(MemberOrgs_Control[Row], MATCH(Table7[[#This Row],[Desired Order]], MemberOrgs_Control['#], 0)), "")</f>
        <v/>
      </c>
    </row>
    <row r="78" spans="1:18" x14ac:dyDescent="0.25">
      <c r="A78" t="str">
        <f>IF(OR(MemberOrgControl!$B81 = "", MemberOrgControl!$B81 &lt;0), "", INDEX(MemberOrgsData[CFDA], MemberOrgControl!$B81))</f>
        <v/>
      </c>
      <c r="C78" t="str">
        <f>IFERROR(INDEX(AllCFDAs[All CFDAs], MATCH(0, INDEX(COUNTIF($C$3:C77, AllCFDAs[All CFDAs]),),0)), "")</f>
        <v/>
      </c>
      <c r="D78" t="str">
        <f t="array" ref="D78">IFERROR(INDEX(MemberOrgsData[FEDERALPROGRAMNAME], MATCH(1, (SelectMemberOrgs = MemberOrgsData[Auditee Name])*(MemberOrgs_SortedTable[[#This Row],[Unique CFDA]]= MemberOrgsData[CFDA]), 0)), "")</f>
        <v/>
      </c>
      <c r="E78" s="20" t="str">
        <f t="array" ref="E78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78" s="21" t="str">
        <f t="array" ref="F78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78" s="19" t="str">
        <f>IF(MemberOrgs_SortedTable[[#This Row],[Unique CFDA]] = "", "", IFERROR(MemberOrgs_SortedTable[[#This Row],[FY 2018 Total]]*MemberOrgs_SortedTable[[#This Row],[President % Change]], "No Budget Data"))</f>
        <v/>
      </c>
      <c r="H78" s="21" t="str">
        <f t="array" ref="H78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78" s="19" t="str">
        <f>IF(MemberOrgs_SortedTable[[#This Row],[Unique CFDA]] = "", "", IFERROR(MemberOrgs_SortedTable[[#This Row],[FY 2018 Total]]*MemberOrgs_SortedTable[[#This Row],[House % Change]], "No Budget Data"))</f>
        <v/>
      </c>
      <c r="K78" s="19" t="str">
        <f>IF(MemberOrgs_SortedTable[[#This Row],[Unique CFDA]] = "", "", IFERROR(MemberOrgs_SortedTable[[#This Row],[FY 2018 Total]]*MemberOrgs_SortedTable[[#This Row],[Senate Budget]], "No Budget Data"))</f>
        <v/>
      </c>
      <c r="L78" t="str">
        <f>IF(MemberOrgs_SortedTable[[#This Row],[Unique CFDA]] = "", "", IF(ISNUMBER(MemberOrgs_SortedTable[[#This Row],[President $ Change]]), RANK(MemberOrgs_SortedTable[[#This Row],[President $ Change]], $G$4:$G$227)+COUNTIF($G$4:G78, G78)-1, 0))</f>
        <v/>
      </c>
      <c r="M78" t="str">
        <f>IFERROR((IF(MemberOrgs_SortedTable[[#This Row],[Sort 1]] = 0, COUNTIF($L$4:L78, 0), "")+MAX(MemberOrgs_SortedTable[Sort 1])), "")</f>
        <v/>
      </c>
      <c r="N78" t="str">
        <f>IF(MemberOrgs_SortedTable[[#This Row],[Sort 1]]&gt;0, MemberOrgs_SortedTable[[#This Row],[Sort 1]], MemberOrgs_SortedTable[[#This Row],[Sort 2]])</f>
        <v/>
      </c>
      <c r="P78">
        <v>75</v>
      </c>
      <c r="Q78" t="str">
        <f>IFERROR(INDEX(MemberOrgs_SortedTable[Unique CFDA], MATCH(Table7[[#This Row],[Desired Order]], MemberOrgs_SortedTable[Final Pres. Sort], 0)), "")</f>
        <v/>
      </c>
      <c r="R78" s="1" t="str">
        <f>IF(ISNUMBER(Table7[[#This Row],[CFDA]]), INDEX(MemberOrgs_Control[Row], MATCH(Table7[[#This Row],[Desired Order]], MemberOrgs_Control['#], 0)), "")</f>
        <v/>
      </c>
    </row>
    <row r="79" spans="1:18" x14ac:dyDescent="0.25">
      <c r="A79" t="str">
        <f>IF(OR(MemberOrgControl!$B82 = "", MemberOrgControl!$B82 &lt;0), "", INDEX(MemberOrgsData[CFDA], MemberOrgControl!$B82))</f>
        <v/>
      </c>
      <c r="C79" t="str">
        <f>IFERROR(INDEX(AllCFDAs[All CFDAs], MATCH(0, INDEX(COUNTIF($C$3:C78, AllCFDAs[All CFDAs]),),0)), "")</f>
        <v/>
      </c>
      <c r="D79" t="str">
        <f t="array" ref="D79">IFERROR(INDEX(MemberOrgsData[FEDERALPROGRAMNAME], MATCH(1, (SelectMemberOrgs = MemberOrgsData[Auditee Name])*(MemberOrgs_SortedTable[[#This Row],[Unique CFDA]]= MemberOrgsData[CFDA]), 0)), "")</f>
        <v/>
      </c>
      <c r="E79" s="20" t="str">
        <f t="array" ref="E79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79" s="21" t="str">
        <f t="array" ref="F79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79" s="19" t="str">
        <f>IF(MemberOrgs_SortedTable[[#This Row],[Unique CFDA]] = "", "", IFERROR(MemberOrgs_SortedTable[[#This Row],[FY 2018 Total]]*MemberOrgs_SortedTable[[#This Row],[President % Change]], "No Budget Data"))</f>
        <v/>
      </c>
      <c r="H79" s="21" t="str">
        <f t="array" ref="H79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79" s="19" t="str">
        <f>IF(MemberOrgs_SortedTable[[#This Row],[Unique CFDA]] = "", "", IFERROR(MemberOrgs_SortedTable[[#This Row],[FY 2018 Total]]*MemberOrgs_SortedTable[[#This Row],[House % Change]], "No Budget Data"))</f>
        <v/>
      </c>
      <c r="K79" s="19" t="str">
        <f>IF(MemberOrgs_SortedTable[[#This Row],[Unique CFDA]] = "", "", IFERROR(MemberOrgs_SortedTable[[#This Row],[FY 2018 Total]]*MemberOrgs_SortedTable[[#This Row],[Senate Budget]], "No Budget Data"))</f>
        <v/>
      </c>
      <c r="L79" t="str">
        <f>IF(MemberOrgs_SortedTable[[#This Row],[Unique CFDA]] = "", "", IF(ISNUMBER(MemberOrgs_SortedTable[[#This Row],[President $ Change]]), RANK(MemberOrgs_SortedTable[[#This Row],[President $ Change]], $G$4:$G$227)+COUNTIF($G$4:G79, G79)-1, 0))</f>
        <v/>
      </c>
      <c r="M79" t="str">
        <f>IFERROR((IF(MemberOrgs_SortedTable[[#This Row],[Sort 1]] = 0, COUNTIF($L$4:L79, 0), "")+MAX(MemberOrgs_SortedTable[Sort 1])), "")</f>
        <v/>
      </c>
      <c r="N79" t="str">
        <f>IF(MemberOrgs_SortedTable[[#This Row],[Sort 1]]&gt;0, MemberOrgs_SortedTable[[#This Row],[Sort 1]], MemberOrgs_SortedTable[[#This Row],[Sort 2]])</f>
        <v/>
      </c>
      <c r="P79">
        <v>76</v>
      </c>
      <c r="Q79" t="str">
        <f>IFERROR(INDEX(MemberOrgs_SortedTable[Unique CFDA], MATCH(Table7[[#This Row],[Desired Order]], MemberOrgs_SortedTable[Final Pres. Sort], 0)), "")</f>
        <v/>
      </c>
      <c r="R79" s="1" t="str">
        <f>IF(ISNUMBER(Table7[[#This Row],[CFDA]]), INDEX(MemberOrgs_Control[Row], MATCH(Table7[[#This Row],[Desired Order]], MemberOrgs_Control['#], 0)), "")</f>
        <v/>
      </c>
    </row>
    <row r="80" spans="1:18" x14ac:dyDescent="0.25">
      <c r="A80" t="str">
        <f>IF(OR(MemberOrgControl!$B83 = "", MemberOrgControl!$B83 &lt;0), "", INDEX(MemberOrgsData[CFDA], MemberOrgControl!$B83))</f>
        <v/>
      </c>
      <c r="C80" t="str">
        <f>IFERROR(INDEX(AllCFDAs[All CFDAs], MATCH(0, INDEX(COUNTIF($C$3:C79, AllCFDAs[All CFDAs]),),0)), "")</f>
        <v/>
      </c>
      <c r="D80" t="str">
        <f t="array" ref="D80">IFERROR(INDEX(MemberOrgsData[FEDERALPROGRAMNAME], MATCH(1, (SelectMemberOrgs = MemberOrgsData[Auditee Name])*(MemberOrgs_SortedTable[[#This Row],[Unique CFDA]]= MemberOrgsData[CFDA]), 0)), "")</f>
        <v/>
      </c>
      <c r="E80" s="20" t="str">
        <f t="array" ref="E80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80" s="21" t="str">
        <f t="array" ref="F80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80" s="19" t="str">
        <f>IF(MemberOrgs_SortedTable[[#This Row],[Unique CFDA]] = "", "", IFERROR(MemberOrgs_SortedTable[[#This Row],[FY 2018 Total]]*MemberOrgs_SortedTable[[#This Row],[President % Change]], "No Budget Data"))</f>
        <v/>
      </c>
      <c r="H80" s="21" t="str">
        <f t="array" ref="H80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80" s="19" t="str">
        <f>IF(MemberOrgs_SortedTable[[#This Row],[Unique CFDA]] = "", "", IFERROR(MemberOrgs_SortedTable[[#This Row],[FY 2018 Total]]*MemberOrgs_SortedTable[[#This Row],[House % Change]], "No Budget Data"))</f>
        <v/>
      </c>
      <c r="K80" s="19" t="str">
        <f>IF(MemberOrgs_SortedTable[[#This Row],[Unique CFDA]] = "", "", IFERROR(MemberOrgs_SortedTable[[#This Row],[FY 2018 Total]]*MemberOrgs_SortedTable[[#This Row],[Senate Budget]], "No Budget Data"))</f>
        <v/>
      </c>
      <c r="L80" t="str">
        <f>IF(MemberOrgs_SortedTable[[#This Row],[Unique CFDA]] = "", "", IF(ISNUMBER(MemberOrgs_SortedTable[[#This Row],[President $ Change]]), RANK(MemberOrgs_SortedTable[[#This Row],[President $ Change]], $G$4:$G$227)+COUNTIF($G$4:G80, G80)-1, 0))</f>
        <v/>
      </c>
      <c r="M80" t="str">
        <f>IFERROR((IF(MemberOrgs_SortedTable[[#This Row],[Sort 1]] = 0, COUNTIF($L$4:L80, 0), "")+MAX(MemberOrgs_SortedTable[Sort 1])), "")</f>
        <v/>
      </c>
      <c r="N80" t="str">
        <f>IF(MemberOrgs_SortedTable[[#This Row],[Sort 1]]&gt;0, MemberOrgs_SortedTable[[#This Row],[Sort 1]], MemberOrgs_SortedTable[[#This Row],[Sort 2]])</f>
        <v/>
      </c>
      <c r="P80">
        <v>77</v>
      </c>
      <c r="Q80" t="str">
        <f>IFERROR(INDEX(MemberOrgs_SortedTable[Unique CFDA], MATCH(Table7[[#This Row],[Desired Order]], MemberOrgs_SortedTable[Final Pres. Sort], 0)), "")</f>
        <v/>
      </c>
      <c r="R80" s="1" t="str">
        <f>IF(ISNUMBER(Table7[[#This Row],[CFDA]]), INDEX(MemberOrgs_Control[Row], MATCH(Table7[[#This Row],[Desired Order]], MemberOrgs_Control['#], 0)), "")</f>
        <v/>
      </c>
    </row>
    <row r="81" spans="1:18" x14ac:dyDescent="0.25">
      <c r="A81" t="str">
        <f>IF(OR(MemberOrgControl!$B84 = "", MemberOrgControl!$B84 &lt;0), "", INDEX(MemberOrgsData[CFDA], MemberOrgControl!$B84))</f>
        <v/>
      </c>
      <c r="C81" t="str">
        <f>IFERROR(INDEX(AllCFDAs[All CFDAs], MATCH(0, INDEX(COUNTIF($C$3:C80, AllCFDAs[All CFDAs]),),0)), "")</f>
        <v/>
      </c>
      <c r="D81" t="str">
        <f t="array" ref="D81">IFERROR(INDEX(MemberOrgsData[FEDERALPROGRAMNAME], MATCH(1, (SelectMemberOrgs = MemberOrgsData[Auditee Name])*(MemberOrgs_SortedTable[[#This Row],[Unique CFDA]]= MemberOrgsData[CFDA]), 0)), "")</f>
        <v/>
      </c>
      <c r="E81" s="20" t="str">
        <f t="array" ref="E81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81" s="21" t="str">
        <f t="array" ref="F81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81" s="19" t="str">
        <f>IF(MemberOrgs_SortedTable[[#This Row],[Unique CFDA]] = "", "", IFERROR(MemberOrgs_SortedTable[[#This Row],[FY 2018 Total]]*MemberOrgs_SortedTable[[#This Row],[President % Change]], "No Budget Data"))</f>
        <v/>
      </c>
      <c r="H81" s="21" t="str">
        <f t="array" ref="H81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81" s="19" t="str">
        <f>IF(MemberOrgs_SortedTable[[#This Row],[Unique CFDA]] = "", "", IFERROR(MemberOrgs_SortedTable[[#This Row],[FY 2018 Total]]*MemberOrgs_SortedTable[[#This Row],[House % Change]], "No Budget Data"))</f>
        <v/>
      </c>
      <c r="K81" s="19" t="str">
        <f>IF(MemberOrgs_SortedTable[[#This Row],[Unique CFDA]] = "", "", IFERROR(MemberOrgs_SortedTable[[#This Row],[FY 2018 Total]]*MemberOrgs_SortedTable[[#This Row],[Senate Budget]], "No Budget Data"))</f>
        <v/>
      </c>
      <c r="L81" t="str">
        <f>IF(MemberOrgs_SortedTable[[#This Row],[Unique CFDA]] = "", "", IF(ISNUMBER(MemberOrgs_SortedTable[[#This Row],[President $ Change]]), RANK(MemberOrgs_SortedTable[[#This Row],[President $ Change]], $G$4:$G$227)+COUNTIF($G$4:G81, G81)-1, 0))</f>
        <v/>
      </c>
      <c r="M81" t="str">
        <f>IFERROR((IF(MemberOrgs_SortedTable[[#This Row],[Sort 1]] = 0, COUNTIF($L$4:L81, 0), "")+MAX(MemberOrgs_SortedTable[Sort 1])), "")</f>
        <v/>
      </c>
      <c r="N81" t="str">
        <f>IF(MemberOrgs_SortedTable[[#This Row],[Sort 1]]&gt;0, MemberOrgs_SortedTable[[#This Row],[Sort 1]], MemberOrgs_SortedTable[[#This Row],[Sort 2]])</f>
        <v/>
      </c>
      <c r="P81">
        <v>78</v>
      </c>
      <c r="Q81" t="str">
        <f>IFERROR(INDEX(MemberOrgs_SortedTable[Unique CFDA], MATCH(Table7[[#This Row],[Desired Order]], MemberOrgs_SortedTable[Final Pres. Sort], 0)), "")</f>
        <v/>
      </c>
      <c r="R81" s="1" t="str">
        <f>IF(ISNUMBER(Table7[[#This Row],[CFDA]]), INDEX(MemberOrgs_Control[Row], MATCH(Table7[[#This Row],[Desired Order]], MemberOrgs_Control['#], 0)), "")</f>
        <v/>
      </c>
    </row>
    <row r="82" spans="1:18" x14ac:dyDescent="0.25">
      <c r="A82" t="str">
        <f>IF(OR(MemberOrgControl!$B85 = "", MemberOrgControl!$B85 &lt;0), "", INDEX(MemberOrgsData[CFDA], MemberOrgControl!$B85))</f>
        <v/>
      </c>
      <c r="C82" t="str">
        <f>IFERROR(INDEX(AllCFDAs[All CFDAs], MATCH(0, INDEX(COUNTIF($C$3:C81, AllCFDAs[All CFDAs]),),0)), "")</f>
        <v/>
      </c>
      <c r="D82" t="str">
        <f t="array" ref="D82">IFERROR(INDEX(MemberOrgsData[FEDERALPROGRAMNAME], MATCH(1, (SelectMemberOrgs = MemberOrgsData[Auditee Name])*(MemberOrgs_SortedTable[[#This Row],[Unique CFDA]]= MemberOrgsData[CFDA]), 0)), "")</f>
        <v/>
      </c>
      <c r="E82" s="20" t="str">
        <f t="array" ref="E82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82" s="21" t="str">
        <f t="array" ref="F82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82" s="19" t="str">
        <f>IF(MemberOrgs_SortedTable[[#This Row],[Unique CFDA]] = "", "", IFERROR(MemberOrgs_SortedTable[[#This Row],[FY 2018 Total]]*MemberOrgs_SortedTable[[#This Row],[President % Change]], "No Budget Data"))</f>
        <v/>
      </c>
      <c r="H82" s="21" t="str">
        <f t="array" ref="H82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82" s="19" t="str">
        <f>IF(MemberOrgs_SortedTable[[#This Row],[Unique CFDA]] = "", "", IFERROR(MemberOrgs_SortedTable[[#This Row],[FY 2018 Total]]*MemberOrgs_SortedTable[[#This Row],[House % Change]], "No Budget Data"))</f>
        <v/>
      </c>
      <c r="K82" s="19" t="str">
        <f>IF(MemberOrgs_SortedTable[[#This Row],[Unique CFDA]] = "", "", IFERROR(MemberOrgs_SortedTable[[#This Row],[FY 2018 Total]]*MemberOrgs_SortedTable[[#This Row],[Senate Budget]], "No Budget Data"))</f>
        <v/>
      </c>
      <c r="L82" t="str">
        <f>IF(MemberOrgs_SortedTable[[#This Row],[Unique CFDA]] = "", "", IF(ISNUMBER(MemberOrgs_SortedTable[[#This Row],[President $ Change]]), RANK(MemberOrgs_SortedTable[[#This Row],[President $ Change]], $G$4:$G$227)+COUNTIF($G$4:G82, G82)-1, 0))</f>
        <v/>
      </c>
      <c r="M82" t="str">
        <f>IFERROR((IF(MemberOrgs_SortedTable[[#This Row],[Sort 1]] = 0, COUNTIF($L$4:L82, 0), "")+MAX(MemberOrgs_SortedTable[Sort 1])), "")</f>
        <v/>
      </c>
      <c r="N82" t="str">
        <f>IF(MemberOrgs_SortedTable[[#This Row],[Sort 1]]&gt;0, MemberOrgs_SortedTable[[#This Row],[Sort 1]], MemberOrgs_SortedTable[[#This Row],[Sort 2]])</f>
        <v/>
      </c>
      <c r="P82">
        <v>79</v>
      </c>
      <c r="Q82" t="str">
        <f>IFERROR(INDEX(MemberOrgs_SortedTable[Unique CFDA], MATCH(Table7[[#This Row],[Desired Order]], MemberOrgs_SortedTable[Final Pres. Sort], 0)), "")</f>
        <v/>
      </c>
      <c r="R82" s="1" t="str">
        <f>IF(ISNUMBER(Table7[[#This Row],[CFDA]]), INDEX(MemberOrgs_Control[Row], MATCH(Table7[[#This Row],[Desired Order]], MemberOrgs_Control['#], 0)), "")</f>
        <v/>
      </c>
    </row>
    <row r="83" spans="1:18" x14ac:dyDescent="0.25">
      <c r="A83" t="str">
        <f>IF(OR(MemberOrgControl!$B86 = "", MemberOrgControl!$B86 &lt;0), "", INDEX(MemberOrgsData[CFDA], MemberOrgControl!$B86))</f>
        <v/>
      </c>
      <c r="C83" t="str">
        <f>IFERROR(INDEX(AllCFDAs[All CFDAs], MATCH(0, INDEX(COUNTIF($C$3:C82, AllCFDAs[All CFDAs]),),0)), "")</f>
        <v/>
      </c>
      <c r="D83" t="str">
        <f t="array" ref="D83">IFERROR(INDEX(MemberOrgsData[FEDERALPROGRAMNAME], MATCH(1, (SelectMemberOrgs = MemberOrgsData[Auditee Name])*(MemberOrgs_SortedTable[[#This Row],[Unique CFDA]]= MemberOrgsData[CFDA]), 0)), "")</f>
        <v/>
      </c>
      <c r="E83" s="20" t="str">
        <f t="array" ref="E83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83" s="21" t="str">
        <f t="array" ref="F83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83" s="19" t="str">
        <f>IF(MemberOrgs_SortedTable[[#This Row],[Unique CFDA]] = "", "", IFERROR(MemberOrgs_SortedTable[[#This Row],[FY 2018 Total]]*MemberOrgs_SortedTable[[#This Row],[President % Change]], "No Budget Data"))</f>
        <v/>
      </c>
      <c r="H83" s="21" t="str">
        <f t="array" ref="H83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83" s="19" t="str">
        <f>IF(MemberOrgs_SortedTable[[#This Row],[Unique CFDA]] = "", "", IFERROR(MemberOrgs_SortedTable[[#This Row],[FY 2018 Total]]*MemberOrgs_SortedTable[[#This Row],[House % Change]], "No Budget Data"))</f>
        <v/>
      </c>
      <c r="K83" s="19" t="str">
        <f>IF(MemberOrgs_SortedTable[[#This Row],[Unique CFDA]] = "", "", IFERROR(MemberOrgs_SortedTable[[#This Row],[FY 2018 Total]]*MemberOrgs_SortedTable[[#This Row],[Senate Budget]], "No Budget Data"))</f>
        <v/>
      </c>
      <c r="L83" t="str">
        <f>IF(MemberOrgs_SortedTable[[#This Row],[Unique CFDA]] = "", "", IF(ISNUMBER(MemberOrgs_SortedTable[[#This Row],[President $ Change]]), RANK(MemberOrgs_SortedTable[[#This Row],[President $ Change]], $G$4:$G$227)+COUNTIF($G$4:G83, G83)-1, 0))</f>
        <v/>
      </c>
      <c r="M83" t="str">
        <f>IFERROR((IF(MemberOrgs_SortedTable[[#This Row],[Sort 1]] = 0, COUNTIF($L$4:L83, 0), "")+MAX(MemberOrgs_SortedTable[Sort 1])), "")</f>
        <v/>
      </c>
      <c r="N83" t="str">
        <f>IF(MemberOrgs_SortedTable[[#This Row],[Sort 1]]&gt;0, MemberOrgs_SortedTable[[#This Row],[Sort 1]], MemberOrgs_SortedTable[[#This Row],[Sort 2]])</f>
        <v/>
      </c>
      <c r="P83">
        <v>80</v>
      </c>
      <c r="Q83" t="str">
        <f>IFERROR(INDEX(MemberOrgs_SortedTable[Unique CFDA], MATCH(Table7[[#This Row],[Desired Order]], MemberOrgs_SortedTable[Final Pres. Sort], 0)), "")</f>
        <v/>
      </c>
      <c r="R83" s="1" t="str">
        <f>IF(ISNUMBER(Table7[[#This Row],[CFDA]]), INDEX(MemberOrgs_Control[Row], MATCH(Table7[[#This Row],[Desired Order]], MemberOrgs_Control['#], 0)), "")</f>
        <v/>
      </c>
    </row>
    <row r="84" spans="1:18" x14ac:dyDescent="0.25">
      <c r="A84" t="str">
        <f>IF(OR(MemberOrgControl!$B87 = "", MemberOrgControl!$B87 &lt;0), "", INDEX(MemberOrgsData[CFDA], MemberOrgControl!$B87))</f>
        <v/>
      </c>
      <c r="C84" t="str">
        <f>IFERROR(INDEX(AllCFDAs[All CFDAs], MATCH(0, INDEX(COUNTIF($C$3:C83, AllCFDAs[All CFDAs]),),0)), "")</f>
        <v/>
      </c>
      <c r="D84" t="str">
        <f t="array" ref="D84">IFERROR(INDEX(MemberOrgsData[FEDERALPROGRAMNAME], MATCH(1, (SelectMemberOrgs = MemberOrgsData[Auditee Name])*(MemberOrgs_SortedTable[[#This Row],[Unique CFDA]]= MemberOrgsData[CFDA]), 0)), "")</f>
        <v/>
      </c>
      <c r="E84" s="20" t="str">
        <f t="array" ref="E84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84" s="21" t="str">
        <f t="array" ref="F84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84" s="19" t="str">
        <f>IF(MemberOrgs_SortedTable[[#This Row],[Unique CFDA]] = "", "", IFERROR(MemberOrgs_SortedTable[[#This Row],[FY 2018 Total]]*MemberOrgs_SortedTable[[#This Row],[President % Change]], "No Budget Data"))</f>
        <v/>
      </c>
      <c r="H84" s="21" t="str">
        <f t="array" ref="H84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84" s="19" t="str">
        <f>IF(MemberOrgs_SortedTable[[#This Row],[Unique CFDA]] = "", "", IFERROR(MemberOrgs_SortedTable[[#This Row],[FY 2018 Total]]*MemberOrgs_SortedTable[[#This Row],[House % Change]], "No Budget Data"))</f>
        <v/>
      </c>
      <c r="K84" s="19" t="str">
        <f>IF(MemberOrgs_SortedTable[[#This Row],[Unique CFDA]] = "", "", IFERROR(MemberOrgs_SortedTable[[#This Row],[FY 2018 Total]]*MemberOrgs_SortedTable[[#This Row],[Senate Budget]], "No Budget Data"))</f>
        <v/>
      </c>
      <c r="L84" t="str">
        <f>IF(MemberOrgs_SortedTable[[#This Row],[Unique CFDA]] = "", "", IF(ISNUMBER(MemberOrgs_SortedTable[[#This Row],[President $ Change]]), RANK(MemberOrgs_SortedTable[[#This Row],[President $ Change]], $G$4:$G$227)+COUNTIF($G$4:G84, G84)-1, 0))</f>
        <v/>
      </c>
      <c r="M84" t="str">
        <f>IFERROR((IF(MemberOrgs_SortedTable[[#This Row],[Sort 1]] = 0, COUNTIF($L$4:L84, 0), "")+MAX(MemberOrgs_SortedTable[Sort 1])), "")</f>
        <v/>
      </c>
      <c r="N84" t="str">
        <f>IF(MemberOrgs_SortedTable[[#This Row],[Sort 1]]&gt;0, MemberOrgs_SortedTable[[#This Row],[Sort 1]], MemberOrgs_SortedTable[[#This Row],[Sort 2]])</f>
        <v/>
      </c>
      <c r="P84">
        <v>81</v>
      </c>
      <c r="Q84" t="str">
        <f>IFERROR(INDEX(MemberOrgs_SortedTable[Unique CFDA], MATCH(Table7[[#This Row],[Desired Order]], MemberOrgs_SortedTable[Final Pres. Sort], 0)), "")</f>
        <v/>
      </c>
      <c r="R84" s="1" t="str">
        <f>IF(ISNUMBER(Table7[[#This Row],[CFDA]]), INDEX(MemberOrgs_Control[Row], MATCH(Table7[[#This Row],[Desired Order]], MemberOrgs_Control['#], 0)), "")</f>
        <v/>
      </c>
    </row>
    <row r="85" spans="1:18" x14ac:dyDescent="0.25">
      <c r="A85" t="str">
        <f>IF(OR(MemberOrgControl!$B88 = "", MemberOrgControl!$B88 &lt;0), "", INDEX(MemberOrgsData[CFDA], MemberOrgControl!$B88))</f>
        <v/>
      </c>
      <c r="C85" t="str">
        <f>IFERROR(INDEX(AllCFDAs[All CFDAs], MATCH(0, INDEX(COUNTIF($C$3:C84, AllCFDAs[All CFDAs]),),0)), "")</f>
        <v/>
      </c>
      <c r="D85" t="str">
        <f t="array" ref="D85">IFERROR(INDEX(MemberOrgsData[FEDERALPROGRAMNAME], MATCH(1, (SelectMemberOrgs = MemberOrgsData[Auditee Name])*(MemberOrgs_SortedTable[[#This Row],[Unique CFDA]]= MemberOrgsData[CFDA]), 0)), "")</f>
        <v/>
      </c>
      <c r="E85" s="20" t="str">
        <f t="array" ref="E85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85" s="21" t="str">
        <f t="array" ref="F85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85" s="19" t="str">
        <f>IF(MemberOrgs_SortedTable[[#This Row],[Unique CFDA]] = "", "", IFERROR(MemberOrgs_SortedTable[[#This Row],[FY 2018 Total]]*MemberOrgs_SortedTable[[#This Row],[President % Change]], "No Budget Data"))</f>
        <v/>
      </c>
      <c r="H85" s="21" t="str">
        <f t="array" ref="H85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85" s="19" t="str">
        <f>IF(MemberOrgs_SortedTable[[#This Row],[Unique CFDA]] = "", "", IFERROR(MemberOrgs_SortedTable[[#This Row],[FY 2018 Total]]*MemberOrgs_SortedTable[[#This Row],[House % Change]], "No Budget Data"))</f>
        <v/>
      </c>
      <c r="K85" s="19" t="str">
        <f>IF(MemberOrgs_SortedTable[[#This Row],[Unique CFDA]] = "", "", IFERROR(MemberOrgs_SortedTable[[#This Row],[FY 2018 Total]]*MemberOrgs_SortedTable[[#This Row],[Senate Budget]], "No Budget Data"))</f>
        <v/>
      </c>
      <c r="L85" t="str">
        <f>IF(MemberOrgs_SortedTable[[#This Row],[Unique CFDA]] = "", "", IF(ISNUMBER(MemberOrgs_SortedTable[[#This Row],[President $ Change]]), RANK(MemberOrgs_SortedTable[[#This Row],[President $ Change]], $G$4:$G$227)+COUNTIF($G$4:G85, G85)-1, 0))</f>
        <v/>
      </c>
      <c r="M85" t="str">
        <f>IFERROR((IF(MemberOrgs_SortedTable[[#This Row],[Sort 1]] = 0, COUNTIF($L$4:L85, 0), "")+MAX(MemberOrgs_SortedTable[Sort 1])), "")</f>
        <v/>
      </c>
      <c r="N85" t="str">
        <f>IF(MemberOrgs_SortedTable[[#This Row],[Sort 1]]&gt;0, MemberOrgs_SortedTable[[#This Row],[Sort 1]], MemberOrgs_SortedTable[[#This Row],[Sort 2]])</f>
        <v/>
      </c>
      <c r="P85">
        <v>82</v>
      </c>
      <c r="Q85" t="str">
        <f>IFERROR(INDEX(MemberOrgs_SortedTable[Unique CFDA], MATCH(Table7[[#This Row],[Desired Order]], MemberOrgs_SortedTable[Final Pres. Sort], 0)), "")</f>
        <v/>
      </c>
      <c r="R85" s="1" t="str">
        <f>IF(ISNUMBER(Table7[[#This Row],[CFDA]]), INDEX(MemberOrgs_Control[Row], MATCH(Table7[[#This Row],[Desired Order]], MemberOrgs_Control['#], 0)), "")</f>
        <v/>
      </c>
    </row>
    <row r="86" spans="1:18" x14ac:dyDescent="0.25">
      <c r="A86" t="str">
        <f>IF(OR(MemberOrgControl!$B89 = "", MemberOrgControl!$B89 &lt;0), "", INDEX(MemberOrgsData[CFDA], MemberOrgControl!$B89))</f>
        <v/>
      </c>
      <c r="C86" t="str">
        <f>IFERROR(INDEX(AllCFDAs[All CFDAs], MATCH(0, INDEX(COUNTIF($C$3:C85, AllCFDAs[All CFDAs]),),0)), "")</f>
        <v/>
      </c>
      <c r="D86" t="str">
        <f t="array" ref="D86">IFERROR(INDEX(MemberOrgsData[FEDERALPROGRAMNAME], MATCH(1, (SelectMemberOrgs = MemberOrgsData[Auditee Name])*(MemberOrgs_SortedTable[[#This Row],[Unique CFDA]]= MemberOrgsData[CFDA]), 0)), "")</f>
        <v/>
      </c>
      <c r="E86" s="20" t="str">
        <f t="array" ref="E86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86" s="21" t="str">
        <f t="array" ref="F86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86" s="19" t="str">
        <f>IF(MemberOrgs_SortedTable[[#This Row],[Unique CFDA]] = "", "", IFERROR(MemberOrgs_SortedTable[[#This Row],[FY 2018 Total]]*MemberOrgs_SortedTable[[#This Row],[President % Change]], "No Budget Data"))</f>
        <v/>
      </c>
      <c r="H86" s="21" t="str">
        <f t="array" ref="H86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86" s="19" t="str">
        <f>IF(MemberOrgs_SortedTable[[#This Row],[Unique CFDA]] = "", "", IFERROR(MemberOrgs_SortedTable[[#This Row],[FY 2018 Total]]*MemberOrgs_SortedTable[[#This Row],[House % Change]], "No Budget Data"))</f>
        <v/>
      </c>
      <c r="K86" s="19" t="str">
        <f>IF(MemberOrgs_SortedTable[[#This Row],[Unique CFDA]] = "", "", IFERROR(MemberOrgs_SortedTable[[#This Row],[FY 2018 Total]]*MemberOrgs_SortedTable[[#This Row],[Senate Budget]], "No Budget Data"))</f>
        <v/>
      </c>
      <c r="L86" t="str">
        <f>IF(MemberOrgs_SortedTable[[#This Row],[Unique CFDA]] = "", "", IF(ISNUMBER(MemberOrgs_SortedTable[[#This Row],[President $ Change]]), RANK(MemberOrgs_SortedTable[[#This Row],[President $ Change]], $G$4:$G$227)+COUNTIF($G$4:G86, G86)-1, 0))</f>
        <v/>
      </c>
      <c r="M86" t="str">
        <f>IFERROR((IF(MemberOrgs_SortedTable[[#This Row],[Sort 1]] = 0, COUNTIF($L$4:L86, 0), "")+MAX(MemberOrgs_SortedTable[Sort 1])), "")</f>
        <v/>
      </c>
      <c r="N86" t="str">
        <f>IF(MemberOrgs_SortedTable[[#This Row],[Sort 1]]&gt;0, MemberOrgs_SortedTable[[#This Row],[Sort 1]], MemberOrgs_SortedTable[[#This Row],[Sort 2]])</f>
        <v/>
      </c>
      <c r="P86">
        <v>83</v>
      </c>
      <c r="Q86" t="str">
        <f>IFERROR(INDEX(MemberOrgs_SortedTable[Unique CFDA], MATCH(Table7[[#This Row],[Desired Order]], MemberOrgs_SortedTable[Final Pres. Sort], 0)), "")</f>
        <v/>
      </c>
      <c r="R86" s="1" t="str">
        <f>IF(ISNUMBER(Table7[[#This Row],[CFDA]]), INDEX(MemberOrgs_Control[Row], MATCH(Table7[[#This Row],[Desired Order]], MemberOrgs_Control['#], 0)), "")</f>
        <v/>
      </c>
    </row>
    <row r="87" spans="1:18" x14ac:dyDescent="0.25">
      <c r="A87" t="str">
        <f>IF(OR(MemberOrgControl!$B90 = "", MemberOrgControl!$B90 &lt;0), "", INDEX(MemberOrgsData[CFDA], MemberOrgControl!$B90))</f>
        <v/>
      </c>
      <c r="C87" t="str">
        <f>IFERROR(INDEX(AllCFDAs[All CFDAs], MATCH(0, INDEX(COUNTIF($C$3:C86, AllCFDAs[All CFDAs]),),0)), "")</f>
        <v/>
      </c>
      <c r="D87" t="str">
        <f t="array" ref="D87">IFERROR(INDEX(MemberOrgsData[FEDERALPROGRAMNAME], MATCH(1, (SelectMemberOrgs = MemberOrgsData[Auditee Name])*(MemberOrgs_SortedTable[[#This Row],[Unique CFDA]]= MemberOrgsData[CFDA]), 0)), "")</f>
        <v/>
      </c>
      <c r="E87" s="20" t="str">
        <f t="array" ref="E87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87" s="21" t="str">
        <f t="array" ref="F87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87" s="19" t="str">
        <f>IF(MemberOrgs_SortedTable[[#This Row],[Unique CFDA]] = "", "", IFERROR(MemberOrgs_SortedTable[[#This Row],[FY 2018 Total]]*MemberOrgs_SortedTable[[#This Row],[President % Change]], "No Budget Data"))</f>
        <v/>
      </c>
      <c r="H87" s="21" t="str">
        <f t="array" ref="H87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87" s="19" t="str">
        <f>IF(MemberOrgs_SortedTable[[#This Row],[Unique CFDA]] = "", "", IFERROR(MemberOrgs_SortedTable[[#This Row],[FY 2018 Total]]*MemberOrgs_SortedTable[[#This Row],[House % Change]], "No Budget Data"))</f>
        <v/>
      </c>
      <c r="K87" s="19" t="str">
        <f>IF(MemberOrgs_SortedTable[[#This Row],[Unique CFDA]] = "", "", IFERROR(MemberOrgs_SortedTable[[#This Row],[FY 2018 Total]]*MemberOrgs_SortedTable[[#This Row],[Senate Budget]], "No Budget Data"))</f>
        <v/>
      </c>
      <c r="L87" t="str">
        <f>IF(MemberOrgs_SortedTable[[#This Row],[Unique CFDA]] = "", "", IF(ISNUMBER(MemberOrgs_SortedTable[[#This Row],[President $ Change]]), RANK(MemberOrgs_SortedTable[[#This Row],[President $ Change]], $G$4:$G$227)+COUNTIF($G$4:G87, G87)-1, 0))</f>
        <v/>
      </c>
      <c r="M87" t="str">
        <f>IFERROR((IF(MemberOrgs_SortedTable[[#This Row],[Sort 1]] = 0, COUNTIF($L$4:L87, 0), "")+MAX(MemberOrgs_SortedTable[Sort 1])), "")</f>
        <v/>
      </c>
      <c r="N87" t="str">
        <f>IF(MemberOrgs_SortedTable[[#This Row],[Sort 1]]&gt;0, MemberOrgs_SortedTable[[#This Row],[Sort 1]], MemberOrgs_SortedTable[[#This Row],[Sort 2]])</f>
        <v/>
      </c>
      <c r="P87">
        <v>84</v>
      </c>
      <c r="Q87" t="str">
        <f>IFERROR(INDEX(MemberOrgs_SortedTable[Unique CFDA], MATCH(Table7[[#This Row],[Desired Order]], MemberOrgs_SortedTable[Final Pres. Sort], 0)), "")</f>
        <v/>
      </c>
      <c r="R87" s="1" t="str">
        <f>IF(ISNUMBER(Table7[[#This Row],[CFDA]]), INDEX(MemberOrgs_Control[Row], MATCH(Table7[[#This Row],[Desired Order]], MemberOrgs_Control['#], 0)), "")</f>
        <v/>
      </c>
    </row>
    <row r="88" spans="1:18" x14ac:dyDescent="0.25">
      <c r="A88" t="str">
        <f>IF(OR(MemberOrgControl!$B91 = "", MemberOrgControl!$B91 &lt;0), "", INDEX(MemberOrgsData[CFDA], MemberOrgControl!$B91))</f>
        <v/>
      </c>
      <c r="C88" t="str">
        <f>IFERROR(INDEX(AllCFDAs[All CFDAs], MATCH(0, INDEX(COUNTIF($C$3:C87, AllCFDAs[All CFDAs]),),0)), "")</f>
        <v/>
      </c>
      <c r="D88" t="str">
        <f t="array" ref="D88">IFERROR(INDEX(MemberOrgsData[FEDERALPROGRAMNAME], MATCH(1, (SelectMemberOrgs = MemberOrgsData[Auditee Name])*(MemberOrgs_SortedTable[[#This Row],[Unique CFDA]]= MemberOrgsData[CFDA]), 0)), "")</f>
        <v/>
      </c>
      <c r="E88" s="20" t="str">
        <f t="array" ref="E88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88" s="21" t="str">
        <f t="array" ref="F88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88" s="19" t="str">
        <f>IF(MemberOrgs_SortedTable[[#This Row],[Unique CFDA]] = "", "", IFERROR(MemberOrgs_SortedTable[[#This Row],[FY 2018 Total]]*MemberOrgs_SortedTable[[#This Row],[President % Change]], "No Budget Data"))</f>
        <v/>
      </c>
      <c r="H88" s="21" t="str">
        <f t="array" ref="H88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88" s="19" t="str">
        <f>IF(MemberOrgs_SortedTable[[#This Row],[Unique CFDA]] = "", "", IFERROR(MemberOrgs_SortedTable[[#This Row],[FY 2018 Total]]*MemberOrgs_SortedTable[[#This Row],[House % Change]], "No Budget Data"))</f>
        <v/>
      </c>
      <c r="K88" s="19" t="str">
        <f>IF(MemberOrgs_SortedTable[[#This Row],[Unique CFDA]] = "", "", IFERROR(MemberOrgs_SortedTable[[#This Row],[FY 2018 Total]]*MemberOrgs_SortedTable[[#This Row],[Senate Budget]], "No Budget Data"))</f>
        <v/>
      </c>
      <c r="L88" t="str">
        <f>IF(MemberOrgs_SortedTable[[#This Row],[Unique CFDA]] = "", "", IF(ISNUMBER(MemberOrgs_SortedTable[[#This Row],[President $ Change]]), RANK(MemberOrgs_SortedTable[[#This Row],[President $ Change]], $G$4:$G$227)+COUNTIF($G$4:G88, G88)-1, 0))</f>
        <v/>
      </c>
      <c r="M88" t="str">
        <f>IFERROR((IF(MemberOrgs_SortedTable[[#This Row],[Sort 1]] = 0, COUNTIF($L$4:L88, 0), "")+MAX(MemberOrgs_SortedTable[Sort 1])), "")</f>
        <v/>
      </c>
      <c r="N88" t="str">
        <f>IF(MemberOrgs_SortedTable[[#This Row],[Sort 1]]&gt;0, MemberOrgs_SortedTable[[#This Row],[Sort 1]], MemberOrgs_SortedTable[[#This Row],[Sort 2]])</f>
        <v/>
      </c>
      <c r="P88">
        <v>85</v>
      </c>
      <c r="Q88" t="str">
        <f>IFERROR(INDEX(MemberOrgs_SortedTable[Unique CFDA], MATCH(Table7[[#This Row],[Desired Order]], MemberOrgs_SortedTable[Final Pres. Sort], 0)), "")</f>
        <v/>
      </c>
      <c r="R88" s="1" t="str">
        <f>IF(ISNUMBER(Table7[[#This Row],[CFDA]]), INDEX(MemberOrgs_Control[Row], MATCH(Table7[[#This Row],[Desired Order]], MemberOrgs_Control['#], 0)), "")</f>
        <v/>
      </c>
    </row>
    <row r="89" spans="1:18" x14ac:dyDescent="0.25">
      <c r="A89" t="str">
        <f>IF(OR(MemberOrgControl!$B92 = "", MemberOrgControl!$B92 &lt;0), "", INDEX(MemberOrgsData[CFDA], MemberOrgControl!$B92))</f>
        <v/>
      </c>
      <c r="C89" t="str">
        <f>IFERROR(INDEX(AllCFDAs[All CFDAs], MATCH(0, INDEX(COUNTIF($C$3:C88, AllCFDAs[All CFDAs]),),0)), "")</f>
        <v/>
      </c>
      <c r="D89" t="str">
        <f t="array" ref="D89">IFERROR(INDEX(MemberOrgsData[FEDERALPROGRAMNAME], MATCH(1, (SelectMemberOrgs = MemberOrgsData[Auditee Name])*(MemberOrgs_SortedTable[[#This Row],[Unique CFDA]]= MemberOrgsData[CFDA]), 0)), "")</f>
        <v/>
      </c>
      <c r="E89" s="20" t="str">
        <f t="array" ref="E89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89" s="21" t="str">
        <f t="array" ref="F89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89" s="19" t="str">
        <f>IF(MemberOrgs_SortedTable[[#This Row],[Unique CFDA]] = "", "", IFERROR(MemberOrgs_SortedTable[[#This Row],[FY 2018 Total]]*MemberOrgs_SortedTable[[#This Row],[President % Change]], "No Budget Data"))</f>
        <v/>
      </c>
      <c r="H89" s="21" t="str">
        <f t="array" ref="H89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89" s="19" t="str">
        <f>IF(MemberOrgs_SortedTable[[#This Row],[Unique CFDA]] = "", "", IFERROR(MemberOrgs_SortedTable[[#This Row],[FY 2018 Total]]*MemberOrgs_SortedTable[[#This Row],[House % Change]], "No Budget Data"))</f>
        <v/>
      </c>
      <c r="K89" s="19" t="str">
        <f>IF(MemberOrgs_SortedTable[[#This Row],[Unique CFDA]] = "", "", IFERROR(MemberOrgs_SortedTable[[#This Row],[FY 2018 Total]]*MemberOrgs_SortedTable[[#This Row],[Senate Budget]], "No Budget Data"))</f>
        <v/>
      </c>
      <c r="L89" t="str">
        <f>IF(MemberOrgs_SortedTable[[#This Row],[Unique CFDA]] = "", "", IF(ISNUMBER(MemberOrgs_SortedTable[[#This Row],[President $ Change]]), RANK(MemberOrgs_SortedTable[[#This Row],[President $ Change]], $G$4:$G$227)+COUNTIF($G$4:G89, G89)-1, 0))</f>
        <v/>
      </c>
      <c r="M89" t="str">
        <f>IFERROR((IF(MemberOrgs_SortedTable[[#This Row],[Sort 1]] = 0, COUNTIF($L$4:L89, 0), "")+MAX(MemberOrgs_SortedTable[Sort 1])), "")</f>
        <v/>
      </c>
      <c r="N89" t="str">
        <f>IF(MemberOrgs_SortedTable[[#This Row],[Sort 1]]&gt;0, MemberOrgs_SortedTable[[#This Row],[Sort 1]], MemberOrgs_SortedTable[[#This Row],[Sort 2]])</f>
        <v/>
      </c>
      <c r="P89">
        <v>86</v>
      </c>
      <c r="Q89" t="str">
        <f>IFERROR(INDEX(MemberOrgs_SortedTable[Unique CFDA], MATCH(Table7[[#This Row],[Desired Order]], MemberOrgs_SortedTable[Final Pres. Sort], 0)), "")</f>
        <v/>
      </c>
      <c r="R89" s="1" t="str">
        <f>IF(ISNUMBER(Table7[[#This Row],[CFDA]]), INDEX(MemberOrgs_Control[Row], MATCH(Table7[[#This Row],[Desired Order]], MemberOrgs_Control['#], 0)), "")</f>
        <v/>
      </c>
    </row>
    <row r="90" spans="1:18" x14ac:dyDescent="0.25">
      <c r="A90" t="str">
        <f>IF(OR(MemberOrgControl!$B93 = "", MemberOrgControl!$B93 &lt;0), "", INDEX(MemberOrgsData[CFDA], MemberOrgControl!$B93))</f>
        <v/>
      </c>
      <c r="C90" t="str">
        <f>IFERROR(INDEX(AllCFDAs[All CFDAs], MATCH(0, INDEX(COUNTIF($C$3:C89, AllCFDAs[All CFDAs]),),0)), "")</f>
        <v/>
      </c>
      <c r="D90" t="str">
        <f t="array" ref="D90">IFERROR(INDEX(MemberOrgsData[FEDERALPROGRAMNAME], MATCH(1, (SelectMemberOrgs = MemberOrgsData[Auditee Name])*(MemberOrgs_SortedTable[[#This Row],[Unique CFDA]]= MemberOrgsData[CFDA]), 0)), "")</f>
        <v/>
      </c>
      <c r="E90" s="20" t="str">
        <f t="array" ref="E90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90" s="21" t="str">
        <f t="array" ref="F90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90" s="19" t="str">
        <f>IF(MemberOrgs_SortedTable[[#This Row],[Unique CFDA]] = "", "", IFERROR(MemberOrgs_SortedTable[[#This Row],[FY 2018 Total]]*MemberOrgs_SortedTable[[#This Row],[President % Change]], "No Budget Data"))</f>
        <v/>
      </c>
      <c r="H90" s="21" t="str">
        <f t="array" ref="H90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90" s="19" t="str">
        <f>IF(MemberOrgs_SortedTable[[#This Row],[Unique CFDA]] = "", "", IFERROR(MemberOrgs_SortedTable[[#This Row],[FY 2018 Total]]*MemberOrgs_SortedTable[[#This Row],[House % Change]], "No Budget Data"))</f>
        <v/>
      </c>
      <c r="K90" s="19" t="str">
        <f>IF(MemberOrgs_SortedTable[[#This Row],[Unique CFDA]] = "", "", IFERROR(MemberOrgs_SortedTable[[#This Row],[FY 2018 Total]]*MemberOrgs_SortedTable[[#This Row],[Senate Budget]], "No Budget Data"))</f>
        <v/>
      </c>
      <c r="L90" t="str">
        <f>IF(MemberOrgs_SortedTable[[#This Row],[Unique CFDA]] = "", "", IF(ISNUMBER(MemberOrgs_SortedTable[[#This Row],[President $ Change]]), RANK(MemberOrgs_SortedTable[[#This Row],[President $ Change]], $G$4:$G$227)+COUNTIF($G$4:G90, G90)-1, 0))</f>
        <v/>
      </c>
      <c r="M90" t="str">
        <f>IFERROR((IF(MemberOrgs_SortedTable[[#This Row],[Sort 1]] = 0, COUNTIF($L$4:L90, 0), "")+MAX(MemberOrgs_SortedTable[Sort 1])), "")</f>
        <v/>
      </c>
      <c r="N90" t="str">
        <f>IF(MemberOrgs_SortedTable[[#This Row],[Sort 1]]&gt;0, MemberOrgs_SortedTable[[#This Row],[Sort 1]], MemberOrgs_SortedTable[[#This Row],[Sort 2]])</f>
        <v/>
      </c>
    </row>
    <row r="91" spans="1:18" x14ac:dyDescent="0.25">
      <c r="A91" t="str">
        <f>IF(OR(MemberOrgControl!$B94 = "", MemberOrgControl!$B94 &lt;0), "", INDEX(MemberOrgsData[CFDA], MemberOrgControl!$B94))</f>
        <v/>
      </c>
      <c r="C91" t="str">
        <f>IFERROR(INDEX(AllCFDAs[All CFDAs], MATCH(0, INDEX(COUNTIF($C$3:C90, AllCFDAs[All CFDAs]),),0)), "")</f>
        <v/>
      </c>
      <c r="D91" t="str">
        <f t="array" ref="D91">IFERROR(INDEX(MemberOrgsData[FEDERALPROGRAMNAME], MATCH(1, (SelectMemberOrgs = MemberOrgsData[Auditee Name])*(MemberOrgs_SortedTable[[#This Row],[Unique CFDA]]= MemberOrgsData[CFDA]), 0)), "")</f>
        <v/>
      </c>
      <c r="E91" s="20" t="str">
        <f t="array" ref="E91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91" s="21" t="str">
        <f t="array" ref="F91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91" s="19" t="str">
        <f>IF(MemberOrgs_SortedTable[[#This Row],[Unique CFDA]] = "", "", IFERROR(MemberOrgs_SortedTable[[#This Row],[FY 2018 Total]]*MemberOrgs_SortedTable[[#This Row],[President % Change]], "No Budget Data"))</f>
        <v/>
      </c>
      <c r="H91" s="21" t="str">
        <f t="array" ref="H91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91" s="19" t="str">
        <f>IF(MemberOrgs_SortedTable[[#This Row],[Unique CFDA]] = "", "", IFERROR(MemberOrgs_SortedTable[[#This Row],[FY 2018 Total]]*MemberOrgs_SortedTable[[#This Row],[House % Change]], "No Budget Data"))</f>
        <v/>
      </c>
      <c r="K91" s="19" t="str">
        <f>IF(MemberOrgs_SortedTable[[#This Row],[Unique CFDA]] = "", "", IFERROR(MemberOrgs_SortedTable[[#This Row],[FY 2018 Total]]*MemberOrgs_SortedTable[[#This Row],[Senate Budget]], "No Budget Data"))</f>
        <v/>
      </c>
      <c r="L91" t="str">
        <f>IF(MemberOrgs_SortedTable[[#This Row],[Unique CFDA]] = "", "", IF(ISNUMBER(MemberOrgs_SortedTable[[#This Row],[President $ Change]]), RANK(MemberOrgs_SortedTable[[#This Row],[President $ Change]], $G$4:$G$227)+COUNTIF($G$4:G91, G91)-1, 0))</f>
        <v/>
      </c>
      <c r="M91" t="str">
        <f>IFERROR((IF(MemberOrgs_SortedTable[[#This Row],[Sort 1]] = 0, COUNTIF($L$4:L91, 0), "")+MAX(MemberOrgs_SortedTable[Sort 1])), "")</f>
        <v/>
      </c>
      <c r="N91" t="str">
        <f>IF(MemberOrgs_SortedTable[[#This Row],[Sort 1]]&gt;0, MemberOrgs_SortedTable[[#This Row],[Sort 1]], MemberOrgs_SortedTable[[#This Row],[Sort 2]])</f>
        <v/>
      </c>
    </row>
    <row r="92" spans="1:18" x14ac:dyDescent="0.25">
      <c r="A92" t="str">
        <f>IF(OR(MemberOrgControl!$B95 = "", MemberOrgControl!$B95 &lt;0), "", INDEX(MemberOrgsData[CFDA], MemberOrgControl!$B95))</f>
        <v/>
      </c>
      <c r="C92" t="str">
        <f>IFERROR(INDEX(AllCFDAs[All CFDAs], MATCH(0, INDEX(COUNTIF($C$3:C91, AllCFDAs[All CFDAs]),),0)), "")</f>
        <v/>
      </c>
      <c r="D92" t="str">
        <f t="array" ref="D92">IFERROR(INDEX(MemberOrgsData[FEDERALPROGRAMNAME], MATCH(1, (SelectMemberOrgs = MemberOrgsData[Auditee Name])*(MemberOrgs_SortedTable[[#This Row],[Unique CFDA]]= MemberOrgsData[CFDA]), 0)), "")</f>
        <v/>
      </c>
      <c r="E92" s="20" t="str">
        <f t="array" ref="E92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92" s="21" t="str">
        <f t="array" ref="F92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92" s="19" t="str">
        <f>IF(MemberOrgs_SortedTable[[#This Row],[Unique CFDA]] = "", "", IFERROR(MemberOrgs_SortedTable[[#This Row],[FY 2018 Total]]*MemberOrgs_SortedTable[[#This Row],[President % Change]], "No Budget Data"))</f>
        <v/>
      </c>
      <c r="H92" s="21" t="str">
        <f t="array" ref="H92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92" s="19" t="str">
        <f>IF(MemberOrgs_SortedTable[[#This Row],[Unique CFDA]] = "", "", IFERROR(MemberOrgs_SortedTable[[#This Row],[FY 2018 Total]]*MemberOrgs_SortedTable[[#This Row],[House % Change]], "No Budget Data"))</f>
        <v/>
      </c>
      <c r="K92" s="19" t="str">
        <f>IF(MemberOrgs_SortedTable[[#This Row],[Unique CFDA]] = "", "", IFERROR(MemberOrgs_SortedTable[[#This Row],[FY 2018 Total]]*MemberOrgs_SortedTable[[#This Row],[Senate Budget]], "No Budget Data"))</f>
        <v/>
      </c>
      <c r="L92" t="str">
        <f>IF(MemberOrgs_SortedTable[[#This Row],[Unique CFDA]] = "", "", IF(ISNUMBER(MemberOrgs_SortedTable[[#This Row],[President $ Change]]), RANK(MemberOrgs_SortedTable[[#This Row],[President $ Change]], $G$4:$G$227)+COUNTIF($G$4:G92, G92)-1, 0))</f>
        <v/>
      </c>
      <c r="M92" t="str">
        <f>IFERROR((IF(MemberOrgs_SortedTable[[#This Row],[Sort 1]] = 0, COUNTIF($L$4:L92, 0), "")+MAX(MemberOrgs_SortedTable[Sort 1])), "")</f>
        <v/>
      </c>
      <c r="N92" t="str">
        <f>IF(MemberOrgs_SortedTable[[#This Row],[Sort 1]]&gt;0, MemberOrgs_SortedTable[[#This Row],[Sort 1]], MemberOrgs_SortedTable[[#This Row],[Sort 2]])</f>
        <v/>
      </c>
    </row>
    <row r="93" spans="1:18" x14ac:dyDescent="0.25">
      <c r="A93" t="str">
        <f>IF(OR(MemberOrgControl!$B96 = "", MemberOrgControl!$B96 &lt;0), "", INDEX(MemberOrgsData[CFDA], MemberOrgControl!$B96))</f>
        <v/>
      </c>
      <c r="C93" t="str">
        <f>IFERROR(INDEX(AllCFDAs[All CFDAs], MATCH(0, INDEX(COUNTIF($C$3:C92, AllCFDAs[All CFDAs]),),0)), "")</f>
        <v/>
      </c>
      <c r="D93" t="str">
        <f t="array" ref="D93">IFERROR(INDEX(MemberOrgsData[FEDERALPROGRAMNAME], MATCH(1, (SelectMemberOrgs = MemberOrgsData[Auditee Name])*(MemberOrgs_SortedTable[[#This Row],[Unique CFDA]]= MemberOrgsData[CFDA]), 0)), "")</f>
        <v/>
      </c>
      <c r="E93" s="20" t="str">
        <f t="array" ref="E93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93" s="21" t="str">
        <f t="array" ref="F93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93" s="19" t="str">
        <f>IF(MemberOrgs_SortedTable[[#This Row],[Unique CFDA]] = "", "", IFERROR(MemberOrgs_SortedTable[[#This Row],[FY 2018 Total]]*MemberOrgs_SortedTable[[#This Row],[President % Change]], "No Budget Data"))</f>
        <v/>
      </c>
      <c r="H93" s="21" t="str">
        <f t="array" ref="H93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93" s="19" t="str">
        <f>IF(MemberOrgs_SortedTable[[#This Row],[Unique CFDA]] = "", "", IFERROR(MemberOrgs_SortedTable[[#This Row],[FY 2018 Total]]*MemberOrgs_SortedTable[[#This Row],[House % Change]], "No Budget Data"))</f>
        <v/>
      </c>
      <c r="K93" s="19" t="str">
        <f>IF(MemberOrgs_SortedTable[[#This Row],[Unique CFDA]] = "", "", IFERROR(MemberOrgs_SortedTable[[#This Row],[FY 2018 Total]]*MemberOrgs_SortedTable[[#This Row],[Senate Budget]], "No Budget Data"))</f>
        <v/>
      </c>
      <c r="L93" t="str">
        <f>IF(MemberOrgs_SortedTable[[#This Row],[Unique CFDA]] = "", "", IF(ISNUMBER(MemberOrgs_SortedTable[[#This Row],[President $ Change]]), RANK(MemberOrgs_SortedTable[[#This Row],[President $ Change]], $G$4:$G$227)+COUNTIF($G$4:G93, G93)-1, 0))</f>
        <v/>
      </c>
      <c r="M93" t="str">
        <f>IFERROR((IF(MemberOrgs_SortedTable[[#This Row],[Sort 1]] = 0, COUNTIF($L$4:L93, 0), "")+MAX(MemberOrgs_SortedTable[Sort 1])), "")</f>
        <v/>
      </c>
      <c r="N93" t="str">
        <f>IF(MemberOrgs_SortedTable[[#This Row],[Sort 1]]&gt;0, MemberOrgs_SortedTable[[#This Row],[Sort 1]], MemberOrgs_SortedTable[[#This Row],[Sort 2]])</f>
        <v/>
      </c>
    </row>
    <row r="94" spans="1:18" x14ac:dyDescent="0.25">
      <c r="A94" t="str">
        <f>IF(OR(MemberOrgControl!$B97 = "", MemberOrgControl!$B97 &lt;0), "", INDEX(MemberOrgsData[CFDA], MemberOrgControl!$B97))</f>
        <v/>
      </c>
      <c r="C94" t="str">
        <f>IFERROR(INDEX(AllCFDAs[All CFDAs], MATCH(0, INDEX(COUNTIF($C$3:C93, AllCFDAs[All CFDAs]),),0)), "")</f>
        <v/>
      </c>
      <c r="D94" t="str">
        <f t="array" ref="D94">IFERROR(INDEX(MemberOrgsData[FEDERALPROGRAMNAME], MATCH(1, (SelectMemberOrgs = MemberOrgsData[Auditee Name])*(MemberOrgs_SortedTable[[#This Row],[Unique CFDA]]= MemberOrgsData[CFDA]), 0)), "")</f>
        <v/>
      </c>
      <c r="E94" s="20" t="str">
        <f t="array" ref="E94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94" s="21" t="str">
        <f t="array" ref="F94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94" s="19" t="str">
        <f>IF(MemberOrgs_SortedTable[[#This Row],[Unique CFDA]] = "", "", IFERROR(MemberOrgs_SortedTable[[#This Row],[FY 2018 Total]]*MemberOrgs_SortedTable[[#This Row],[President % Change]], "No Budget Data"))</f>
        <v/>
      </c>
      <c r="H94" s="21" t="str">
        <f t="array" ref="H94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94" s="19" t="str">
        <f>IF(MemberOrgs_SortedTable[[#This Row],[Unique CFDA]] = "", "", IFERROR(MemberOrgs_SortedTable[[#This Row],[FY 2018 Total]]*MemberOrgs_SortedTable[[#This Row],[House % Change]], "No Budget Data"))</f>
        <v/>
      </c>
      <c r="K94" s="19" t="str">
        <f>IF(MemberOrgs_SortedTable[[#This Row],[Unique CFDA]] = "", "", IFERROR(MemberOrgs_SortedTable[[#This Row],[FY 2018 Total]]*MemberOrgs_SortedTable[[#This Row],[Senate Budget]], "No Budget Data"))</f>
        <v/>
      </c>
      <c r="L94" t="str">
        <f>IF(MemberOrgs_SortedTable[[#This Row],[Unique CFDA]] = "", "", IF(ISNUMBER(MemberOrgs_SortedTable[[#This Row],[President $ Change]]), RANK(MemberOrgs_SortedTable[[#This Row],[President $ Change]], $G$4:$G$227)+COUNTIF($G$4:G94, G94)-1, 0))</f>
        <v/>
      </c>
      <c r="M94" t="str">
        <f>IFERROR((IF(MemberOrgs_SortedTable[[#This Row],[Sort 1]] = 0, COUNTIF($L$4:L94, 0), "")+MAX(MemberOrgs_SortedTable[Sort 1])), "")</f>
        <v/>
      </c>
      <c r="N94" t="str">
        <f>IF(MemberOrgs_SortedTable[[#This Row],[Sort 1]]&gt;0, MemberOrgs_SortedTable[[#This Row],[Sort 1]], MemberOrgs_SortedTable[[#This Row],[Sort 2]])</f>
        <v/>
      </c>
    </row>
    <row r="95" spans="1:18" x14ac:dyDescent="0.25">
      <c r="A95" t="str">
        <f>IF(OR(MemberOrgControl!$B98 = "", MemberOrgControl!$B98 &lt;0), "", INDEX(MemberOrgsData[CFDA], MemberOrgControl!$B98))</f>
        <v/>
      </c>
      <c r="C95" t="str">
        <f>IFERROR(INDEX(AllCFDAs[All CFDAs], MATCH(0, INDEX(COUNTIF($C$3:C94, AllCFDAs[All CFDAs]),),0)), "")</f>
        <v/>
      </c>
      <c r="D95" t="str">
        <f t="array" ref="D95">IFERROR(INDEX(MemberOrgsData[FEDERALPROGRAMNAME], MATCH(1, (SelectMemberOrgs = MemberOrgsData[Auditee Name])*(MemberOrgs_SortedTable[[#This Row],[Unique CFDA]]= MemberOrgsData[CFDA]), 0)), "")</f>
        <v/>
      </c>
      <c r="E95" s="20" t="str">
        <f t="array" ref="E95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95" s="21" t="str">
        <f t="array" ref="F95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95" s="19" t="str">
        <f>IF(MemberOrgs_SortedTable[[#This Row],[Unique CFDA]] = "", "", IFERROR(MemberOrgs_SortedTable[[#This Row],[FY 2018 Total]]*MemberOrgs_SortedTable[[#This Row],[President % Change]], "No Budget Data"))</f>
        <v/>
      </c>
      <c r="H95" s="21" t="str">
        <f t="array" ref="H95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95" s="19" t="str">
        <f>IF(MemberOrgs_SortedTable[[#This Row],[Unique CFDA]] = "", "", IFERROR(MemberOrgs_SortedTable[[#This Row],[FY 2018 Total]]*MemberOrgs_SortedTable[[#This Row],[House % Change]], "No Budget Data"))</f>
        <v/>
      </c>
      <c r="K95" s="19" t="str">
        <f>IF(MemberOrgs_SortedTable[[#This Row],[Unique CFDA]] = "", "", IFERROR(MemberOrgs_SortedTable[[#This Row],[FY 2018 Total]]*MemberOrgs_SortedTable[[#This Row],[Senate Budget]], "No Budget Data"))</f>
        <v/>
      </c>
      <c r="L95" t="str">
        <f>IF(MemberOrgs_SortedTable[[#This Row],[Unique CFDA]] = "", "", IF(ISNUMBER(MemberOrgs_SortedTable[[#This Row],[President $ Change]]), RANK(MemberOrgs_SortedTable[[#This Row],[President $ Change]], $G$4:$G$227)+COUNTIF($G$4:G95, G95)-1, 0))</f>
        <v/>
      </c>
      <c r="M95" t="str">
        <f>IFERROR((IF(MemberOrgs_SortedTable[[#This Row],[Sort 1]] = 0, COUNTIF($L$4:L95, 0), "")+MAX(MemberOrgs_SortedTable[Sort 1])), "")</f>
        <v/>
      </c>
      <c r="N95" t="str">
        <f>IF(MemberOrgs_SortedTable[[#This Row],[Sort 1]]&gt;0, MemberOrgs_SortedTable[[#This Row],[Sort 1]], MemberOrgs_SortedTable[[#This Row],[Sort 2]])</f>
        <v/>
      </c>
    </row>
    <row r="96" spans="1:18" x14ac:dyDescent="0.25">
      <c r="A96" t="str">
        <f>IF(OR(MemberOrgControl!$B99 = "", MemberOrgControl!$B99 &lt;0), "", INDEX(MemberOrgsData[CFDA], MemberOrgControl!$B99))</f>
        <v/>
      </c>
      <c r="C96" t="str">
        <f>IFERROR(INDEX(AllCFDAs[All CFDAs], MATCH(0, INDEX(COUNTIF($C$3:C95, AllCFDAs[All CFDAs]),),0)), "")</f>
        <v/>
      </c>
      <c r="D96" t="str">
        <f t="array" ref="D96">IFERROR(INDEX(MemberOrgsData[FEDERALPROGRAMNAME], MATCH(1, (SelectMemberOrgs = MemberOrgsData[Auditee Name])*(MemberOrgs_SortedTable[[#This Row],[Unique CFDA]]= MemberOrgsData[CFDA]), 0)), "")</f>
        <v/>
      </c>
      <c r="E96" s="20" t="str">
        <f t="array" ref="E96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96" s="21" t="str">
        <f t="array" ref="F96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96" s="19" t="str">
        <f>IF(MemberOrgs_SortedTable[[#This Row],[Unique CFDA]] = "", "", IFERROR(MemberOrgs_SortedTable[[#This Row],[FY 2018 Total]]*MemberOrgs_SortedTable[[#This Row],[President % Change]], "No Budget Data"))</f>
        <v/>
      </c>
      <c r="H96" s="21" t="str">
        <f t="array" ref="H96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96" s="19" t="str">
        <f>IF(MemberOrgs_SortedTable[[#This Row],[Unique CFDA]] = "", "", IFERROR(MemberOrgs_SortedTable[[#This Row],[FY 2018 Total]]*MemberOrgs_SortedTable[[#This Row],[House % Change]], "No Budget Data"))</f>
        <v/>
      </c>
      <c r="K96" s="19" t="str">
        <f>IF(MemberOrgs_SortedTable[[#This Row],[Unique CFDA]] = "", "", IFERROR(MemberOrgs_SortedTable[[#This Row],[FY 2018 Total]]*MemberOrgs_SortedTable[[#This Row],[Senate Budget]], "No Budget Data"))</f>
        <v/>
      </c>
      <c r="L96" t="str">
        <f>IF(MemberOrgs_SortedTable[[#This Row],[Unique CFDA]] = "", "", IF(ISNUMBER(MemberOrgs_SortedTable[[#This Row],[President $ Change]]), RANK(MemberOrgs_SortedTable[[#This Row],[President $ Change]], $G$4:$G$227)+COUNTIF($G$4:G96, G96)-1, 0))</f>
        <v/>
      </c>
      <c r="M96" t="str">
        <f>IFERROR((IF(MemberOrgs_SortedTable[[#This Row],[Sort 1]] = 0, COUNTIF($L$4:L96, 0), "")+MAX(MemberOrgs_SortedTable[Sort 1])), "")</f>
        <v/>
      </c>
      <c r="N96" t="str">
        <f>IF(MemberOrgs_SortedTable[[#This Row],[Sort 1]]&gt;0, MemberOrgs_SortedTable[[#This Row],[Sort 1]], MemberOrgs_SortedTable[[#This Row],[Sort 2]])</f>
        <v/>
      </c>
    </row>
    <row r="97" spans="1:14" x14ac:dyDescent="0.25">
      <c r="A97" t="str">
        <f>IF(OR(MemberOrgControl!$B100 = "", MemberOrgControl!$B100 &lt;0), "", INDEX(MemberOrgsData[CFDA], MemberOrgControl!$B100))</f>
        <v/>
      </c>
      <c r="C97" t="str">
        <f>IFERROR(INDEX(AllCFDAs[All CFDAs], MATCH(0, INDEX(COUNTIF($C$3:C96, AllCFDAs[All CFDAs]),),0)), "")</f>
        <v/>
      </c>
      <c r="D97" t="str">
        <f t="array" ref="D97">IFERROR(INDEX(MemberOrgsData[FEDERALPROGRAMNAME], MATCH(1, (SelectMemberOrgs = MemberOrgsData[Auditee Name])*(MemberOrgs_SortedTable[[#This Row],[Unique CFDA]]= MemberOrgsData[CFDA]), 0)), "")</f>
        <v/>
      </c>
      <c r="E97" s="20" t="str">
        <f t="array" ref="E97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97" s="21" t="str">
        <f t="array" ref="F97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97" s="19" t="str">
        <f>IF(MemberOrgs_SortedTable[[#This Row],[Unique CFDA]] = "", "", IFERROR(MemberOrgs_SortedTable[[#This Row],[FY 2018 Total]]*MemberOrgs_SortedTable[[#This Row],[President % Change]], "No Budget Data"))</f>
        <v/>
      </c>
      <c r="H97" s="21" t="str">
        <f t="array" ref="H97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97" s="19" t="str">
        <f>IF(MemberOrgs_SortedTable[[#This Row],[Unique CFDA]] = "", "", IFERROR(MemberOrgs_SortedTable[[#This Row],[FY 2018 Total]]*MemberOrgs_SortedTable[[#This Row],[House % Change]], "No Budget Data"))</f>
        <v/>
      </c>
      <c r="K97" s="19" t="str">
        <f>IF(MemberOrgs_SortedTable[[#This Row],[Unique CFDA]] = "", "", IFERROR(MemberOrgs_SortedTable[[#This Row],[FY 2018 Total]]*MemberOrgs_SortedTable[[#This Row],[Senate Budget]], "No Budget Data"))</f>
        <v/>
      </c>
      <c r="L97" t="str">
        <f>IF(MemberOrgs_SortedTable[[#This Row],[Unique CFDA]] = "", "", IF(ISNUMBER(MemberOrgs_SortedTable[[#This Row],[President $ Change]]), RANK(MemberOrgs_SortedTable[[#This Row],[President $ Change]], $G$4:$G$227)+COUNTIF($G$4:G97, G97)-1, 0))</f>
        <v/>
      </c>
      <c r="M97" t="str">
        <f>IFERROR((IF(MemberOrgs_SortedTable[[#This Row],[Sort 1]] = 0, COUNTIF($L$4:L97, 0), "")+MAX(MemberOrgs_SortedTable[Sort 1])), "")</f>
        <v/>
      </c>
      <c r="N97" t="str">
        <f>IF(MemberOrgs_SortedTable[[#This Row],[Sort 1]]&gt;0, MemberOrgs_SortedTable[[#This Row],[Sort 1]], MemberOrgs_SortedTable[[#This Row],[Sort 2]])</f>
        <v/>
      </c>
    </row>
    <row r="98" spans="1:14" x14ac:dyDescent="0.25">
      <c r="A98" t="str">
        <f>IF(OR(MemberOrgControl!$B101 = "", MemberOrgControl!$B101 &lt;0), "", INDEX(MemberOrgsData[CFDA], MemberOrgControl!$B101))</f>
        <v/>
      </c>
      <c r="C98" t="str">
        <f>IFERROR(INDEX(AllCFDAs[All CFDAs], MATCH(0, INDEX(COUNTIF($C$3:C97, AllCFDAs[All CFDAs]),),0)), "")</f>
        <v/>
      </c>
      <c r="D98" t="str">
        <f t="array" ref="D98">IFERROR(INDEX(MemberOrgsData[FEDERALPROGRAMNAME], MATCH(1, (SelectMemberOrgs = MemberOrgsData[Auditee Name])*(MemberOrgs_SortedTable[[#This Row],[Unique CFDA]]= MemberOrgsData[CFDA]), 0)), "")</f>
        <v/>
      </c>
      <c r="E98" s="20" t="str">
        <f t="array" ref="E98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98" s="21" t="str">
        <f t="array" ref="F98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98" s="19" t="str">
        <f>IF(MemberOrgs_SortedTable[[#This Row],[Unique CFDA]] = "", "", IFERROR(MemberOrgs_SortedTable[[#This Row],[FY 2018 Total]]*MemberOrgs_SortedTable[[#This Row],[President % Change]], "No Budget Data"))</f>
        <v/>
      </c>
      <c r="H98" s="21" t="str">
        <f t="array" ref="H98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98" s="19" t="str">
        <f>IF(MemberOrgs_SortedTable[[#This Row],[Unique CFDA]] = "", "", IFERROR(MemberOrgs_SortedTable[[#This Row],[FY 2018 Total]]*MemberOrgs_SortedTable[[#This Row],[House % Change]], "No Budget Data"))</f>
        <v/>
      </c>
      <c r="K98" s="19" t="str">
        <f>IF(MemberOrgs_SortedTable[[#This Row],[Unique CFDA]] = "", "", IFERROR(MemberOrgs_SortedTable[[#This Row],[FY 2018 Total]]*MemberOrgs_SortedTable[[#This Row],[Senate Budget]], "No Budget Data"))</f>
        <v/>
      </c>
      <c r="L98" t="str">
        <f>IF(MemberOrgs_SortedTable[[#This Row],[Unique CFDA]] = "", "", IF(ISNUMBER(MemberOrgs_SortedTable[[#This Row],[President $ Change]]), RANK(MemberOrgs_SortedTable[[#This Row],[President $ Change]], $G$4:$G$227)+COUNTIF($G$4:G98, G98)-1, 0))</f>
        <v/>
      </c>
      <c r="M98" t="str">
        <f>IFERROR((IF(MemberOrgs_SortedTable[[#This Row],[Sort 1]] = 0, COUNTIF($L$4:L98, 0), "")+MAX(MemberOrgs_SortedTable[Sort 1])), "")</f>
        <v/>
      </c>
      <c r="N98" t="str">
        <f>IF(MemberOrgs_SortedTable[[#This Row],[Sort 1]]&gt;0, MemberOrgs_SortedTable[[#This Row],[Sort 1]], MemberOrgs_SortedTable[[#This Row],[Sort 2]])</f>
        <v/>
      </c>
    </row>
    <row r="99" spans="1:14" x14ac:dyDescent="0.25">
      <c r="A99" t="str">
        <f>IF(OR(MemberOrgControl!$B102 = "", MemberOrgControl!$B102 &lt;0), "", INDEX(MemberOrgsData[CFDA], MemberOrgControl!$B102))</f>
        <v/>
      </c>
      <c r="C99" t="str">
        <f>IFERROR(INDEX(AllCFDAs[All CFDAs], MATCH(0, INDEX(COUNTIF($C$3:C98, AllCFDAs[All CFDAs]),),0)), "")</f>
        <v/>
      </c>
      <c r="D99" t="str">
        <f t="array" ref="D99">IFERROR(INDEX(MemberOrgsData[FEDERALPROGRAMNAME], MATCH(1, (SelectMemberOrgs = MemberOrgsData[Auditee Name])*(MemberOrgs_SortedTable[[#This Row],[Unique CFDA]]= MemberOrgsData[CFDA]), 0)), "")</f>
        <v/>
      </c>
      <c r="E99" s="20" t="str">
        <f t="array" ref="E99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99" s="21" t="str">
        <f t="array" ref="F99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99" s="19" t="str">
        <f>IF(MemberOrgs_SortedTable[[#This Row],[Unique CFDA]] = "", "", IFERROR(MemberOrgs_SortedTable[[#This Row],[FY 2018 Total]]*MemberOrgs_SortedTable[[#This Row],[President % Change]], "No Budget Data"))</f>
        <v/>
      </c>
      <c r="H99" s="21" t="str">
        <f t="array" ref="H99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99" s="19" t="str">
        <f>IF(MemberOrgs_SortedTable[[#This Row],[Unique CFDA]] = "", "", IFERROR(MemberOrgs_SortedTable[[#This Row],[FY 2018 Total]]*MemberOrgs_SortedTable[[#This Row],[House % Change]], "No Budget Data"))</f>
        <v/>
      </c>
      <c r="K99" s="19" t="str">
        <f>IF(MemberOrgs_SortedTable[[#This Row],[Unique CFDA]] = "", "", IFERROR(MemberOrgs_SortedTable[[#This Row],[FY 2018 Total]]*MemberOrgs_SortedTable[[#This Row],[Senate Budget]], "No Budget Data"))</f>
        <v/>
      </c>
      <c r="L99" t="str">
        <f>IF(MemberOrgs_SortedTable[[#This Row],[Unique CFDA]] = "", "", IF(ISNUMBER(MemberOrgs_SortedTable[[#This Row],[President $ Change]]), RANK(MemberOrgs_SortedTable[[#This Row],[President $ Change]], $G$4:$G$227)+COUNTIF($G$4:G99, G99)-1, 0))</f>
        <v/>
      </c>
      <c r="M99" t="str">
        <f>IFERROR((IF(MemberOrgs_SortedTable[[#This Row],[Sort 1]] = 0, COUNTIF($L$4:L99, 0), "")+MAX(MemberOrgs_SortedTable[Sort 1])), "")</f>
        <v/>
      </c>
      <c r="N99" t="str">
        <f>IF(MemberOrgs_SortedTable[[#This Row],[Sort 1]]&gt;0, MemberOrgs_SortedTable[[#This Row],[Sort 1]], MemberOrgs_SortedTable[[#This Row],[Sort 2]])</f>
        <v/>
      </c>
    </row>
    <row r="100" spans="1:14" x14ac:dyDescent="0.25">
      <c r="A100" t="str">
        <f>IF(OR(MemberOrgControl!$B103 = "", MemberOrgControl!$B103 &lt;0), "", INDEX(MemberOrgsData[CFDA], MemberOrgControl!$B103))</f>
        <v/>
      </c>
      <c r="C100" t="str">
        <f>IFERROR(INDEX(AllCFDAs[All CFDAs], MATCH(0, INDEX(COUNTIF($C$3:C99, AllCFDAs[All CFDAs]),),0)), "")</f>
        <v/>
      </c>
      <c r="D100" t="str">
        <f t="array" ref="D100">IFERROR(INDEX(MemberOrgsData[FEDERALPROGRAMNAME], MATCH(1, (SelectMemberOrgs = MemberOrgsData[Auditee Name])*(MemberOrgs_SortedTable[[#This Row],[Unique CFDA]]= MemberOrgsData[CFDA]), 0)), "")</f>
        <v/>
      </c>
      <c r="E100" s="20" t="str">
        <f t="array" ref="E100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00" s="21" t="str">
        <f t="array" ref="F100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00" s="19" t="str">
        <f>IF(MemberOrgs_SortedTable[[#This Row],[Unique CFDA]] = "", "", IFERROR(MemberOrgs_SortedTable[[#This Row],[FY 2018 Total]]*MemberOrgs_SortedTable[[#This Row],[President % Change]], "No Budget Data"))</f>
        <v/>
      </c>
      <c r="H100" s="21" t="str">
        <f t="array" ref="H100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00" s="19" t="str">
        <f>IF(MemberOrgs_SortedTable[[#This Row],[Unique CFDA]] = "", "", IFERROR(MemberOrgs_SortedTable[[#This Row],[FY 2018 Total]]*MemberOrgs_SortedTable[[#This Row],[House % Change]], "No Budget Data"))</f>
        <v/>
      </c>
      <c r="K100" s="19" t="str">
        <f>IF(MemberOrgs_SortedTable[[#This Row],[Unique CFDA]] = "", "", IFERROR(MemberOrgs_SortedTable[[#This Row],[FY 2018 Total]]*MemberOrgs_SortedTable[[#This Row],[Senate Budget]], "No Budget Data"))</f>
        <v/>
      </c>
      <c r="L100" t="str">
        <f>IF(MemberOrgs_SortedTable[[#This Row],[Unique CFDA]] = "", "", IF(ISNUMBER(MemberOrgs_SortedTable[[#This Row],[President $ Change]]), RANK(MemberOrgs_SortedTable[[#This Row],[President $ Change]], $G$4:$G$227)+COUNTIF($G$4:G100, G100)-1, 0))</f>
        <v/>
      </c>
      <c r="M100" t="str">
        <f>IFERROR((IF(MemberOrgs_SortedTable[[#This Row],[Sort 1]] = 0, COUNTIF($L$4:L100, 0), "")+MAX(MemberOrgs_SortedTable[Sort 1])), "")</f>
        <v/>
      </c>
      <c r="N100" t="str">
        <f>IF(MemberOrgs_SortedTable[[#This Row],[Sort 1]]&gt;0, MemberOrgs_SortedTable[[#This Row],[Sort 1]], MemberOrgs_SortedTable[[#This Row],[Sort 2]])</f>
        <v/>
      </c>
    </row>
    <row r="101" spans="1:14" x14ac:dyDescent="0.25">
      <c r="A101" t="str">
        <f>IF(OR(MemberOrgControl!$B104 = "", MemberOrgControl!$B104 &lt;0), "", INDEX(MemberOrgsData[CFDA], MemberOrgControl!$B104))</f>
        <v/>
      </c>
      <c r="C101" t="str">
        <f>IFERROR(INDEX(AllCFDAs[All CFDAs], MATCH(0, INDEX(COUNTIF($C$3:C100, AllCFDAs[All CFDAs]),),0)), "")</f>
        <v/>
      </c>
      <c r="D101" t="str">
        <f t="array" ref="D101">IFERROR(INDEX(MemberOrgsData[FEDERALPROGRAMNAME], MATCH(1, (SelectMemberOrgs = MemberOrgsData[Auditee Name])*(MemberOrgs_SortedTable[[#This Row],[Unique CFDA]]= MemberOrgsData[CFDA]), 0)), "")</f>
        <v/>
      </c>
      <c r="E101" s="20" t="str">
        <f t="array" ref="E101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01" s="21" t="str">
        <f t="array" ref="F101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01" s="19" t="str">
        <f>IF(MemberOrgs_SortedTable[[#This Row],[Unique CFDA]] = "", "", IFERROR(MemberOrgs_SortedTable[[#This Row],[FY 2018 Total]]*MemberOrgs_SortedTable[[#This Row],[President % Change]], "No Budget Data"))</f>
        <v/>
      </c>
      <c r="H101" s="21" t="str">
        <f t="array" ref="H101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01" s="19" t="str">
        <f>IF(MemberOrgs_SortedTable[[#This Row],[Unique CFDA]] = "", "", IFERROR(MemberOrgs_SortedTable[[#This Row],[FY 2018 Total]]*MemberOrgs_SortedTable[[#This Row],[House % Change]], "No Budget Data"))</f>
        <v/>
      </c>
      <c r="K101" s="19" t="str">
        <f>IF(MemberOrgs_SortedTable[[#This Row],[Unique CFDA]] = "", "", IFERROR(MemberOrgs_SortedTable[[#This Row],[FY 2018 Total]]*MemberOrgs_SortedTable[[#This Row],[Senate Budget]], "No Budget Data"))</f>
        <v/>
      </c>
      <c r="L101" t="str">
        <f>IF(MemberOrgs_SortedTable[[#This Row],[Unique CFDA]] = "", "", IF(ISNUMBER(MemberOrgs_SortedTable[[#This Row],[President $ Change]]), RANK(MemberOrgs_SortedTable[[#This Row],[President $ Change]], $G$4:$G$227)+COUNTIF($G$4:G101, G101)-1, 0))</f>
        <v/>
      </c>
      <c r="M101" t="str">
        <f>IFERROR((IF(MemberOrgs_SortedTable[[#This Row],[Sort 1]] = 0, COUNTIF($L$4:L101, 0), "")+MAX(MemberOrgs_SortedTable[Sort 1])), "")</f>
        <v/>
      </c>
      <c r="N101" t="str">
        <f>IF(MemberOrgs_SortedTable[[#This Row],[Sort 1]]&gt;0, MemberOrgs_SortedTable[[#This Row],[Sort 1]], MemberOrgs_SortedTable[[#This Row],[Sort 2]])</f>
        <v/>
      </c>
    </row>
    <row r="102" spans="1:14" x14ac:dyDescent="0.25">
      <c r="A102" t="str">
        <f>IF(OR(MemberOrgControl!$B105 = "", MemberOrgControl!$B105 &lt;0), "", INDEX(MemberOrgsData[CFDA], MemberOrgControl!$B105))</f>
        <v/>
      </c>
      <c r="C102" t="str">
        <f>IFERROR(INDEX(AllCFDAs[All CFDAs], MATCH(0, INDEX(COUNTIF($C$3:C101, AllCFDAs[All CFDAs]),),0)), "")</f>
        <v/>
      </c>
      <c r="D102" t="str">
        <f t="array" ref="D102">IFERROR(INDEX(MemberOrgsData[FEDERALPROGRAMNAME], MATCH(1, (SelectMemberOrgs = MemberOrgsData[Auditee Name])*(MemberOrgs_SortedTable[[#This Row],[Unique CFDA]]= MemberOrgsData[CFDA]), 0)), "")</f>
        <v/>
      </c>
      <c r="E102" s="20" t="str">
        <f t="array" ref="E102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02" s="21" t="str">
        <f t="array" ref="F102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02" s="19" t="str">
        <f>IF(MemberOrgs_SortedTable[[#This Row],[Unique CFDA]] = "", "", IFERROR(MemberOrgs_SortedTable[[#This Row],[FY 2018 Total]]*MemberOrgs_SortedTable[[#This Row],[President % Change]], "No Budget Data"))</f>
        <v/>
      </c>
      <c r="H102" s="21" t="str">
        <f t="array" ref="H102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02" s="19" t="str">
        <f>IF(MemberOrgs_SortedTable[[#This Row],[Unique CFDA]] = "", "", IFERROR(MemberOrgs_SortedTable[[#This Row],[FY 2018 Total]]*MemberOrgs_SortedTable[[#This Row],[House % Change]], "No Budget Data"))</f>
        <v/>
      </c>
      <c r="K102" s="19" t="str">
        <f>IF(MemberOrgs_SortedTable[[#This Row],[Unique CFDA]] = "", "", IFERROR(MemberOrgs_SortedTable[[#This Row],[FY 2018 Total]]*MemberOrgs_SortedTable[[#This Row],[Senate Budget]], "No Budget Data"))</f>
        <v/>
      </c>
      <c r="L102" t="str">
        <f>IF(MemberOrgs_SortedTable[[#This Row],[Unique CFDA]] = "", "", IF(ISNUMBER(MemberOrgs_SortedTable[[#This Row],[President $ Change]]), RANK(MemberOrgs_SortedTable[[#This Row],[President $ Change]], $G$4:$G$227)+COUNTIF($G$4:G102, G102)-1, 0))</f>
        <v/>
      </c>
      <c r="M102" t="str">
        <f>IFERROR((IF(MemberOrgs_SortedTable[[#This Row],[Sort 1]] = 0, COUNTIF($L$4:L102, 0), "")+MAX(MemberOrgs_SortedTable[Sort 1])), "")</f>
        <v/>
      </c>
      <c r="N102" t="str">
        <f>IF(MemberOrgs_SortedTable[[#This Row],[Sort 1]]&gt;0, MemberOrgs_SortedTable[[#This Row],[Sort 1]], MemberOrgs_SortedTable[[#This Row],[Sort 2]])</f>
        <v/>
      </c>
    </row>
    <row r="103" spans="1:14" x14ac:dyDescent="0.25">
      <c r="A103" t="str">
        <f>IF(OR(MemberOrgControl!$B106 = "", MemberOrgControl!$B106 &lt;0), "", INDEX(MemberOrgsData[CFDA], MemberOrgControl!$B106))</f>
        <v/>
      </c>
      <c r="C103" t="str">
        <f>IFERROR(INDEX(AllCFDAs[All CFDAs], MATCH(0, INDEX(COUNTIF($C$3:C102, AllCFDAs[All CFDAs]),),0)), "")</f>
        <v/>
      </c>
      <c r="D103" t="str">
        <f t="array" ref="D103">IFERROR(INDEX(MemberOrgsData[FEDERALPROGRAMNAME], MATCH(1, (SelectMemberOrgs = MemberOrgsData[Auditee Name])*(MemberOrgs_SortedTable[[#This Row],[Unique CFDA]]= MemberOrgsData[CFDA]), 0)), "")</f>
        <v/>
      </c>
      <c r="E103" s="20" t="str">
        <f t="array" ref="E103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03" s="21" t="str">
        <f t="array" ref="F103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03" s="19" t="str">
        <f>IF(MemberOrgs_SortedTable[[#This Row],[Unique CFDA]] = "", "", IFERROR(MemberOrgs_SortedTable[[#This Row],[FY 2018 Total]]*MemberOrgs_SortedTable[[#This Row],[President % Change]], "No Budget Data"))</f>
        <v/>
      </c>
      <c r="H103" s="21" t="str">
        <f t="array" ref="H103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03" s="19" t="str">
        <f>IF(MemberOrgs_SortedTable[[#This Row],[Unique CFDA]] = "", "", IFERROR(MemberOrgs_SortedTable[[#This Row],[FY 2018 Total]]*MemberOrgs_SortedTable[[#This Row],[House % Change]], "No Budget Data"))</f>
        <v/>
      </c>
      <c r="K103" s="19" t="str">
        <f>IF(MemberOrgs_SortedTable[[#This Row],[Unique CFDA]] = "", "", IFERROR(MemberOrgs_SortedTable[[#This Row],[FY 2018 Total]]*MemberOrgs_SortedTable[[#This Row],[Senate Budget]], "No Budget Data"))</f>
        <v/>
      </c>
      <c r="L103" t="str">
        <f>IF(MemberOrgs_SortedTable[[#This Row],[Unique CFDA]] = "", "", IF(ISNUMBER(MemberOrgs_SortedTable[[#This Row],[President $ Change]]), RANK(MemberOrgs_SortedTable[[#This Row],[President $ Change]], $G$4:$G$227)+COUNTIF($G$4:G103, G103)-1, 0))</f>
        <v/>
      </c>
      <c r="M103" t="str">
        <f>IFERROR((IF(MemberOrgs_SortedTable[[#This Row],[Sort 1]] = 0, COUNTIF($L$4:L103, 0), "")+MAX(MemberOrgs_SortedTable[Sort 1])), "")</f>
        <v/>
      </c>
      <c r="N103" t="str">
        <f>IF(MemberOrgs_SortedTable[[#This Row],[Sort 1]]&gt;0, MemberOrgs_SortedTable[[#This Row],[Sort 1]], MemberOrgs_SortedTable[[#This Row],[Sort 2]])</f>
        <v/>
      </c>
    </row>
    <row r="104" spans="1:14" x14ac:dyDescent="0.25">
      <c r="A104" t="str">
        <f>IF(OR(MemberOrgControl!$B107 = "", MemberOrgControl!$B107 &lt;0), "", INDEX(MemberOrgsData[CFDA], MemberOrgControl!$B107))</f>
        <v/>
      </c>
      <c r="C104" t="str">
        <f>IFERROR(INDEX(AllCFDAs[All CFDAs], MATCH(0, INDEX(COUNTIF($C$3:C103, AllCFDAs[All CFDAs]),),0)), "")</f>
        <v/>
      </c>
      <c r="D104" t="str">
        <f t="array" ref="D104">IFERROR(INDEX(MemberOrgsData[FEDERALPROGRAMNAME], MATCH(1, (SelectMemberOrgs = MemberOrgsData[Auditee Name])*(MemberOrgs_SortedTable[[#This Row],[Unique CFDA]]= MemberOrgsData[CFDA]), 0)), "")</f>
        <v/>
      </c>
      <c r="E104" s="20" t="str">
        <f t="array" ref="E104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04" s="21" t="str">
        <f t="array" ref="F104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04" s="19" t="str">
        <f>IF(MemberOrgs_SortedTable[[#This Row],[Unique CFDA]] = "", "", IFERROR(MemberOrgs_SortedTable[[#This Row],[FY 2018 Total]]*MemberOrgs_SortedTable[[#This Row],[President % Change]], "No Budget Data"))</f>
        <v/>
      </c>
      <c r="H104" s="21" t="str">
        <f t="array" ref="H104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04" s="19" t="str">
        <f>IF(MemberOrgs_SortedTable[[#This Row],[Unique CFDA]] = "", "", IFERROR(MemberOrgs_SortedTable[[#This Row],[FY 2018 Total]]*MemberOrgs_SortedTable[[#This Row],[House % Change]], "No Budget Data"))</f>
        <v/>
      </c>
      <c r="K104" s="19" t="str">
        <f>IF(MemberOrgs_SortedTable[[#This Row],[Unique CFDA]] = "", "", IFERROR(MemberOrgs_SortedTable[[#This Row],[FY 2018 Total]]*MemberOrgs_SortedTable[[#This Row],[Senate Budget]], "No Budget Data"))</f>
        <v/>
      </c>
      <c r="L104" t="str">
        <f>IF(MemberOrgs_SortedTable[[#This Row],[Unique CFDA]] = "", "", IF(ISNUMBER(MemberOrgs_SortedTable[[#This Row],[President $ Change]]), RANK(MemberOrgs_SortedTable[[#This Row],[President $ Change]], $G$4:$G$227)+COUNTIF($G$4:G104, G104)-1, 0))</f>
        <v/>
      </c>
      <c r="M104" t="str">
        <f>IFERROR((IF(MemberOrgs_SortedTable[[#This Row],[Sort 1]] = 0, COUNTIF($L$4:L104, 0), "")+MAX(MemberOrgs_SortedTable[Sort 1])), "")</f>
        <v/>
      </c>
      <c r="N104" t="str">
        <f>IF(MemberOrgs_SortedTable[[#This Row],[Sort 1]]&gt;0, MemberOrgs_SortedTable[[#This Row],[Sort 1]], MemberOrgs_SortedTable[[#This Row],[Sort 2]])</f>
        <v/>
      </c>
    </row>
    <row r="105" spans="1:14" x14ac:dyDescent="0.25">
      <c r="A105" t="str">
        <f>IF(OR(MemberOrgControl!$B108 = "", MemberOrgControl!$B108 &lt;0), "", INDEX(MemberOrgsData[CFDA], MemberOrgControl!$B108))</f>
        <v/>
      </c>
      <c r="C105" t="str">
        <f>IFERROR(INDEX(AllCFDAs[All CFDAs], MATCH(0, INDEX(COUNTIF($C$3:C104, AllCFDAs[All CFDAs]),),0)), "")</f>
        <v/>
      </c>
      <c r="D105" t="str">
        <f t="array" ref="D105">IFERROR(INDEX(MemberOrgsData[FEDERALPROGRAMNAME], MATCH(1, (SelectMemberOrgs = MemberOrgsData[Auditee Name])*(MemberOrgs_SortedTable[[#This Row],[Unique CFDA]]= MemberOrgsData[CFDA]), 0)), "")</f>
        <v/>
      </c>
      <c r="E105" s="20" t="str">
        <f t="array" ref="E105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05" s="21" t="str">
        <f t="array" ref="F105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05" s="19" t="str">
        <f>IF(MemberOrgs_SortedTable[[#This Row],[Unique CFDA]] = "", "", IFERROR(MemberOrgs_SortedTable[[#This Row],[FY 2018 Total]]*MemberOrgs_SortedTable[[#This Row],[President % Change]], "No Budget Data"))</f>
        <v/>
      </c>
      <c r="H105" s="21" t="str">
        <f t="array" ref="H105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05" s="19" t="str">
        <f>IF(MemberOrgs_SortedTable[[#This Row],[Unique CFDA]] = "", "", IFERROR(MemberOrgs_SortedTable[[#This Row],[FY 2018 Total]]*MemberOrgs_SortedTable[[#This Row],[House % Change]], "No Budget Data"))</f>
        <v/>
      </c>
      <c r="K105" s="19" t="str">
        <f>IF(MemberOrgs_SortedTable[[#This Row],[Unique CFDA]] = "", "", IFERROR(MemberOrgs_SortedTable[[#This Row],[FY 2018 Total]]*MemberOrgs_SortedTable[[#This Row],[Senate Budget]], "No Budget Data"))</f>
        <v/>
      </c>
      <c r="L105" t="str">
        <f>IF(MemberOrgs_SortedTable[[#This Row],[Unique CFDA]] = "", "", IF(ISNUMBER(MemberOrgs_SortedTable[[#This Row],[President $ Change]]), RANK(MemberOrgs_SortedTable[[#This Row],[President $ Change]], $G$4:$G$227)+COUNTIF($G$4:G105, G105)-1, 0))</f>
        <v/>
      </c>
      <c r="M105" t="str">
        <f>IFERROR((IF(MemberOrgs_SortedTable[[#This Row],[Sort 1]] = 0, COUNTIF($L$4:L105, 0), "")+MAX(MemberOrgs_SortedTable[Sort 1])), "")</f>
        <v/>
      </c>
      <c r="N105" t="str">
        <f>IF(MemberOrgs_SortedTable[[#This Row],[Sort 1]]&gt;0, MemberOrgs_SortedTable[[#This Row],[Sort 1]], MemberOrgs_SortedTable[[#This Row],[Sort 2]])</f>
        <v/>
      </c>
    </row>
    <row r="106" spans="1:14" x14ac:dyDescent="0.25">
      <c r="A106" t="str">
        <f>IF(OR(MemberOrgControl!$B109 = "", MemberOrgControl!$B109 &lt;0), "", INDEX(MemberOrgsData[CFDA], MemberOrgControl!$B109))</f>
        <v/>
      </c>
      <c r="C106" t="str">
        <f>IFERROR(INDEX(AllCFDAs[All CFDAs], MATCH(0, INDEX(COUNTIF($C$3:C105, AllCFDAs[All CFDAs]),),0)), "")</f>
        <v/>
      </c>
      <c r="D106" t="str">
        <f t="array" ref="D106">IFERROR(INDEX(MemberOrgsData[FEDERALPROGRAMNAME], MATCH(1, (SelectMemberOrgs = MemberOrgsData[Auditee Name])*(MemberOrgs_SortedTable[[#This Row],[Unique CFDA]]= MemberOrgsData[CFDA]), 0)), "")</f>
        <v/>
      </c>
      <c r="E106" s="20" t="str">
        <f t="array" ref="E106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06" s="21" t="str">
        <f t="array" ref="F106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06" s="19" t="str">
        <f>IF(MemberOrgs_SortedTable[[#This Row],[Unique CFDA]] = "", "", IFERROR(MemberOrgs_SortedTable[[#This Row],[FY 2018 Total]]*MemberOrgs_SortedTable[[#This Row],[President % Change]], "No Budget Data"))</f>
        <v/>
      </c>
      <c r="H106" s="21" t="str">
        <f t="array" ref="H106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06" s="19" t="str">
        <f>IF(MemberOrgs_SortedTable[[#This Row],[Unique CFDA]] = "", "", IFERROR(MemberOrgs_SortedTable[[#This Row],[FY 2018 Total]]*MemberOrgs_SortedTable[[#This Row],[House % Change]], "No Budget Data"))</f>
        <v/>
      </c>
      <c r="K106" s="19" t="str">
        <f>IF(MemberOrgs_SortedTable[[#This Row],[Unique CFDA]] = "", "", IFERROR(MemberOrgs_SortedTable[[#This Row],[FY 2018 Total]]*MemberOrgs_SortedTable[[#This Row],[Senate Budget]], "No Budget Data"))</f>
        <v/>
      </c>
      <c r="L106" t="str">
        <f>IF(MemberOrgs_SortedTable[[#This Row],[Unique CFDA]] = "", "", IF(ISNUMBER(MemberOrgs_SortedTable[[#This Row],[President $ Change]]), RANK(MemberOrgs_SortedTable[[#This Row],[President $ Change]], $G$4:$G$227)+COUNTIF($G$4:G106, G106)-1, 0))</f>
        <v/>
      </c>
      <c r="M106" t="str">
        <f>IFERROR((IF(MemberOrgs_SortedTable[[#This Row],[Sort 1]] = 0, COUNTIF($L$4:L106, 0), "")+MAX(MemberOrgs_SortedTable[Sort 1])), "")</f>
        <v/>
      </c>
      <c r="N106" t="str">
        <f>IF(MemberOrgs_SortedTable[[#This Row],[Sort 1]]&gt;0, MemberOrgs_SortedTable[[#This Row],[Sort 1]], MemberOrgs_SortedTable[[#This Row],[Sort 2]])</f>
        <v/>
      </c>
    </row>
    <row r="107" spans="1:14" x14ac:dyDescent="0.25">
      <c r="A107" t="str">
        <f>IF(OR(MemberOrgControl!$B110 = "", MemberOrgControl!$B110 &lt;0), "", INDEX(MemberOrgsData[CFDA], MemberOrgControl!$B110))</f>
        <v/>
      </c>
      <c r="C107" t="str">
        <f>IFERROR(INDEX(AllCFDAs[All CFDAs], MATCH(0, INDEX(COUNTIF($C$3:C106, AllCFDAs[All CFDAs]),),0)), "")</f>
        <v/>
      </c>
      <c r="D107" t="str">
        <f t="array" ref="D107">IFERROR(INDEX(MemberOrgsData[FEDERALPROGRAMNAME], MATCH(1, (SelectMemberOrgs = MemberOrgsData[Auditee Name])*(MemberOrgs_SortedTable[[#This Row],[Unique CFDA]]= MemberOrgsData[CFDA]), 0)), "")</f>
        <v/>
      </c>
      <c r="E107" s="20" t="str">
        <f t="array" ref="E107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07" s="21" t="str">
        <f t="array" ref="F107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07" s="19" t="str">
        <f>IF(MemberOrgs_SortedTable[[#This Row],[Unique CFDA]] = "", "", IFERROR(MemberOrgs_SortedTable[[#This Row],[FY 2018 Total]]*MemberOrgs_SortedTable[[#This Row],[President % Change]], "No Budget Data"))</f>
        <v/>
      </c>
      <c r="H107" s="21" t="str">
        <f t="array" ref="H107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07" s="19" t="str">
        <f>IF(MemberOrgs_SortedTable[[#This Row],[Unique CFDA]] = "", "", IFERROR(MemberOrgs_SortedTable[[#This Row],[FY 2018 Total]]*MemberOrgs_SortedTable[[#This Row],[House % Change]], "No Budget Data"))</f>
        <v/>
      </c>
      <c r="K107" s="19" t="str">
        <f>IF(MemberOrgs_SortedTable[[#This Row],[Unique CFDA]] = "", "", IFERROR(MemberOrgs_SortedTable[[#This Row],[FY 2018 Total]]*MemberOrgs_SortedTable[[#This Row],[Senate Budget]], "No Budget Data"))</f>
        <v/>
      </c>
      <c r="L107" t="str">
        <f>IF(MemberOrgs_SortedTable[[#This Row],[Unique CFDA]] = "", "", IF(ISNUMBER(MemberOrgs_SortedTable[[#This Row],[President $ Change]]), RANK(MemberOrgs_SortedTable[[#This Row],[President $ Change]], $G$4:$G$227)+COUNTIF($G$4:G107, G107)-1, 0))</f>
        <v/>
      </c>
      <c r="M107" t="str">
        <f>IFERROR((IF(MemberOrgs_SortedTable[[#This Row],[Sort 1]] = 0, COUNTIF($L$4:L107, 0), "")+MAX(MemberOrgs_SortedTable[Sort 1])), "")</f>
        <v/>
      </c>
      <c r="N107" t="str">
        <f>IF(MemberOrgs_SortedTable[[#This Row],[Sort 1]]&gt;0, MemberOrgs_SortedTable[[#This Row],[Sort 1]], MemberOrgs_SortedTable[[#This Row],[Sort 2]])</f>
        <v/>
      </c>
    </row>
    <row r="108" spans="1:14" x14ac:dyDescent="0.25">
      <c r="A108" t="str">
        <f>IF(OR(MemberOrgControl!$B111 = "", MemberOrgControl!$B111 &lt;0), "", INDEX(MemberOrgsData[CFDA], MemberOrgControl!$B111))</f>
        <v/>
      </c>
      <c r="C108" t="str">
        <f>IFERROR(INDEX(AllCFDAs[All CFDAs], MATCH(0, INDEX(COUNTIF($C$3:C107, AllCFDAs[All CFDAs]),),0)), "")</f>
        <v/>
      </c>
      <c r="D108" t="str">
        <f t="array" ref="D108">IFERROR(INDEX(MemberOrgsData[FEDERALPROGRAMNAME], MATCH(1, (SelectMemberOrgs = MemberOrgsData[Auditee Name])*(MemberOrgs_SortedTable[[#This Row],[Unique CFDA]]= MemberOrgsData[CFDA]), 0)), "")</f>
        <v/>
      </c>
      <c r="E108" s="20" t="str">
        <f t="array" ref="E108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08" s="21" t="str">
        <f t="array" ref="F108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08" s="19" t="str">
        <f>IF(MemberOrgs_SortedTable[[#This Row],[Unique CFDA]] = "", "", IFERROR(MemberOrgs_SortedTable[[#This Row],[FY 2018 Total]]*MemberOrgs_SortedTable[[#This Row],[President % Change]], "No Budget Data"))</f>
        <v/>
      </c>
      <c r="H108" s="21" t="str">
        <f t="array" ref="H108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08" s="19" t="str">
        <f>IF(MemberOrgs_SortedTable[[#This Row],[Unique CFDA]] = "", "", IFERROR(MemberOrgs_SortedTable[[#This Row],[FY 2018 Total]]*MemberOrgs_SortedTable[[#This Row],[House % Change]], "No Budget Data"))</f>
        <v/>
      </c>
      <c r="K108" s="19" t="str">
        <f>IF(MemberOrgs_SortedTable[[#This Row],[Unique CFDA]] = "", "", IFERROR(MemberOrgs_SortedTable[[#This Row],[FY 2018 Total]]*MemberOrgs_SortedTable[[#This Row],[Senate Budget]], "No Budget Data"))</f>
        <v/>
      </c>
      <c r="L108" t="str">
        <f>IF(MemberOrgs_SortedTable[[#This Row],[Unique CFDA]] = "", "", IF(ISNUMBER(MemberOrgs_SortedTable[[#This Row],[President $ Change]]), RANK(MemberOrgs_SortedTable[[#This Row],[President $ Change]], $G$4:$G$227)+COUNTIF($G$4:G108, G108)-1, 0))</f>
        <v/>
      </c>
      <c r="M108" t="str">
        <f>IFERROR((IF(MemberOrgs_SortedTable[[#This Row],[Sort 1]] = 0, COUNTIF($L$4:L108, 0), "")+MAX(MemberOrgs_SortedTable[Sort 1])), "")</f>
        <v/>
      </c>
      <c r="N108" t="str">
        <f>IF(MemberOrgs_SortedTable[[#This Row],[Sort 1]]&gt;0, MemberOrgs_SortedTable[[#This Row],[Sort 1]], MemberOrgs_SortedTable[[#This Row],[Sort 2]])</f>
        <v/>
      </c>
    </row>
    <row r="109" spans="1:14" x14ac:dyDescent="0.25">
      <c r="A109" t="str">
        <f>IF(OR(MemberOrgControl!$B112 = "", MemberOrgControl!$B112 &lt;0), "", INDEX(MemberOrgsData[CFDA], MemberOrgControl!$B112))</f>
        <v/>
      </c>
      <c r="C109" t="str">
        <f>IFERROR(INDEX(AllCFDAs[All CFDAs], MATCH(0, INDEX(COUNTIF($C$3:C108, AllCFDAs[All CFDAs]),),0)), "")</f>
        <v/>
      </c>
      <c r="D109" t="str">
        <f t="array" ref="D109">IFERROR(INDEX(MemberOrgsData[FEDERALPROGRAMNAME], MATCH(1, (SelectMemberOrgs = MemberOrgsData[Auditee Name])*(MemberOrgs_SortedTable[[#This Row],[Unique CFDA]]= MemberOrgsData[CFDA]), 0)), "")</f>
        <v/>
      </c>
      <c r="E109" s="20" t="str">
        <f t="array" ref="E109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09" s="21" t="str">
        <f t="array" ref="F109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09" s="19" t="str">
        <f>IF(MemberOrgs_SortedTable[[#This Row],[Unique CFDA]] = "", "", IFERROR(MemberOrgs_SortedTable[[#This Row],[FY 2018 Total]]*MemberOrgs_SortedTable[[#This Row],[President % Change]], "No Budget Data"))</f>
        <v/>
      </c>
      <c r="H109" s="21" t="str">
        <f t="array" ref="H109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09" s="19" t="str">
        <f>IF(MemberOrgs_SortedTable[[#This Row],[Unique CFDA]] = "", "", IFERROR(MemberOrgs_SortedTable[[#This Row],[FY 2018 Total]]*MemberOrgs_SortedTable[[#This Row],[House % Change]], "No Budget Data"))</f>
        <v/>
      </c>
      <c r="K109" s="19" t="str">
        <f>IF(MemberOrgs_SortedTable[[#This Row],[Unique CFDA]] = "", "", IFERROR(MemberOrgs_SortedTable[[#This Row],[FY 2018 Total]]*MemberOrgs_SortedTable[[#This Row],[Senate Budget]], "No Budget Data"))</f>
        <v/>
      </c>
      <c r="L109" t="str">
        <f>IF(MemberOrgs_SortedTable[[#This Row],[Unique CFDA]] = "", "", IF(ISNUMBER(MemberOrgs_SortedTable[[#This Row],[President $ Change]]), RANK(MemberOrgs_SortedTable[[#This Row],[President $ Change]], $G$4:$G$227)+COUNTIF($G$4:G109, G109)-1, 0))</f>
        <v/>
      </c>
      <c r="M109" t="str">
        <f>IFERROR((IF(MemberOrgs_SortedTable[[#This Row],[Sort 1]] = 0, COUNTIF($L$4:L109, 0), "")+MAX(MemberOrgs_SortedTable[Sort 1])), "")</f>
        <v/>
      </c>
      <c r="N109" t="str">
        <f>IF(MemberOrgs_SortedTable[[#This Row],[Sort 1]]&gt;0, MemberOrgs_SortedTable[[#This Row],[Sort 1]], MemberOrgs_SortedTable[[#This Row],[Sort 2]])</f>
        <v/>
      </c>
    </row>
    <row r="110" spans="1:14" x14ac:dyDescent="0.25">
      <c r="A110" t="str">
        <f>IF(OR(MemberOrgControl!$B113 = "", MemberOrgControl!$B113 &lt;0), "", INDEX(MemberOrgsData[CFDA], MemberOrgControl!$B113))</f>
        <v/>
      </c>
      <c r="C110" t="str">
        <f>IFERROR(INDEX(AllCFDAs[All CFDAs], MATCH(0, INDEX(COUNTIF($C$3:C109, AllCFDAs[All CFDAs]),),0)), "")</f>
        <v/>
      </c>
      <c r="D110" t="str">
        <f t="array" ref="D110">IFERROR(INDEX(MemberOrgsData[FEDERALPROGRAMNAME], MATCH(1, (SelectMemberOrgs = MemberOrgsData[Auditee Name])*(MemberOrgs_SortedTable[[#This Row],[Unique CFDA]]= MemberOrgsData[CFDA]), 0)), "")</f>
        <v/>
      </c>
      <c r="E110" s="20" t="str">
        <f t="array" ref="E110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10" s="21" t="str">
        <f t="array" ref="F110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10" s="19" t="str">
        <f>IF(MemberOrgs_SortedTable[[#This Row],[Unique CFDA]] = "", "", IFERROR(MemberOrgs_SortedTable[[#This Row],[FY 2018 Total]]*MemberOrgs_SortedTable[[#This Row],[President % Change]], "No Budget Data"))</f>
        <v/>
      </c>
      <c r="H110" s="21" t="str">
        <f t="array" ref="H110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10" s="19" t="str">
        <f>IF(MemberOrgs_SortedTable[[#This Row],[Unique CFDA]] = "", "", IFERROR(MemberOrgs_SortedTable[[#This Row],[FY 2018 Total]]*MemberOrgs_SortedTable[[#This Row],[House % Change]], "No Budget Data"))</f>
        <v/>
      </c>
      <c r="K110" s="19" t="str">
        <f>IF(MemberOrgs_SortedTable[[#This Row],[Unique CFDA]] = "", "", IFERROR(MemberOrgs_SortedTable[[#This Row],[FY 2018 Total]]*MemberOrgs_SortedTable[[#This Row],[Senate Budget]], "No Budget Data"))</f>
        <v/>
      </c>
      <c r="L110" t="str">
        <f>IF(MemberOrgs_SortedTable[[#This Row],[Unique CFDA]] = "", "", IF(ISNUMBER(MemberOrgs_SortedTable[[#This Row],[President $ Change]]), RANK(MemberOrgs_SortedTable[[#This Row],[President $ Change]], $G$4:$G$227)+COUNTIF($G$4:G110, G110)-1, 0))</f>
        <v/>
      </c>
      <c r="M110" t="str">
        <f>IFERROR((IF(MemberOrgs_SortedTable[[#This Row],[Sort 1]] = 0, COUNTIF($L$4:L110, 0), "")+MAX(MemberOrgs_SortedTable[Sort 1])), "")</f>
        <v/>
      </c>
      <c r="N110" t="str">
        <f>IF(MemberOrgs_SortedTable[[#This Row],[Sort 1]]&gt;0, MemberOrgs_SortedTable[[#This Row],[Sort 1]], MemberOrgs_SortedTable[[#This Row],[Sort 2]])</f>
        <v/>
      </c>
    </row>
    <row r="111" spans="1:14" x14ac:dyDescent="0.25">
      <c r="A111" t="str">
        <f>IF(OR(MemberOrgControl!$B114 = "", MemberOrgControl!$B114 &lt;0), "", INDEX(MemberOrgsData[CFDA], MemberOrgControl!$B114))</f>
        <v/>
      </c>
      <c r="C111" t="str">
        <f>IFERROR(INDEX(AllCFDAs[All CFDAs], MATCH(0, INDEX(COUNTIF($C$3:C110, AllCFDAs[All CFDAs]),),0)), "")</f>
        <v/>
      </c>
      <c r="D111" t="str">
        <f t="array" ref="D111">IFERROR(INDEX(MemberOrgsData[FEDERALPROGRAMNAME], MATCH(1, (SelectMemberOrgs = MemberOrgsData[Auditee Name])*(MemberOrgs_SortedTable[[#This Row],[Unique CFDA]]= MemberOrgsData[CFDA]), 0)), "")</f>
        <v/>
      </c>
      <c r="E111" s="20" t="str">
        <f t="array" ref="E111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11" s="21" t="str">
        <f t="array" ref="F111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11" s="19" t="str">
        <f>IF(MemberOrgs_SortedTable[[#This Row],[Unique CFDA]] = "", "", IFERROR(MemberOrgs_SortedTable[[#This Row],[FY 2018 Total]]*MemberOrgs_SortedTable[[#This Row],[President % Change]], "No Budget Data"))</f>
        <v/>
      </c>
      <c r="H111" s="21" t="str">
        <f t="array" ref="H111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11" s="19" t="str">
        <f>IF(MemberOrgs_SortedTable[[#This Row],[Unique CFDA]] = "", "", IFERROR(MemberOrgs_SortedTable[[#This Row],[FY 2018 Total]]*MemberOrgs_SortedTable[[#This Row],[House % Change]], "No Budget Data"))</f>
        <v/>
      </c>
      <c r="K111" s="19" t="str">
        <f>IF(MemberOrgs_SortedTable[[#This Row],[Unique CFDA]] = "", "", IFERROR(MemberOrgs_SortedTable[[#This Row],[FY 2018 Total]]*MemberOrgs_SortedTable[[#This Row],[Senate Budget]], "No Budget Data"))</f>
        <v/>
      </c>
      <c r="L111" t="str">
        <f>IF(MemberOrgs_SortedTable[[#This Row],[Unique CFDA]] = "", "", IF(ISNUMBER(MemberOrgs_SortedTable[[#This Row],[President $ Change]]), RANK(MemberOrgs_SortedTable[[#This Row],[President $ Change]], $G$4:$G$227)+COUNTIF($G$4:G111, G111)-1, 0))</f>
        <v/>
      </c>
      <c r="M111" t="str">
        <f>IFERROR((IF(MemberOrgs_SortedTable[[#This Row],[Sort 1]] = 0, COUNTIF($L$4:L111, 0), "")+MAX(MemberOrgs_SortedTable[Sort 1])), "")</f>
        <v/>
      </c>
      <c r="N111" t="str">
        <f>IF(MemberOrgs_SortedTable[[#This Row],[Sort 1]]&gt;0, MemberOrgs_SortedTable[[#This Row],[Sort 1]], MemberOrgs_SortedTable[[#This Row],[Sort 2]])</f>
        <v/>
      </c>
    </row>
    <row r="112" spans="1:14" x14ac:dyDescent="0.25">
      <c r="A112" t="str">
        <f>IF(OR(MemberOrgControl!$B115 = "", MemberOrgControl!$B115 &lt;0), "", INDEX(MemberOrgsData[CFDA], MemberOrgControl!$B115))</f>
        <v/>
      </c>
      <c r="C112" t="str">
        <f>IFERROR(INDEX(AllCFDAs[All CFDAs], MATCH(0, INDEX(COUNTIF($C$3:C111, AllCFDAs[All CFDAs]),),0)), "")</f>
        <v/>
      </c>
      <c r="D112" t="str">
        <f t="array" ref="D112">IFERROR(INDEX(MemberOrgsData[FEDERALPROGRAMNAME], MATCH(1, (SelectMemberOrgs = MemberOrgsData[Auditee Name])*(MemberOrgs_SortedTable[[#This Row],[Unique CFDA]]= MemberOrgsData[CFDA]), 0)), "")</f>
        <v/>
      </c>
      <c r="E112" s="20" t="str">
        <f t="array" ref="E112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12" s="21" t="str">
        <f t="array" ref="F112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12" s="19" t="str">
        <f>IF(MemberOrgs_SortedTable[[#This Row],[Unique CFDA]] = "", "", IFERROR(MemberOrgs_SortedTable[[#This Row],[FY 2018 Total]]*MemberOrgs_SortedTable[[#This Row],[President % Change]], "No Budget Data"))</f>
        <v/>
      </c>
      <c r="H112" s="21" t="str">
        <f t="array" ref="H112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12" s="19" t="str">
        <f>IF(MemberOrgs_SortedTable[[#This Row],[Unique CFDA]] = "", "", IFERROR(MemberOrgs_SortedTable[[#This Row],[FY 2018 Total]]*MemberOrgs_SortedTable[[#This Row],[House % Change]], "No Budget Data"))</f>
        <v/>
      </c>
      <c r="K112" s="19" t="str">
        <f>IF(MemberOrgs_SortedTable[[#This Row],[Unique CFDA]] = "", "", IFERROR(MemberOrgs_SortedTable[[#This Row],[FY 2018 Total]]*MemberOrgs_SortedTable[[#This Row],[Senate Budget]], "No Budget Data"))</f>
        <v/>
      </c>
      <c r="L112" t="str">
        <f>IF(MemberOrgs_SortedTable[[#This Row],[Unique CFDA]] = "", "", IF(ISNUMBER(MemberOrgs_SortedTable[[#This Row],[President $ Change]]), RANK(MemberOrgs_SortedTable[[#This Row],[President $ Change]], $G$4:$G$227)+COUNTIF($G$4:G112, G112)-1, 0))</f>
        <v/>
      </c>
      <c r="M112" t="str">
        <f>IFERROR((IF(MemberOrgs_SortedTable[[#This Row],[Sort 1]] = 0, COUNTIF($L$4:L112, 0), "")+MAX(MemberOrgs_SortedTable[Sort 1])), "")</f>
        <v/>
      </c>
      <c r="N112" t="str">
        <f>IF(MemberOrgs_SortedTable[[#This Row],[Sort 1]]&gt;0, MemberOrgs_SortedTable[[#This Row],[Sort 1]], MemberOrgs_SortedTable[[#This Row],[Sort 2]])</f>
        <v/>
      </c>
    </row>
    <row r="113" spans="1:14" x14ac:dyDescent="0.25">
      <c r="A113" t="str">
        <f>IF(OR(MemberOrgControl!$B116 = "", MemberOrgControl!$B116 &lt;0), "", INDEX(MemberOrgsData[CFDA], MemberOrgControl!$B116))</f>
        <v/>
      </c>
      <c r="C113" t="str">
        <f>IFERROR(INDEX(AllCFDAs[All CFDAs], MATCH(0, INDEX(COUNTIF($C$3:C112, AllCFDAs[All CFDAs]),),0)), "")</f>
        <v/>
      </c>
      <c r="D113" t="str">
        <f t="array" ref="D113">IFERROR(INDEX(MemberOrgsData[FEDERALPROGRAMNAME], MATCH(1, (SelectMemberOrgs = MemberOrgsData[Auditee Name])*(MemberOrgs_SortedTable[[#This Row],[Unique CFDA]]= MemberOrgsData[CFDA]), 0)), "")</f>
        <v/>
      </c>
      <c r="E113" s="20" t="str">
        <f t="array" ref="E113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13" s="21" t="str">
        <f t="array" ref="F113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13" s="19" t="str">
        <f>IF(MemberOrgs_SortedTable[[#This Row],[Unique CFDA]] = "", "", IFERROR(MemberOrgs_SortedTable[[#This Row],[FY 2018 Total]]*MemberOrgs_SortedTable[[#This Row],[President % Change]], "No Budget Data"))</f>
        <v/>
      </c>
      <c r="H113" s="21" t="str">
        <f t="array" ref="H113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13" s="19" t="str">
        <f>IF(MemberOrgs_SortedTable[[#This Row],[Unique CFDA]] = "", "", IFERROR(MemberOrgs_SortedTable[[#This Row],[FY 2018 Total]]*MemberOrgs_SortedTable[[#This Row],[House % Change]], "No Budget Data"))</f>
        <v/>
      </c>
      <c r="K113" s="19" t="str">
        <f>IF(MemberOrgs_SortedTable[[#This Row],[Unique CFDA]] = "", "", IFERROR(MemberOrgs_SortedTable[[#This Row],[FY 2018 Total]]*MemberOrgs_SortedTable[[#This Row],[Senate Budget]], "No Budget Data"))</f>
        <v/>
      </c>
      <c r="L113" t="str">
        <f>IF(MemberOrgs_SortedTable[[#This Row],[Unique CFDA]] = "", "", IF(ISNUMBER(MemberOrgs_SortedTable[[#This Row],[President $ Change]]), RANK(MemberOrgs_SortedTable[[#This Row],[President $ Change]], $G$4:$G$227)+COUNTIF($G$4:G113, G113)-1, 0))</f>
        <v/>
      </c>
      <c r="M113" t="str">
        <f>IFERROR((IF(MemberOrgs_SortedTable[[#This Row],[Sort 1]] = 0, COUNTIF($L$4:L113, 0), "")+MAX(MemberOrgs_SortedTable[Sort 1])), "")</f>
        <v/>
      </c>
      <c r="N113" t="str">
        <f>IF(MemberOrgs_SortedTable[[#This Row],[Sort 1]]&gt;0, MemberOrgs_SortedTable[[#This Row],[Sort 1]], MemberOrgs_SortedTable[[#This Row],[Sort 2]])</f>
        <v/>
      </c>
    </row>
    <row r="114" spans="1:14" x14ac:dyDescent="0.25">
      <c r="A114" t="str">
        <f>IF(OR(MemberOrgControl!$B117 = "", MemberOrgControl!$B117 &lt;0), "", INDEX(MemberOrgsData[CFDA], MemberOrgControl!$B117))</f>
        <v/>
      </c>
      <c r="C114" t="str">
        <f>IFERROR(INDEX(AllCFDAs[All CFDAs], MATCH(0, INDEX(COUNTIF($C$3:C113, AllCFDAs[All CFDAs]),),0)), "")</f>
        <v/>
      </c>
      <c r="D114" t="str">
        <f t="array" ref="D114">IFERROR(INDEX(MemberOrgsData[FEDERALPROGRAMNAME], MATCH(1, (SelectMemberOrgs = MemberOrgsData[Auditee Name])*(MemberOrgs_SortedTable[[#This Row],[Unique CFDA]]= MemberOrgsData[CFDA]), 0)), "")</f>
        <v/>
      </c>
      <c r="E114" s="20" t="str">
        <f t="array" ref="E114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14" s="21" t="str">
        <f t="array" ref="F114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14" s="19" t="str">
        <f>IF(MemberOrgs_SortedTable[[#This Row],[Unique CFDA]] = "", "", IFERROR(MemberOrgs_SortedTable[[#This Row],[FY 2018 Total]]*MemberOrgs_SortedTable[[#This Row],[President % Change]], "No Budget Data"))</f>
        <v/>
      </c>
      <c r="H114" s="21" t="str">
        <f t="array" ref="H114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14" s="19" t="str">
        <f>IF(MemberOrgs_SortedTable[[#This Row],[Unique CFDA]] = "", "", IFERROR(MemberOrgs_SortedTable[[#This Row],[FY 2018 Total]]*MemberOrgs_SortedTable[[#This Row],[House % Change]], "No Budget Data"))</f>
        <v/>
      </c>
      <c r="K114" s="19" t="str">
        <f>IF(MemberOrgs_SortedTable[[#This Row],[Unique CFDA]] = "", "", IFERROR(MemberOrgs_SortedTable[[#This Row],[FY 2018 Total]]*MemberOrgs_SortedTable[[#This Row],[Senate Budget]], "No Budget Data"))</f>
        <v/>
      </c>
      <c r="L114" t="str">
        <f>IF(MemberOrgs_SortedTable[[#This Row],[Unique CFDA]] = "", "", IF(ISNUMBER(MemberOrgs_SortedTable[[#This Row],[President $ Change]]), RANK(MemberOrgs_SortedTable[[#This Row],[President $ Change]], $G$4:$G$227)+COUNTIF($G$4:G114, G114)-1, 0))</f>
        <v/>
      </c>
      <c r="M114" t="str">
        <f>IFERROR((IF(MemberOrgs_SortedTable[[#This Row],[Sort 1]] = 0, COUNTIF($L$4:L114, 0), "")+MAX(MemberOrgs_SortedTable[Sort 1])), "")</f>
        <v/>
      </c>
      <c r="N114" t="str">
        <f>IF(MemberOrgs_SortedTable[[#This Row],[Sort 1]]&gt;0, MemberOrgs_SortedTable[[#This Row],[Sort 1]], MemberOrgs_SortedTable[[#This Row],[Sort 2]])</f>
        <v/>
      </c>
    </row>
    <row r="115" spans="1:14" x14ac:dyDescent="0.25">
      <c r="A115" t="str">
        <f>IF(OR(MemberOrgControl!$B118 = "", MemberOrgControl!$B118 &lt;0), "", INDEX(MemberOrgsData[CFDA], MemberOrgControl!$B118))</f>
        <v/>
      </c>
      <c r="C115" t="str">
        <f>IFERROR(INDEX(AllCFDAs[All CFDAs], MATCH(0, INDEX(COUNTIF($C$3:C114, AllCFDAs[All CFDAs]),),0)), "")</f>
        <v/>
      </c>
      <c r="D115" t="str">
        <f t="array" ref="D115">IFERROR(INDEX(MemberOrgsData[FEDERALPROGRAMNAME], MATCH(1, (SelectMemberOrgs = MemberOrgsData[Auditee Name])*(MemberOrgs_SortedTable[[#This Row],[Unique CFDA]]= MemberOrgsData[CFDA]), 0)), "")</f>
        <v/>
      </c>
      <c r="E115" s="20" t="str">
        <f t="array" ref="E115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15" s="21" t="str">
        <f t="array" ref="F115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15" s="19" t="str">
        <f>IF(MemberOrgs_SortedTable[[#This Row],[Unique CFDA]] = "", "", IFERROR(MemberOrgs_SortedTable[[#This Row],[FY 2018 Total]]*MemberOrgs_SortedTable[[#This Row],[President % Change]], "No Budget Data"))</f>
        <v/>
      </c>
      <c r="H115" s="21" t="str">
        <f t="array" ref="H115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15" s="19" t="str">
        <f>IF(MemberOrgs_SortedTable[[#This Row],[Unique CFDA]] = "", "", IFERROR(MemberOrgs_SortedTable[[#This Row],[FY 2018 Total]]*MemberOrgs_SortedTable[[#This Row],[House % Change]], "No Budget Data"))</f>
        <v/>
      </c>
      <c r="K115" s="19" t="str">
        <f>IF(MemberOrgs_SortedTable[[#This Row],[Unique CFDA]] = "", "", IFERROR(MemberOrgs_SortedTable[[#This Row],[FY 2018 Total]]*MemberOrgs_SortedTable[[#This Row],[Senate Budget]], "No Budget Data"))</f>
        <v/>
      </c>
      <c r="L115" t="str">
        <f>IF(MemberOrgs_SortedTable[[#This Row],[Unique CFDA]] = "", "", IF(ISNUMBER(MemberOrgs_SortedTable[[#This Row],[President $ Change]]), RANK(MemberOrgs_SortedTable[[#This Row],[President $ Change]], $G$4:$G$227)+COUNTIF($G$4:G115, G115)-1, 0))</f>
        <v/>
      </c>
      <c r="M115" t="str">
        <f>IFERROR((IF(MemberOrgs_SortedTable[[#This Row],[Sort 1]] = 0, COUNTIF($L$4:L115, 0), "")+MAX(MemberOrgs_SortedTable[Sort 1])), "")</f>
        <v/>
      </c>
      <c r="N115" t="str">
        <f>IF(MemberOrgs_SortedTable[[#This Row],[Sort 1]]&gt;0, MemberOrgs_SortedTable[[#This Row],[Sort 1]], MemberOrgs_SortedTable[[#This Row],[Sort 2]])</f>
        <v/>
      </c>
    </row>
    <row r="116" spans="1:14" x14ac:dyDescent="0.25">
      <c r="A116" t="str">
        <f>IF(OR(MemberOrgControl!$B119 = "", MemberOrgControl!$B119 &lt;0), "", INDEX(MemberOrgsData[CFDA], MemberOrgControl!$B119))</f>
        <v/>
      </c>
      <c r="C116" t="str">
        <f>IFERROR(INDEX(AllCFDAs[All CFDAs], MATCH(0, INDEX(COUNTIF($C$3:C115, AllCFDAs[All CFDAs]),),0)), "")</f>
        <v/>
      </c>
      <c r="D116" t="str">
        <f t="array" ref="D116">IFERROR(INDEX(MemberOrgsData[FEDERALPROGRAMNAME], MATCH(1, (SelectMemberOrgs = MemberOrgsData[Auditee Name])*(MemberOrgs_SortedTable[[#This Row],[Unique CFDA]]= MemberOrgsData[CFDA]), 0)), "")</f>
        <v/>
      </c>
      <c r="E116" s="20" t="str">
        <f t="array" ref="E116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16" s="21" t="str">
        <f t="array" ref="F116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16" s="19" t="str">
        <f>IF(MemberOrgs_SortedTable[[#This Row],[Unique CFDA]] = "", "", IFERROR(MemberOrgs_SortedTable[[#This Row],[FY 2018 Total]]*MemberOrgs_SortedTable[[#This Row],[President % Change]], "No Budget Data"))</f>
        <v/>
      </c>
      <c r="H116" s="21" t="str">
        <f t="array" ref="H116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16" s="19" t="str">
        <f>IF(MemberOrgs_SortedTable[[#This Row],[Unique CFDA]] = "", "", IFERROR(MemberOrgs_SortedTable[[#This Row],[FY 2018 Total]]*MemberOrgs_SortedTable[[#This Row],[House % Change]], "No Budget Data"))</f>
        <v/>
      </c>
      <c r="K116" s="19" t="str">
        <f>IF(MemberOrgs_SortedTable[[#This Row],[Unique CFDA]] = "", "", IFERROR(MemberOrgs_SortedTable[[#This Row],[FY 2018 Total]]*MemberOrgs_SortedTable[[#This Row],[Senate Budget]], "No Budget Data"))</f>
        <v/>
      </c>
      <c r="L116" t="str">
        <f>IF(MemberOrgs_SortedTable[[#This Row],[Unique CFDA]] = "", "", IF(ISNUMBER(MemberOrgs_SortedTable[[#This Row],[President $ Change]]), RANK(MemberOrgs_SortedTable[[#This Row],[President $ Change]], $G$4:$G$227)+COUNTIF($G$4:G116, G116)-1, 0))</f>
        <v/>
      </c>
      <c r="M116" t="str">
        <f>IFERROR((IF(MemberOrgs_SortedTable[[#This Row],[Sort 1]] = 0, COUNTIF($L$4:L116, 0), "")+MAX(MemberOrgs_SortedTable[Sort 1])), "")</f>
        <v/>
      </c>
      <c r="N116" t="str">
        <f>IF(MemberOrgs_SortedTable[[#This Row],[Sort 1]]&gt;0, MemberOrgs_SortedTable[[#This Row],[Sort 1]], MemberOrgs_SortedTable[[#This Row],[Sort 2]])</f>
        <v/>
      </c>
    </row>
    <row r="117" spans="1:14" x14ac:dyDescent="0.25">
      <c r="A117" t="str">
        <f>IF(OR(MemberOrgControl!$B120 = "", MemberOrgControl!$B120 &lt;0), "", INDEX(MemberOrgsData[CFDA], MemberOrgControl!$B120))</f>
        <v/>
      </c>
      <c r="C117" t="str">
        <f>IFERROR(INDEX(AllCFDAs[All CFDAs], MATCH(0, INDEX(COUNTIF($C$3:C116, AllCFDAs[All CFDAs]),),0)), "")</f>
        <v/>
      </c>
      <c r="D117" t="str">
        <f t="array" ref="D117">IFERROR(INDEX(MemberOrgsData[FEDERALPROGRAMNAME], MATCH(1, (SelectMemberOrgs = MemberOrgsData[Auditee Name])*(MemberOrgs_SortedTable[[#This Row],[Unique CFDA]]= MemberOrgsData[CFDA]), 0)), "")</f>
        <v/>
      </c>
      <c r="E117" s="20" t="str">
        <f t="array" ref="E117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17" s="21" t="str">
        <f t="array" ref="F117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17" s="19" t="str">
        <f>IF(MemberOrgs_SortedTable[[#This Row],[Unique CFDA]] = "", "", IFERROR(MemberOrgs_SortedTable[[#This Row],[FY 2018 Total]]*MemberOrgs_SortedTable[[#This Row],[President % Change]], "No Budget Data"))</f>
        <v/>
      </c>
      <c r="H117" s="21" t="str">
        <f t="array" ref="H117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17" s="19" t="str">
        <f>IF(MemberOrgs_SortedTable[[#This Row],[Unique CFDA]] = "", "", IFERROR(MemberOrgs_SortedTable[[#This Row],[FY 2018 Total]]*MemberOrgs_SortedTable[[#This Row],[House % Change]], "No Budget Data"))</f>
        <v/>
      </c>
      <c r="K117" s="19" t="str">
        <f>IF(MemberOrgs_SortedTable[[#This Row],[Unique CFDA]] = "", "", IFERROR(MemberOrgs_SortedTable[[#This Row],[FY 2018 Total]]*MemberOrgs_SortedTable[[#This Row],[Senate Budget]], "No Budget Data"))</f>
        <v/>
      </c>
      <c r="L117" t="str">
        <f>IF(MemberOrgs_SortedTable[[#This Row],[Unique CFDA]] = "", "", IF(ISNUMBER(MemberOrgs_SortedTable[[#This Row],[President $ Change]]), RANK(MemberOrgs_SortedTable[[#This Row],[President $ Change]], $G$4:$G$227)+COUNTIF($G$4:G117, G117)-1, 0))</f>
        <v/>
      </c>
      <c r="M117" t="str">
        <f>IFERROR((IF(MemberOrgs_SortedTable[[#This Row],[Sort 1]] = 0, COUNTIF($L$4:L117, 0), "")+MAX(MemberOrgs_SortedTable[Sort 1])), "")</f>
        <v/>
      </c>
      <c r="N117" t="str">
        <f>IF(MemberOrgs_SortedTable[[#This Row],[Sort 1]]&gt;0, MemberOrgs_SortedTable[[#This Row],[Sort 1]], MemberOrgs_SortedTable[[#This Row],[Sort 2]])</f>
        <v/>
      </c>
    </row>
    <row r="118" spans="1:14" x14ac:dyDescent="0.25">
      <c r="A118" t="str">
        <f>IF(OR(MemberOrgControl!$B121 = "", MemberOrgControl!$B121 &lt;0), "", INDEX(MemberOrgsData[CFDA], MemberOrgControl!$B121))</f>
        <v/>
      </c>
      <c r="C118" t="str">
        <f>IFERROR(INDEX(AllCFDAs[All CFDAs], MATCH(0, INDEX(COUNTIF($C$3:C117, AllCFDAs[All CFDAs]),),0)), "")</f>
        <v/>
      </c>
      <c r="D118" t="str">
        <f t="array" ref="D118">IFERROR(INDEX(MemberOrgsData[FEDERALPROGRAMNAME], MATCH(1, (SelectMemberOrgs = MemberOrgsData[Auditee Name])*(MemberOrgs_SortedTable[[#This Row],[Unique CFDA]]= MemberOrgsData[CFDA]), 0)), "")</f>
        <v/>
      </c>
      <c r="E118" s="20" t="str">
        <f t="array" ref="E118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18" s="21" t="str">
        <f t="array" ref="F118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18" s="19" t="str">
        <f>IF(MemberOrgs_SortedTable[[#This Row],[Unique CFDA]] = "", "", IFERROR(MemberOrgs_SortedTable[[#This Row],[FY 2018 Total]]*MemberOrgs_SortedTable[[#This Row],[President % Change]], "No Budget Data"))</f>
        <v/>
      </c>
      <c r="H118" s="21" t="str">
        <f t="array" ref="H118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18" s="19" t="str">
        <f>IF(MemberOrgs_SortedTable[[#This Row],[Unique CFDA]] = "", "", IFERROR(MemberOrgs_SortedTable[[#This Row],[FY 2018 Total]]*MemberOrgs_SortedTable[[#This Row],[House % Change]], "No Budget Data"))</f>
        <v/>
      </c>
      <c r="K118" s="19" t="str">
        <f>IF(MemberOrgs_SortedTable[[#This Row],[Unique CFDA]] = "", "", IFERROR(MemberOrgs_SortedTable[[#This Row],[FY 2018 Total]]*MemberOrgs_SortedTable[[#This Row],[Senate Budget]], "No Budget Data"))</f>
        <v/>
      </c>
      <c r="L118" t="str">
        <f>IF(MemberOrgs_SortedTable[[#This Row],[Unique CFDA]] = "", "", IF(ISNUMBER(MemberOrgs_SortedTable[[#This Row],[President $ Change]]), RANK(MemberOrgs_SortedTable[[#This Row],[President $ Change]], $G$4:$G$227)+COUNTIF($G$4:G118, G118)-1, 0))</f>
        <v/>
      </c>
      <c r="M118" t="str">
        <f>IFERROR((IF(MemberOrgs_SortedTable[[#This Row],[Sort 1]] = 0, COUNTIF($L$4:L118, 0), "")+MAX(MemberOrgs_SortedTable[Sort 1])), "")</f>
        <v/>
      </c>
      <c r="N118" t="str">
        <f>IF(MemberOrgs_SortedTable[[#This Row],[Sort 1]]&gt;0, MemberOrgs_SortedTable[[#This Row],[Sort 1]], MemberOrgs_SortedTable[[#This Row],[Sort 2]])</f>
        <v/>
      </c>
    </row>
    <row r="119" spans="1:14" x14ac:dyDescent="0.25">
      <c r="A119" t="str">
        <f>IF(OR(MemberOrgControl!$B122 = "", MemberOrgControl!$B122 &lt;0), "", INDEX(MemberOrgsData[CFDA], MemberOrgControl!$B122))</f>
        <v/>
      </c>
      <c r="C119" t="str">
        <f>IFERROR(INDEX(AllCFDAs[All CFDAs], MATCH(0, INDEX(COUNTIF($C$3:C118, AllCFDAs[All CFDAs]),),0)), "")</f>
        <v/>
      </c>
      <c r="D119" t="str">
        <f t="array" ref="D119">IFERROR(INDEX(MemberOrgsData[FEDERALPROGRAMNAME], MATCH(1, (SelectMemberOrgs = MemberOrgsData[Auditee Name])*(MemberOrgs_SortedTable[[#This Row],[Unique CFDA]]= MemberOrgsData[CFDA]), 0)), "")</f>
        <v/>
      </c>
      <c r="E119" s="20" t="str">
        <f t="array" ref="E119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19" s="21" t="str">
        <f t="array" ref="F119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19" s="19" t="str">
        <f>IF(MemberOrgs_SortedTable[[#This Row],[Unique CFDA]] = "", "", IFERROR(MemberOrgs_SortedTable[[#This Row],[FY 2018 Total]]*MemberOrgs_SortedTable[[#This Row],[President % Change]], "No Budget Data"))</f>
        <v/>
      </c>
      <c r="H119" s="21" t="str">
        <f t="array" ref="H119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19" s="19" t="str">
        <f>IF(MemberOrgs_SortedTable[[#This Row],[Unique CFDA]] = "", "", IFERROR(MemberOrgs_SortedTable[[#This Row],[FY 2018 Total]]*MemberOrgs_SortedTable[[#This Row],[House % Change]], "No Budget Data"))</f>
        <v/>
      </c>
      <c r="K119" s="19" t="str">
        <f>IF(MemberOrgs_SortedTable[[#This Row],[Unique CFDA]] = "", "", IFERROR(MemberOrgs_SortedTable[[#This Row],[FY 2018 Total]]*MemberOrgs_SortedTable[[#This Row],[Senate Budget]], "No Budget Data"))</f>
        <v/>
      </c>
      <c r="L119" t="str">
        <f>IF(MemberOrgs_SortedTable[[#This Row],[Unique CFDA]] = "", "", IF(ISNUMBER(MemberOrgs_SortedTable[[#This Row],[President $ Change]]), RANK(MemberOrgs_SortedTable[[#This Row],[President $ Change]], $G$4:$G$227)+COUNTIF($G$4:G119, G119)-1, 0))</f>
        <v/>
      </c>
      <c r="M119" t="str">
        <f>IFERROR((IF(MemberOrgs_SortedTable[[#This Row],[Sort 1]] = 0, COUNTIF($L$4:L119, 0), "")+MAX(MemberOrgs_SortedTable[Sort 1])), "")</f>
        <v/>
      </c>
      <c r="N119" t="str">
        <f>IF(MemberOrgs_SortedTable[[#This Row],[Sort 1]]&gt;0, MemberOrgs_SortedTable[[#This Row],[Sort 1]], MemberOrgs_SortedTable[[#This Row],[Sort 2]])</f>
        <v/>
      </c>
    </row>
    <row r="120" spans="1:14" x14ac:dyDescent="0.25">
      <c r="A120" t="str">
        <f>IF(OR(MemberOrgControl!$B123 = "", MemberOrgControl!$B123 &lt;0), "", INDEX(MemberOrgsData[CFDA], MemberOrgControl!$B123))</f>
        <v/>
      </c>
      <c r="C120" t="str">
        <f>IFERROR(INDEX(AllCFDAs[All CFDAs], MATCH(0, INDEX(COUNTIF($C$3:C119, AllCFDAs[All CFDAs]),),0)), "")</f>
        <v/>
      </c>
      <c r="D120" t="str">
        <f t="array" ref="D120">IFERROR(INDEX(MemberOrgsData[FEDERALPROGRAMNAME], MATCH(1, (SelectMemberOrgs = MemberOrgsData[Auditee Name])*(MemberOrgs_SortedTable[[#This Row],[Unique CFDA]]= MemberOrgsData[CFDA]), 0)), "")</f>
        <v/>
      </c>
      <c r="E120" s="20" t="str">
        <f t="array" ref="E120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20" s="21" t="str">
        <f t="array" ref="F120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20" s="19" t="str">
        <f>IF(MemberOrgs_SortedTable[[#This Row],[Unique CFDA]] = "", "", IFERROR(MemberOrgs_SortedTable[[#This Row],[FY 2018 Total]]*MemberOrgs_SortedTable[[#This Row],[President % Change]], "No Budget Data"))</f>
        <v/>
      </c>
      <c r="H120" s="21" t="str">
        <f t="array" ref="H120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20" s="19" t="str">
        <f>IF(MemberOrgs_SortedTable[[#This Row],[Unique CFDA]] = "", "", IFERROR(MemberOrgs_SortedTable[[#This Row],[FY 2018 Total]]*MemberOrgs_SortedTable[[#This Row],[House % Change]], "No Budget Data"))</f>
        <v/>
      </c>
      <c r="K120" s="19" t="str">
        <f>IF(MemberOrgs_SortedTable[[#This Row],[Unique CFDA]] = "", "", IFERROR(MemberOrgs_SortedTable[[#This Row],[FY 2018 Total]]*MemberOrgs_SortedTable[[#This Row],[Senate Budget]], "No Budget Data"))</f>
        <v/>
      </c>
      <c r="L120" t="str">
        <f>IF(MemberOrgs_SortedTable[[#This Row],[Unique CFDA]] = "", "", IF(ISNUMBER(MemberOrgs_SortedTable[[#This Row],[President $ Change]]), RANK(MemberOrgs_SortedTable[[#This Row],[President $ Change]], $G$4:$G$227)+COUNTIF($G$4:G120, G120)-1, 0))</f>
        <v/>
      </c>
      <c r="M120" t="str">
        <f>IFERROR((IF(MemberOrgs_SortedTable[[#This Row],[Sort 1]] = 0, COUNTIF($L$4:L120, 0), "")+MAX(MemberOrgs_SortedTable[Sort 1])), "")</f>
        <v/>
      </c>
      <c r="N120" t="str">
        <f>IF(MemberOrgs_SortedTable[[#This Row],[Sort 1]]&gt;0, MemberOrgs_SortedTable[[#This Row],[Sort 1]], MemberOrgs_SortedTable[[#This Row],[Sort 2]])</f>
        <v/>
      </c>
    </row>
    <row r="121" spans="1:14" x14ac:dyDescent="0.25">
      <c r="A121" t="str">
        <f>IF(OR(MemberOrgControl!$B124 = "", MemberOrgControl!$B124 &lt;0), "", INDEX(MemberOrgsData[CFDA], MemberOrgControl!$B124))</f>
        <v/>
      </c>
      <c r="C121" t="str">
        <f>IFERROR(INDEX(AllCFDAs[All CFDAs], MATCH(0, INDEX(COUNTIF($C$3:C120, AllCFDAs[All CFDAs]),),0)), "")</f>
        <v/>
      </c>
      <c r="D121" t="str">
        <f t="array" ref="D121">IFERROR(INDEX(MemberOrgsData[FEDERALPROGRAMNAME], MATCH(1, (SelectMemberOrgs = MemberOrgsData[Auditee Name])*(MemberOrgs_SortedTable[[#This Row],[Unique CFDA]]= MemberOrgsData[CFDA]), 0)), "")</f>
        <v/>
      </c>
      <c r="E121" s="20" t="str">
        <f t="array" ref="E121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21" s="21" t="str">
        <f t="array" ref="F121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21" s="19" t="str">
        <f>IF(MemberOrgs_SortedTable[[#This Row],[Unique CFDA]] = "", "", IFERROR(MemberOrgs_SortedTable[[#This Row],[FY 2018 Total]]*MemberOrgs_SortedTable[[#This Row],[President % Change]], "No Budget Data"))</f>
        <v/>
      </c>
      <c r="H121" s="21" t="str">
        <f t="array" ref="H121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21" s="19" t="str">
        <f>IF(MemberOrgs_SortedTable[[#This Row],[Unique CFDA]] = "", "", IFERROR(MemberOrgs_SortedTable[[#This Row],[FY 2018 Total]]*MemberOrgs_SortedTable[[#This Row],[House % Change]], "No Budget Data"))</f>
        <v/>
      </c>
      <c r="K121" s="19" t="str">
        <f>IF(MemberOrgs_SortedTable[[#This Row],[Unique CFDA]] = "", "", IFERROR(MemberOrgs_SortedTable[[#This Row],[FY 2018 Total]]*MemberOrgs_SortedTable[[#This Row],[Senate Budget]], "No Budget Data"))</f>
        <v/>
      </c>
      <c r="L121" t="str">
        <f>IF(MemberOrgs_SortedTable[[#This Row],[Unique CFDA]] = "", "", IF(ISNUMBER(MemberOrgs_SortedTable[[#This Row],[President $ Change]]), RANK(MemberOrgs_SortedTable[[#This Row],[President $ Change]], $G$4:$G$227)+COUNTIF($G$4:G121, G121)-1, 0))</f>
        <v/>
      </c>
      <c r="M121" t="str">
        <f>IFERROR((IF(MemberOrgs_SortedTable[[#This Row],[Sort 1]] = 0, COUNTIF($L$4:L121, 0), "")+MAX(MemberOrgs_SortedTable[Sort 1])), "")</f>
        <v/>
      </c>
      <c r="N121" t="str">
        <f>IF(MemberOrgs_SortedTable[[#This Row],[Sort 1]]&gt;0, MemberOrgs_SortedTable[[#This Row],[Sort 1]], MemberOrgs_SortedTable[[#This Row],[Sort 2]])</f>
        <v/>
      </c>
    </row>
    <row r="122" spans="1:14" x14ac:dyDescent="0.25">
      <c r="A122" t="str">
        <f>IF(OR(MemberOrgControl!$B125 = "", MemberOrgControl!$B125 &lt;0), "", INDEX(MemberOrgsData[CFDA], MemberOrgControl!$B125))</f>
        <v/>
      </c>
      <c r="C122" t="str">
        <f>IFERROR(INDEX(AllCFDAs[All CFDAs], MATCH(0, INDEX(COUNTIF($C$3:C121, AllCFDAs[All CFDAs]),),0)), "")</f>
        <v/>
      </c>
      <c r="D122" t="str">
        <f t="array" ref="D122">IFERROR(INDEX(MemberOrgsData[FEDERALPROGRAMNAME], MATCH(1, (SelectMemberOrgs = MemberOrgsData[Auditee Name])*(MemberOrgs_SortedTable[[#This Row],[Unique CFDA]]= MemberOrgsData[CFDA]), 0)), "")</f>
        <v/>
      </c>
      <c r="E122" s="20" t="str">
        <f t="array" ref="E122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22" s="21" t="str">
        <f t="array" ref="F122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22" s="19" t="str">
        <f>IF(MemberOrgs_SortedTable[[#This Row],[Unique CFDA]] = "", "", IFERROR(MemberOrgs_SortedTable[[#This Row],[FY 2018 Total]]*MemberOrgs_SortedTable[[#This Row],[President % Change]], "No Budget Data"))</f>
        <v/>
      </c>
      <c r="H122" s="21" t="str">
        <f t="array" ref="H122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22" s="19" t="str">
        <f>IF(MemberOrgs_SortedTable[[#This Row],[Unique CFDA]] = "", "", IFERROR(MemberOrgs_SortedTable[[#This Row],[FY 2018 Total]]*MemberOrgs_SortedTable[[#This Row],[House % Change]], "No Budget Data"))</f>
        <v/>
      </c>
      <c r="K122" s="19" t="str">
        <f>IF(MemberOrgs_SortedTable[[#This Row],[Unique CFDA]] = "", "", IFERROR(MemberOrgs_SortedTable[[#This Row],[FY 2018 Total]]*MemberOrgs_SortedTable[[#This Row],[Senate Budget]], "No Budget Data"))</f>
        <v/>
      </c>
      <c r="L122" t="str">
        <f>IF(MemberOrgs_SortedTable[[#This Row],[Unique CFDA]] = "", "", IF(ISNUMBER(MemberOrgs_SortedTable[[#This Row],[President $ Change]]), RANK(MemberOrgs_SortedTable[[#This Row],[President $ Change]], $G$4:$G$227)+COUNTIF($G$4:G122, G122)-1, 0))</f>
        <v/>
      </c>
      <c r="M122" t="str">
        <f>IFERROR((IF(MemberOrgs_SortedTable[[#This Row],[Sort 1]] = 0, COUNTIF($L$4:L122, 0), "")+MAX(MemberOrgs_SortedTable[Sort 1])), "")</f>
        <v/>
      </c>
      <c r="N122" t="str">
        <f>IF(MemberOrgs_SortedTable[[#This Row],[Sort 1]]&gt;0, MemberOrgs_SortedTable[[#This Row],[Sort 1]], MemberOrgs_SortedTable[[#This Row],[Sort 2]])</f>
        <v/>
      </c>
    </row>
    <row r="123" spans="1:14" x14ac:dyDescent="0.25">
      <c r="A123" t="str">
        <f>IF(OR(MemberOrgControl!$B126 = "", MemberOrgControl!$B126 &lt;0), "", INDEX(MemberOrgsData[CFDA], MemberOrgControl!$B126))</f>
        <v/>
      </c>
      <c r="C123" t="str">
        <f>IFERROR(INDEX(AllCFDAs[All CFDAs], MATCH(0, INDEX(COUNTIF($C$3:C122, AllCFDAs[All CFDAs]),),0)), "")</f>
        <v/>
      </c>
      <c r="D123" t="str">
        <f t="array" ref="D123">IFERROR(INDEX(MemberOrgsData[FEDERALPROGRAMNAME], MATCH(1, (SelectMemberOrgs = MemberOrgsData[Auditee Name])*(MemberOrgs_SortedTable[[#This Row],[Unique CFDA]]= MemberOrgsData[CFDA]), 0)), "")</f>
        <v/>
      </c>
      <c r="E123" s="20" t="str">
        <f t="array" ref="E123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23" s="21" t="str">
        <f t="array" ref="F123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23" s="19" t="str">
        <f>IF(MemberOrgs_SortedTable[[#This Row],[Unique CFDA]] = "", "", IFERROR(MemberOrgs_SortedTable[[#This Row],[FY 2018 Total]]*MemberOrgs_SortedTable[[#This Row],[President % Change]], "No Budget Data"))</f>
        <v/>
      </c>
      <c r="H123" s="21" t="str">
        <f t="array" ref="H123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23" s="19" t="str">
        <f>IF(MemberOrgs_SortedTable[[#This Row],[Unique CFDA]] = "", "", IFERROR(MemberOrgs_SortedTable[[#This Row],[FY 2018 Total]]*MemberOrgs_SortedTable[[#This Row],[House % Change]], "No Budget Data"))</f>
        <v/>
      </c>
      <c r="K123" s="19" t="str">
        <f>IF(MemberOrgs_SortedTable[[#This Row],[Unique CFDA]] = "", "", IFERROR(MemberOrgs_SortedTable[[#This Row],[FY 2018 Total]]*MemberOrgs_SortedTable[[#This Row],[Senate Budget]], "No Budget Data"))</f>
        <v/>
      </c>
      <c r="L123" t="str">
        <f>IF(MemberOrgs_SortedTable[[#This Row],[Unique CFDA]] = "", "", IF(ISNUMBER(MemberOrgs_SortedTable[[#This Row],[President $ Change]]), RANK(MemberOrgs_SortedTable[[#This Row],[President $ Change]], $G$4:$G$227)+COUNTIF($G$4:G123, G123)-1, 0))</f>
        <v/>
      </c>
      <c r="M123" t="str">
        <f>IFERROR((IF(MemberOrgs_SortedTable[[#This Row],[Sort 1]] = 0, COUNTIF($L$4:L123, 0), "")+MAX(MemberOrgs_SortedTable[Sort 1])), "")</f>
        <v/>
      </c>
      <c r="N123" t="str">
        <f>IF(MemberOrgs_SortedTable[[#This Row],[Sort 1]]&gt;0, MemberOrgs_SortedTable[[#This Row],[Sort 1]], MemberOrgs_SortedTable[[#This Row],[Sort 2]])</f>
        <v/>
      </c>
    </row>
    <row r="124" spans="1:14" x14ac:dyDescent="0.25">
      <c r="A124" t="str">
        <f>IF(OR(MemberOrgControl!$B127 = "", MemberOrgControl!$B127 &lt;0), "", INDEX(MemberOrgsData[CFDA], MemberOrgControl!$B127))</f>
        <v/>
      </c>
      <c r="C124" t="str">
        <f>IFERROR(INDEX(AllCFDAs[All CFDAs], MATCH(0, INDEX(COUNTIF($C$3:C123, AllCFDAs[All CFDAs]),),0)), "")</f>
        <v/>
      </c>
      <c r="D124" t="str">
        <f t="array" ref="D124">IFERROR(INDEX(MemberOrgsData[FEDERALPROGRAMNAME], MATCH(1, (SelectMemberOrgs = MemberOrgsData[Auditee Name])*(MemberOrgs_SortedTable[[#This Row],[Unique CFDA]]= MemberOrgsData[CFDA]), 0)), "")</f>
        <v/>
      </c>
      <c r="E124" s="20" t="str">
        <f t="array" ref="E124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24" s="21" t="str">
        <f t="array" ref="F124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24" s="19" t="str">
        <f>IF(MemberOrgs_SortedTable[[#This Row],[Unique CFDA]] = "", "", IFERROR(MemberOrgs_SortedTable[[#This Row],[FY 2018 Total]]*MemberOrgs_SortedTable[[#This Row],[President % Change]], "No Budget Data"))</f>
        <v/>
      </c>
      <c r="H124" s="21" t="str">
        <f t="array" ref="H124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24" s="19" t="str">
        <f>IF(MemberOrgs_SortedTable[[#This Row],[Unique CFDA]] = "", "", IFERROR(MemberOrgs_SortedTable[[#This Row],[FY 2018 Total]]*MemberOrgs_SortedTable[[#This Row],[House % Change]], "No Budget Data"))</f>
        <v/>
      </c>
      <c r="K124" s="19" t="str">
        <f>IF(MemberOrgs_SortedTable[[#This Row],[Unique CFDA]] = "", "", IFERROR(MemberOrgs_SortedTable[[#This Row],[FY 2018 Total]]*MemberOrgs_SortedTable[[#This Row],[Senate Budget]], "No Budget Data"))</f>
        <v/>
      </c>
      <c r="L124" t="str">
        <f>IF(MemberOrgs_SortedTable[[#This Row],[Unique CFDA]] = "", "", IF(ISNUMBER(MemberOrgs_SortedTable[[#This Row],[President $ Change]]), RANK(MemberOrgs_SortedTable[[#This Row],[President $ Change]], $G$4:$G$227)+COUNTIF($G$4:G124, G124)-1, 0))</f>
        <v/>
      </c>
      <c r="M124" t="str">
        <f>IFERROR((IF(MemberOrgs_SortedTable[[#This Row],[Sort 1]] = 0, COUNTIF($L$4:L124, 0), "")+MAX(MemberOrgs_SortedTable[Sort 1])), "")</f>
        <v/>
      </c>
      <c r="N124" t="str">
        <f>IF(MemberOrgs_SortedTable[[#This Row],[Sort 1]]&gt;0, MemberOrgs_SortedTable[[#This Row],[Sort 1]], MemberOrgs_SortedTable[[#This Row],[Sort 2]])</f>
        <v/>
      </c>
    </row>
    <row r="125" spans="1:14" x14ac:dyDescent="0.25">
      <c r="A125" t="str">
        <f>IF(OR(MemberOrgControl!$B128 = "", MemberOrgControl!$B128 &lt;0), "", INDEX(MemberOrgsData[CFDA], MemberOrgControl!$B128))</f>
        <v/>
      </c>
      <c r="C125" t="str">
        <f>IFERROR(INDEX(AllCFDAs[All CFDAs], MATCH(0, INDEX(COUNTIF($C$3:C124, AllCFDAs[All CFDAs]),),0)), "")</f>
        <v/>
      </c>
      <c r="D125" t="str">
        <f t="array" ref="D125">IFERROR(INDEX(MemberOrgsData[FEDERALPROGRAMNAME], MATCH(1, (SelectMemberOrgs = MemberOrgsData[Auditee Name])*(MemberOrgs_SortedTable[[#This Row],[Unique CFDA]]= MemberOrgsData[CFDA]), 0)), "")</f>
        <v/>
      </c>
      <c r="E125" s="20" t="str">
        <f t="array" ref="E125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25" s="21" t="str">
        <f t="array" ref="F125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25" s="19" t="str">
        <f>IF(MemberOrgs_SortedTable[[#This Row],[Unique CFDA]] = "", "", IFERROR(MemberOrgs_SortedTable[[#This Row],[FY 2018 Total]]*MemberOrgs_SortedTable[[#This Row],[President % Change]], "No Budget Data"))</f>
        <v/>
      </c>
      <c r="H125" s="21" t="str">
        <f t="array" ref="H125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25" s="19" t="str">
        <f>IF(MemberOrgs_SortedTable[[#This Row],[Unique CFDA]] = "", "", IFERROR(MemberOrgs_SortedTable[[#This Row],[FY 2018 Total]]*MemberOrgs_SortedTable[[#This Row],[House % Change]], "No Budget Data"))</f>
        <v/>
      </c>
      <c r="K125" s="19" t="str">
        <f>IF(MemberOrgs_SortedTable[[#This Row],[Unique CFDA]] = "", "", IFERROR(MemberOrgs_SortedTable[[#This Row],[FY 2018 Total]]*MemberOrgs_SortedTable[[#This Row],[Senate Budget]], "No Budget Data"))</f>
        <v/>
      </c>
      <c r="L125" t="str">
        <f>IF(MemberOrgs_SortedTable[[#This Row],[Unique CFDA]] = "", "", IF(ISNUMBER(MemberOrgs_SortedTable[[#This Row],[President $ Change]]), RANK(MemberOrgs_SortedTable[[#This Row],[President $ Change]], $G$4:$G$227)+COUNTIF($G$4:G125, G125)-1, 0))</f>
        <v/>
      </c>
      <c r="M125" t="str">
        <f>IFERROR((IF(MemberOrgs_SortedTable[[#This Row],[Sort 1]] = 0, COUNTIF($L$4:L125, 0), "")+MAX(MemberOrgs_SortedTable[Sort 1])), "")</f>
        <v/>
      </c>
      <c r="N125" t="str">
        <f>IF(MemberOrgs_SortedTable[[#This Row],[Sort 1]]&gt;0, MemberOrgs_SortedTable[[#This Row],[Sort 1]], MemberOrgs_SortedTable[[#This Row],[Sort 2]])</f>
        <v/>
      </c>
    </row>
    <row r="126" spans="1:14" x14ac:dyDescent="0.25">
      <c r="A126" t="str">
        <f>IF(OR(MemberOrgControl!$B129 = "", MemberOrgControl!$B129 &lt;0), "", INDEX(MemberOrgsData[CFDA], MemberOrgControl!$B129))</f>
        <v/>
      </c>
      <c r="C126" t="str">
        <f>IFERROR(INDEX(AllCFDAs[All CFDAs], MATCH(0, INDEX(COUNTIF($C$3:C125, AllCFDAs[All CFDAs]),),0)), "")</f>
        <v/>
      </c>
      <c r="D126" t="str">
        <f t="array" ref="D126">IFERROR(INDEX(MemberOrgsData[FEDERALPROGRAMNAME], MATCH(1, (SelectMemberOrgs = MemberOrgsData[Auditee Name])*(MemberOrgs_SortedTable[[#This Row],[Unique CFDA]]= MemberOrgsData[CFDA]), 0)), "")</f>
        <v/>
      </c>
      <c r="E126" s="20" t="str">
        <f t="array" ref="E126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26" s="21" t="str">
        <f t="array" ref="F126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26" s="19" t="str">
        <f>IF(MemberOrgs_SortedTable[[#This Row],[Unique CFDA]] = "", "", IFERROR(MemberOrgs_SortedTable[[#This Row],[FY 2018 Total]]*MemberOrgs_SortedTable[[#This Row],[President % Change]], "No Budget Data"))</f>
        <v/>
      </c>
      <c r="H126" s="21" t="str">
        <f t="array" ref="H126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26" s="19" t="str">
        <f>IF(MemberOrgs_SortedTable[[#This Row],[Unique CFDA]] = "", "", IFERROR(MemberOrgs_SortedTable[[#This Row],[FY 2018 Total]]*MemberOrgs_SortedTable[[#This Row],[House % Change]], "No Budget Data"))</f>
        <v/>
      </c>
      <c r="K126" s="19" t="str">
        <f>IF(MemberOrgs_SortedTable[[#This Row],[Unique CFDA]] = "", "", IFERROR(MemberOrgs_SortedTable[[#This Row],[FY 2018 Total]]*MemberOrgs_SortedTable[[#This Row],[Senate Budget]], "No Budget Data"))</f>
        <v/>
      </c>
      <c r="L126" t="str">
        <f>IF(MemberOrgs_SortedTable[[#This Row],[Unique CFDA]] = "", "", IF(ISNUMBER(MemberOrgs_SortedTable[[#This Row],[President $ Change]]), RANK(MemberOrgs_SortedTable[[#This Row],[President $ Change]], $G$4:$G$227)+COUNTIF($G$4:G126, G126)-1, 0))</f>
        <v/>
      </c>
      <c r="M126" t="str">
        <f>IFERROR((IF(MemberOrgs_SortedTable[[#This Row],[Sort 1]] = 0, COUNTIF($L$4:L126, 0), "")+MAX(MemberOrgs_SortedTable[Sort 1])), "")</f>
        <v/>
      </c>
      <c r="N126" t="str">
        <f>IF(MemberOrgs_SortedTable[[#This Row],[Sort 1]]&gt;0, MemberOrgs_SortedTable[[#This Row],[Sort 1]], MemberOrgs_SortedTable[[#This Row],[Sort 2]])</f>
        <v/>
      </c>
    </row>
    <row r="127" spans="1:14" x14ac:dyDescent="0.25">
      <c r="A127" t="str">
        <f>IF(OR(MemberOrgControl!$B130 = "", MemberOrgControl!$B130 &lt;0), "", INDEX(MemberOrgsData[CFDA], MemberOrgControl!$B130))</f>
        <v/>
      </c>
      <c r="C127" t="str">
        <f>IFERROR(INDEX(AllCFDAs[All CFDAs], MATCH(0, INDEX(COUNTIF($C$3:C126, AllCFDAs[All CFDAs]),),0)), "")</f>
        <v/>
      </c>
      <c r="D127" t="str">
        <f t="array" ref="D127">IFERROR(INDEX(MemberOrgsData[FEDERALPROGRAMNAME], MATCH(1, (SelectMemberOrgs = MemberOrgsData[Auditee Name])*(MemberOrgs_SortedTable[[#This Row],[Unique CFDA]]= MemberOrgsData[CFDA]), 0)), "")</f>
        <v/>
      </c>
      <c r="E127" s="20" t="str">
        <f t="array" ref="E127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27" s="21" t="str">
        <f t="array" ref="F127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27" s="19" t="str">
        <f>IF(MemberOrgs_SortedTable[[#This Row],[Unique CFDA]] = "", "", IFERROR(MemberOrgs_SortedTable[[#This Row],[FY 2018 Total]]*MemberOrgs_SortedTable[[#This Row],[President % Change]], "No Budget Data"))</f>
        <v/>
      </c>
      <c r="H127" s="21" t="str">
        <f t="array" ref="H127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27" s="19" t="str">
        <f>IF(MemberOrgs_SortedTable[[#This Row],[Unique CFDA]] = "", "", IFERROR(MemberOrgs_SortedTable[[#This Row],[FY 2018 Total]]*MemberOrgs_SortedTable[[#This Row],[House % Change]], "No Budget Data"))</f>
        <v/>
      </c>
      <c r="K127" s="19" t="str">
        <f>IF(MemberOrgs_SortedTable[[#This Row],[Unique CFDA]] = "", "", IFERROR(MemberOrgs_SortedTable[[#This Row],[FY 2018 Total]]*MemberOrgs_SortedTable[[#This Row],[Senate Budget]], "No Budget Data"))</f>
        <v/>
      </c>
      <c r="L127" t="str">
        <f>IF(MemberOrgs_SortedTable[[#This Row],[Unique CFDA]] = "", "", IF(ISNUMBER(MemberOrgs_SortedTable[[#This Row],[President $ Change]]), RANK(MemberOrgs_SortedTable[[#This Row],[President $ Change]], $G$4:$G$227)+COUNTIF($G$4:G127, G127)-1, 0))</f>
        <v/>
      </c>
      <c r="M127" t="str">
        <f>IFERROR((IF(MemberOrgs_SortedTable[[#This Row],[Sort 1]] = 0, COUNTIF($L$4:L127, 0), "")+MAX(MemberOrgs_SortedTable[Sort 1])), "")</f>
        <v/>
      </c>
      <c r="N127" t="str">
        <f>IF(MemberOrgs_SortedTable[[#This Row],[Sort 1]]&gt;0, MemberOrgs_SortedTable[[#This Row],[Sort 1]], MemberOrgs_SortedTable[[#This Row],[Sort 2]])</f>
        <v/>
      </c>
    </row>
    <row r="128" spans="1:14" x14ac:dyDescent="0.25">
      <c r="A128" t="str">
        <f>IF(OR(MemberOrgControl!$B131 = "", MemberOrgControl!$B131 &lt;0), "", INDEX(MemberOrgsData[CFDA], MemberOrgControl!$B131))</f>
        <v/>
      </c>
      <c r="C128" t="str">
        <f>IFERROR(INDEX(AllCFDAs[All CFDAs], MATCH(0, INDEX(COUNTIF($C$3:C127, AllCFDAs[All CFDAs]),),0)), "")</f>
        <v/>
      </c>
      <c r="D128" t="str">
        <f t="array" ref="D128">IFERROR(INDEX(MemberOrgsData[FEDERALPROGRAMNAME], MATCH(1, (SelectMemberOrgs = MemberOrgsData[Auditee Name])*(MemberOrgs_SortedTable[[#This Row],[Unique CFDA]]= MemberOrgsData[CFDA]), 0)), "")</f>
        <v/>
      </c>
      <c r="E128" s="20" t="str">
        <f t="array" ref="E128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28" s="21" t="str">
        <f t="array" ref="F128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28" s="19" t="str">
        <f>IF(MemberOrgs_SortedTable[[#This Row],[Unique CFDA]] = "", "", IFERROR(MemberOrgs_SortedTable[[#This Row],[FY 2018 Total]]*MemberOrgs_SortedTable[[#This Row],[President % Change]], "No Budget Data"))</f>
        <v/>
      </c>
      <c r="H128" s="21" t="str">
        <f t="array" ref="H128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28" s="19" t="str">
        <f>IF(MemberOrgs_SortedTable[[#This Row],[Unique CFDA]] = "", "", IFERROR(MemberOrgs_SortedTable[[#This Row],[FY 2018 Total]]*MemberOrgs_SortedTable[[#This Row],[House % Change]], "No Budget Data"))</f>
        <v/>
      </c>
      <c r="K128" s="19" t="str">
        <f>IF(MemberOrgs_SortedTable[[#This Row],[Unique CFDA]] = "", "", IFERROR(MemberOrgs_SortedTable[[#This Row],[FY 2018 Total]]*MemberOrgs_SortedTable[[#This Row],[Senate Budget]], "No Budget Data"))</f>
        <v/>
      </c>
      <c r="L128" t="str">
        <f>IF(MemberOrgs_SortedTable[[#This Row],[Unique CFDA]] = "", "", IF(ISNUMBER(MemberOrgs_SortedTable[[#This Row],[President $ Change]]), RANK(MemberOrgs_SortedTable[[#This Row],[President $ Change]], $G$4:$G$227)+COUNTIF($G$4:G128, G128)-1, 0))</f>
        <v/>
      </c>
      <c r="M128" t="str">
        <f>IFERROR((IF(MemberOrgs_SortedTable[[#This Row],[Sort 1]] = 0, COUNTIF($L$4:L128, 0), "")+MAX(MemberOrgs_SortedTable[Sort 1])), "")</f>
        <v/>
      </c>
      <c r="N128" t="str">
        <f>IF(MemberOrgs_SortedTable[[#This Row],[Sort 1]]&gt;0, MemberOrgs_SortedTable[[#This Row],[Sort 1]], MemberOrgs_SortedTable[[#This Row],[Sort 2]])</f>
        <v/>
      </c>
    </row>
    <row r="129" spans="1:14" x14ac:dyDescent="0.25">
      <c r="A129" t="str">
        <f>IF(OR(MemberOrgControl!$B132 = "", MemberOrgControl!$B132 &lt;0), "", INDEX(MemberOrgsData[CFDA], MemberOrgControl!$B132))</f>
        <v/>
      </c>
      <c r="C129" t="str">
        <f>IFERROR(INDEX(AllCFDAs[All CFDAs], MATCH(0, INDEX(COUNTIF($C$3:C128, AllCFDAs[All CFDAs]),),0)), "")</f>
        <v/>
      </c>
      <c r="D129" t="str">
        <f t="array" ref="D129">IFERROR(INDEX(MemberOrgsData[FEDERALPROGRAMNAME], MATCH(1, (SelectMemberOrgs = MemberOrgsData[Auditee Name])*(MemberOrgs_SortedTable[[#This Row],[Unique CFDA]]= MemberOrgsData[CFDA]), 0)), "")</f>
        <v/>
      </c>
      <c r="E129" s="20" t="str">
        <f t="array" ref="E129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29" s="21" t="str">
        <f t="array" ref="F129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29" s="19" t="str">
        <f>IF(MemberOrgs_SortedTable[[#This Row],[Unique CFDA]] = "", "", IFERROR(MemberOrgs_SortedTable[[#This Row],[FY 2018 Total]]*MemberOrgs_SortedTable[[#This Row],[President % Change]], "No Budget Data"))</f>
        <v/>
      </c>
      <c r="H129" s="21" t="str">
        <f t="array" ref="H129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29" s="19" t="str">
        <f>IF(MemberOrgs_SortedTable[[#This Row],[Unique CFDA]] = "", "", IFERROR(MemberOrgs_SortedTable[[#This Row],[FY 2018 Total]]*MemberOrgs_SortedTable[[#This Row],[House % Change]], "No Budget Data"))</f>
        <v/>
      </c>
      <c r="K129" s="19" t="str">
        <f>IF(MemberOrgs_SortedTable[[#This Row],[Unique CFDA]] = "", "", IFERROR(MemberOrgs_SortedTable[[#This Row],[FY 2018 Total]]*MemberOrgs_SortedTable[[#This Row],[Senate Budget]], "No Budget Data"))</f>
        <v/>
      </c>
      <c r="L129" t="str">
        <f>IF(MemberOrgs_SortedTable[[#This Row],[Unique CFDA]] = "", "", IF(ISNUMBER(MemberOrgs_SortedTable[[#This Row],[President $ Change]]), RANK(MemberOrgs_SortedTable[[#This Row],[President $ Change]], $G$4:$G$227)+COUNTIF($G$4:G129, G129)-1, 0))</f>
        <v/>
      </c>
      <c r="M129" t="str">
        <f>IFERROR((IF(MemberOrgs_SortedTable[[#This Row],[Sort 1]] = 0, COUNTIF($L$4:L129, 0), "")+MAX(MemberOrgs_SortedTable[Sort 1])), "")</f>
        <v/>
      </c>
      <c r="N129" t="str">
        <f>IF(MemberOrgs_SortedTable[[#This Row],[Sort 1]]&gt;0, MemberOrgs_SortedTable[[#This Row],[Sort 1]], MemberOrgs_SortedTable[[#This Row],[Sort 2]])</f>
        <v/>
      </c>
    </row>
    <row r="130" spans="1:14" x14ac:dyDescent="0.25">
      <c r="A130" t="str">
        <f>IF(OR(MemberOrgControl!$B133 = "", MemberOrgControl!$B133 &lt;0), "", INDEX(MemberOrgsData[CFDA], MemberOrgControl!$B133))</f>
        <v/>
      </c>
      <c r="C130" t="str">
        <f>IFERROR(INDEX(AllCFDAs[All CFDAs], MATCH(0, INDEX(COUNTIF($C$3:C129, AllCFDAs[All CFDAs]),),0)), "")</f>
        <v/>
      </c>
      <c r="D130" t="str">
        <f t="array" ref="D130">IFERROR(INDEX(MemberOrgsData[FEDERALPROGRAMNAME], MATCH(1, (SelectMemberOrgs = MemberOrgsData[Auditee Name])*(MemberOrgs_SortedTable[[#This Row],[Unique CFDA]]= MemberOrgsData[CFDA]), 0)), "")</f>
        <v/>
      </c>
      <c r="E130" s="20" t="str">
        <f t="array" ref="E130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30" s="21" t="str">
        <f t="array" ref="F130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30" s="19" t="str">
        <f>IF(MemberOrgs_SortedTable[[#This Row],[Unique CFDA]] = "", "", IFERROR(MemberOrgs_SortedTable[[#This Row],[FY 2018 Total]]*MemberOrgs_SortedTable[[#This Row],[President % Change]], "No Budget Data"))</f>
        <v/>
      </c>
      <c r="H130" s="21" t="str">
        <f t="array" ref="H130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30" s="19" t="str">
        <f>IF(MemberOrgs_SortedTable[[#This Row],[Unique CFDA]] = "", "", IFERROR(MemberOrgs_SortedTable[[#This Row],[FY 2018 Total]]*MemberOrgs_SortedTable[[#This Row],[House % Change]], "No Budget Data"))</f>
        <v/>
      </c>
      <c r="K130" s="19" t="str">
        <f>IF(MemberOrgs_SortedTable[[#This Row],[Unique CFDA]] = "", "", IFERROR(MemberOrgs_SortedTable[[#This Row],[FY 2018 Total]]*MemberOrgs_SortedTable[[#This Row],[Senate Budget]], "No Budget Data"))</f>
        <v/>
      </c>
      <c r="L130" t="str">
        <f>IF(MemberOrgs_SortedTable[[#This Row],[Unique CFDA]] = "", "", IF(ISNUMBER(MemberOrgs_SortedTable[[#This Row],[President $ Change]]), RANK(MemberOrgs_SortedTable[[#This Row],[President $ Change]], $G$4:$G$227)+COUNTIF($G$4:G130, G130)-1, 0))</f>
        <v/>
      </c>
      <c r="M130" t="str">
        <f>IFERROR((IF(MemberOrgs_SortedTable[[#This Row],[Sort 1]] = 0, COUNTIF($L$4:L130, 0), "")+MAX(MemberOrgs_SortedTable[Sort 1])), "")</f>
        <v/>
      </c>
      <c r="N130" t="str">
        <f>IF(MemberOrgs_SortedTable[[#This Row],[Sort 1]]&gt;0, MemberOrgs_SortedTable[[#This Row],[Sort 1]], MemberOrgs_SortedTable[[#This Row],[Sort 2]])</f>
        <v/>
      </c>
    </row>
    <row r="131" spans="1:14" x14ac:dyDescent="0.25">
      <c r="A131" t="str">
        <f>IF(OR(MemberOrgControl!$B134 = "", MemberOrgControl!$B134 &lt;0), "", INDEX(MemberOrgsData[CFDA], MemberOrgControl!$B134))</f>
        <v/>
      </c>
      <c r="C131" t="str">
        <f>IFERROR(INDEX(AllCFDAs[All CFDAs], MATCH(0, INDEX(COUNTIF($C$3:C130, AllCFDAs[All CFDAs]),),0)), "")</f>
        <v/>
      </c>
      <c r="D131" t="str">
        <f t="array" ref="D131">IFERROR(INDEX(MemberOrgsData[FEDERALPROGRAMNAME], MATCH(1, (SelectMemberOrgs = MemberOrgsData[Auditee Name])*(MemberOrgs_SortedTable[[#This Row],[Unique CFDA]]= MemberOrgsData[CFDA]), 0)), "")</f>
        <v/>
      </c>
      <c r="E131" s="20" t="str">
        <f t="array" ref="E131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31" s="21" t="str">
        <f t="array" ref="F131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31" s="19" t="str">
        <f>IF(MemberOrgs_SortedTable[[#This Row],[Unique CFDA]] = "", "", IFERROR(MemberOrgs_SortedTable[[#This Row],[FY 2018 Total]]*MemberOrgs_SortedTable[[#This Row],[President % Change]], "No Budget Data"))</f>
        <v/>
      </c>
      <c r="H131" s="21" t="str">
        <f t="array" ref="H131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31" s="19" t="str">
        <f>IF(MemberOrgs_SortedTable[[#This Row],[Unique CFDA]] = "", "", IFERROR(MemberOrgs_SortedTable[[#This Row],[FY 2018 Total]]*MemberOrgs_SortedTable[[#This Row],[House % Change]], "No Budget Data"))</f>
        <v/>
      </c>
      <c r="K131" s="19" t="str">
        <f>IF(MemberOrgs_SortedTable[[#This Row],[Unique CFDA]] = "", "", IFERROR(MemberOrgs_SortedTable[[#This Row],[FY 2018 Total]]*MemberOrgs_SortedTable[[#This Row],[Senate Budget]], "No Budget Data"))</f>
        <v/>
      </c>
      <c r="L131" t="str">
        <f>IF(MemberOrgs_SortedTable[[#This Row],[Unique CFDA]] = "", "", IF(ISNUMBER(MemberOrgs_SortedTable[[#This Row],[President $ Change]]), RANK(MemberOrgs_SortedTable[[#This Row],[President $ Change]], $G$4:$G$227)+COUNTIF($G$4:G131, G131)-1, 0))</f>
        <v/>
      </c>
      <c r="M131" t="str">
        <f>IFERROR((IF(MemberOrgs_SortedTable[[#This Row],[Sort 1]] = 0, COUNTIF($L$4:L131, 0), "")+MAX(MemberOrgs_SortedTable[Sort 1])), "")</f>
        <v/>
      </c>
      <c r="N131" t="str">
        <f>IF(MemberOrgs_SortedTable[[#This Row],[Sort 1]]&gt;0, MemberOrgs_SortedTable[[#This Row],[Sort 1]], MemberOrgs_SortedTable[[#This Row],[Sort 2]])</f>
        <v/>
      </c>
    </row>
    <row r="132" spans="1:14" x14ac:dyDescent="0.25">
      <c r="A132" t="str">
        <f>IF(OR(MemberOrgControl!$B135 = "", MemberOrgControl!$B135 &lt;0), "", INDEX(MemberOrgsData[CFDA], MemberOrgControl!$B135))</f>
        <v/>
      </c>
      <c r="C132" t="str">
        <f>IFERROR(INDEX(AllCFDAs[All CFDAs], MATCH(0, INDEX(COUNTIF($C$3:C131, AllCFDAs[All CFDAs]),),0)), "")</f>
        <v/>
      </c>
      <c r="D132" t="str">
        <f t="array" ref="D132">IFERROR(INDEX(MemberOrgsData[FEDERALPROGRAMNAME], MATCH(1, (SelectMemberOrgs = MemberOrgsData[Auditee Name])*(MemberOrgs_SortedTable[[#This Row],[Unique CFDA]]= MemberOrgsData[CFDA]), 0)), "")</f>
        <v/>
      </c>
      <c r="E132" s="20" t="str">
        <f t="array" ref="E132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32" s="21" t="str">
        <f t="array" ref="F132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32" s="19" t="str">
        <f>IF(MemberOrgs_SortedTable[[#This Row],[Unique CFDA]] = "", "", IFERROR(MemberOrgs_SortedTable[[#This Row],[FY 2018 Total]]*MemberOrgs_SortedTable[[#This Row],[President % Change]], "No Budget Data"))</f>
        <v/>
      </c>
      <c r="H132" s="21" t="str">
        <f t="array" ref="H132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32" s="19" t="str">
        <f>IF(MemberOrgs_SortedTable[[#This Row],[Unique CFDA]] = "", "", IFERROR(MemberOrgs_SortedTable[[#This Row],[FY 2018 Total]]*MemberOrgs_SortedTable[[#This Row],[House % Change]], "No Budget Data"))</f>
        <v/>
      </c>
      <c r="K132" s="19" t="str">
        <f>IF(MemberOrgs_SortedTable[[#This Row],[Unique CFDA]] = "", "", IFERROR(MemberOrgs_SortedTable[[#This Row],[FY 2018 Total]]*MemberOrgs_SortedTable[[#This Row],[Senate Budget]], "No Budget Data"))</f>
        <v/>
      </c>
      <c r="L132" t="str">
        <f>IF(MemberOrgs_SortedTable[[#This Row],[Unique CFDA]] = "", "", IF(ISNUMBER(MemberOrgs_SortedTable[[#This Row],[President $ Change]]), RANK(MemberOrgs_SortedTable[[#This Row],[President $ Change]], $G$4:$G$227)+COUNTIF($G$4:G132, G132)-1, 0))</f>
        <v/>
      </c>
      <c r="M132" t="str">
        <f>IFERROR((IF(MemberOrgs_SortedTable[[#This Row],[Sort 1]] = 0, COUNTIF($L$4:L132, 0), "")+MAX(MemberOrgs_SortedTable[Sort 1])), "")</f>
        <v/>
      </c>
      <c r="N132" t="str">
        <f>IF(MemberOrgs_SortedTable[[#This Row],[Sort 1]]&gt;0, MemberOrgs_SortedTable[[#This Row],[Sort 1]], MemberOrgs_SortedTable[[#This Row],[Sort 2]])</f>
        <v/>
      </c>
    </row>
    <row r="133" spans="1:14" x14ac:dyDescent="0.25">
      <c r="A133" t="str">
        <f>IF(OR(MemberOrgControl!$B136 = "", MemberOrgControl!$B136 &lt;0), "", INDEX(MemberOrgsData[CFDA], MemberOrgControl!$B136))</f>
        <v/>
      </c>
      <c r="C133" t="str">
        <f>IFERROR(INDEX(AllCFDAs[All CFDAs], MATCH(0, INDEX(COUNTIF($C$3:C132, AllCFDAs[All CFDAs]),),0)), "")</f>
        <v/>
      </c>
      <c r="D133" t="str">
        <f t="array" ref="D133">IFERROR(INDEX(MemberOrgsData[FEDERALPROGRAMNAME], MATCH(1, (SelectMemberOrgs = MemberOrgsData[Auditee Name])*(MemberOrgs_SortedTable[[#This Row],[Unique CFDA]]= MemberOrgsData[CFDA]), 0)), "")</f>
        <v/>
      </c>
      <c r="E133" s="20" t="str">
        <f t="array" ref="E133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33" s="21" t="str">
        <f t="array" ref="F133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33" s="19" t="str">
        <f>IF(MemberOrgs_SortedTable[[#This Row],[Unique CFDA]] = "", "", IFERROR(MemberOrgs_SortedTable[[#This Row],[FY 2018 Total]]*MemberOrgs_SortedTable[[#This Row],[President % Change]], "No Budget Data"))</f>
        <v/>
      </c>
      <c r="H133" s="21" t="str">
        <f t="array" ref="H133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33" s="19" t="str">
        <f>IF(MemberOrgs_SortedTable[[#This Row],[Unique CFDA]] = "", "", IFERROR(MemberOrgs_SortedTable[[#This Row],[FY 2018 Total]]*MemberOrgs_SortedTable[[#This Row],[House % Change]], "No Budget Data"))</f>
        <v/>
      </c>
      <c r="K133" s="19" t="str">
        <f>IF(MemberOrgs_SortedTable[[#This Row],[Unique CFDA]] = "", "", IFERROR(MemberOrgs_SortedTable[[#This Row],[FY 2018 Total]]*MemberOrgs_SortedTable[[#This Row],[Senate Budget]], "No Budget Data"))</f>
        <v/>
      </c>
      <c r="L133" t="str">
        <f>IF(MemberOrgs_SortedTable[[#This Row],[Unique CFDA]] = "", "", IF(ISNUMBER(MemberOrgs_SortedTable[[#This Row],[President $ Change]]), RANK(MemberOrgs_SortedTable[[#This Row],[President $ Change]], $G$4:$G$227)+COUNTIF($G$4:G133, G133)-1, 0))</f>
        <v/>
      </c>
      <c r="M133" t="str">
        <f>IFERROR((IF(MemberOrgs_SortedTable[[#This Row],[Sort 1]] = 0, COUNTIF($L$4:L133, 0), "")+MAX(MemberOrgs_SortedTable[Sort 1])), "")</f>
        <v/>
      </c>
      <c r="N133" t="str">
        <f>IF(MemberOrgs_SortedTable[[#This Row],[Sort 1]]&gt;0, MemberOrgs_SortedTable[[#This Row],[Sort 1]], MemberOrgs_SortedTable[[#This Row],[Sort 2]])</f>
        <v/>
      </c>
    </row>
    <row r="134" spans="1:14" x14ac:dyDescent="0.25">
      <c r="A134" t="str">
        <f>IF(OR(MemberOrgControl!$B137 = "", MemberOrgControl!$B137 &lt;0), "", INDEX(MemberOrgsData[CFDA], MemberOrgControl!$B137))</f>
        <v/>
      </c>
      <c r="C134" t="str">
        <f>IFERROR(INDEX(AllCFDAs[All CFDAs], MATCH(0, INDEX(COUNTIF($C$3:C133, AllCFDAs[All CFDAs]),),0)), "")</f>
        <v/>
      </c>
      <c r="D134" t="str">
        <f t="array" ref="D134">IFERROR(INDEX(MemberOrgsData[FEDERALPROGRAMNAME], MATCH(1, (SelectMemberOrgs = MemberOrgsData[Auditee Name])*(MemberOrgs_SortedTable[[#This Row],[Unique CFDA]]= MemberOrgsData[CFDA]), 0)), "")</f>
        <v/>
      </c>
      <c r="E134" s="20" t="str">
        <f t="array" ref="E134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34" s="21" t="str">
        <f t="array" ref="F134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34" s="19" t="str">
        <f>IF(MemberOrgs_SortedTable[[#This Row],[Unique CFDA]] = "", "", IFERROR(MemberOrgs_SortedTable[[#This Row],[FY 2018 Total]]*MemberOrgs_SortedTable[[#This Row],[President % Change]], "No Budget Data"))</f>
        <v/>
      </c>
      <c r="H134" s="21" t="str">
        <f t="array" ref="H134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34" s="19" t="str">
        <f>IF(MemberOrgs_SortedTable[[#This Row],[Unique CFDA]] = "", "", IFERROR(MemberOrgs_SortedTable[[#This Row],[FY 2018 Total]]*MemberOrgs_SortedTable[[#This Row],[House % Change]], "No Budget Data"))</f>
        <v/>
      </c>
      <c r="K134" s="19" t="str">
        <f>IF(MemberOrgs_SortedTable[[#This Row],[Unique CFDA]] = "", "", IFERROR(MemberOrgs_SortedTable[[#This Row],[FY 2018 Total]]*MemberOrgs_SortedTable[[#This Row],[Senate Budget]], "No Budget Data"))</f>
        <v/>
      </c>
      <c r="L134" t="str">
        <f>IF(MemberOrgs_SortedTable[[#This Row],[Unique CFDA]] = "", "", IF(ISNUMBER(MemberOrgs_SortedTable[[#This Row],[President $ Change]]), RANK(MemberOrgs_SortedTable[[#This Row],[President $ Change]], $G$4:$G$227)+COUNTIF($G$4:G134, G134)-1, 0))</f>
        <v/>
      </c>
      <c r="M134" t="str">
        <f>IFERROR((IF(MemberOrgs_SortedTable[[#This Row],[Sort 1]] = 0, COUNTIF($L$4:L134, 0), "")+MAX(MemberOrgs_SortedTable[Sort 1])), "")</f>
        <v/>
      </c>
      <c r="N134" t="str">
        <f>IF(MemberOrgs_SortedTable[[#This Row],[Sort 1]]&gt;0, MemberOrgs_SortedTable[[#This Row],[Sort 1]], MemberOrgs_SortedTable[[#This Row],[Sort 2]])</f>
        <v/>
      </c>
    </row>
    <row r="135" spans="1:14" x14ac:dyDescent="0.25">
      <c r="A135" t="str">
        <f>IF(OR(MemberOrgControl!$B138 = "", MemberOrgControl!$B138 &lt;0), "", INDEX(MemberOrgsData[CFDA], MemberOrgControl!$B138))</f>
        <v/>
      </c>
      <c r="C135" t="str">
        <f>IFERROR(INDEX(AllCFDAs[All CFDAs], MATCH(0, INDEX(COUNTIF($C$3:C134, AllCFDAs[All CFDAs]),),0)), "")</f>
        <v/>
      </c>
      <c r="D135" t="str">
        <f t="array" ref="D135">IFERROR(INDEX(MemberOrgsData[FEDERALPROGRAMNAME], MATCH(1, (SelectMemberOrgs = MemberOrgsData[Auditee Name])*(MemberOrgs_SortedTable[[#This Row],[Unique CFDA]]= MemberOrgsData[CFDA]), 0)), "")</f>
        <v/>
      </c>
      <c r="E135" s="20" t="str">
        <f t="array" ref="E135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35" s="21" t="str">
        <f t="array" ref="F135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35" s="19" t="str">
        <f>IF(MemberOrgs_SortedTable[[#This Row],[Unique CFDA]] = "", "", IFERROR(MemberOrgs_SortedTable[[#This Row],[FY 2018 Total]]*MemberOrgs_SortedTable[[#This Row],[President % Change]], "No Budget Data"))</f>
        <v/>
      </c>
      <c r="H135" s="21" t="str">
        <f t="array" ref="H135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35" s="19" t="str">
        <f>IF(MemberOrgs_SortedTable[[#This Row],[Unique CFDA]] = "", "", IFERROR(MemberOrgs_SortedTable[[#This Row],[FY 2018 Total]]*MemberOrgs_SortedTable[[#This Row],[House % Change]], "No Budget Data"))</f>
        <v/>
      </c>
      <c r="K135" s="19" t="str">
        <f>IF(MemberOrgs_SortedTable[[#This Row],[Unique CFDA]] = "", "", IFERROR(MemberOrgs_SortedTable[[#This Row],[FY 2018 Total]]*MemberOrgs_SortedTable[[#This Row],[Senate Budget]], "No Budget Data"))</f>
        <v/>
      </c>
      <c r="L135" t="str">
        <f>IF(MemberOrgs_SortedTable[[#This Row],[Unique CFDA]] = "", "", IF(ISNUMBER(MemberOrgs_SortedTable[[#This Row],[President $ Change]]), RANK(MemberOrgs_SortedTable[[#This Row],[President $ Change]], $G$4:$G$227)+COUNTIF($G$4:G135, G135)-1, 0))</f>
        <v/>
      </c>
      <c r="M135" t="str">
        <f>IFERROR((IF(MemberOrgs_SortedTable[[#This Row],[Sort 1]] = 0, COUNTIF($L$4:L135, 0), "")+MAX(MemberOrgs_SortedTable[Sort 1])), "")</f>
        <v/>
      </c>
      <c r="N135" t="str">
        <f>IF(MemberOrgs_SortedTable[[#This Row],[Sort 1]]&gt;0, MemberOrgs_SortedTable[[#This Row],[Sort 1]], MemberOrgs_SortedTable[[#This Row],[Sort 2]])</f>
        <v/>
      </c>
    </row>
    <row r="136" spans="1:14" x14ac:dyDescent="0.25">
      <c r="A136" t="str">
        <f>IF(OR(MemberOrgControl!$B139 = "", MemberOrgControl!$B139 &lt;0), "", INDEX(MemberOrgsData[CFDA], MemberOrgControl!$B139))</f>
        <v/>
      </c>
      <c r="C136" t="str">
        <f>IFERROR(INDEX(AllCFDAs[All CFDAs], MATCH(0, INDEX(COUNTIF($C$3:C135, AllCFDAs[All CFDAs]),),0)), "")</f>
        <v/>
      </c>
      <c r="D136" t="str">
        <f t="array" ref="D136">IFERROR(INDEX(MemberOrgsData[FEDERALPROGRAMNAME], MATCH(1, (SelectMemberOrgs = MemberOrgsData[Auditee Name])*(MemberOrgs_SortedTable[[#This Row],[Unique CFDA]]= MemberOrgsData[CFDA]), 0)), "")</f>
        <v/>
      </c>
      <c r="E136" s="20" t="str">
        <f t="array" ref="E136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36" s="21" t="str">
        <f t="array" ref="F136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36" s="19" t="str">
        <f>IF(MemberOrgs_SortedTable[[#This Row],[Unique CFDA]] = "", "", IFERROR(MemberOrgs_SortedTable[[#This Row],[FY 2018 Total]]*MemberOrgs_SortedTable[[#This Row],[President % Change]], "No Budget Data"))</f>
        <v/>
      </c>
      <c r="H136" s="21" t="str">
        <f t="array" ref="H136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36" s="19" t="str">
        <f>IF(MemberOrgs_SortedTable[[#This Row],[Unique CFDA]] = "", "", IFERROR(MemberOrgs_SortedTable[[#This Row],[FY 2018 Total]]*MemberOrgs_SortedTable[[#This Row],[House % Change]], "No Budget Data"))</f>
        <v/>
      </c>
      <c r="K136" s="19" t="str">
        <f>IF(MemberOrgs_SortedTable[[#This Row],[Unique CFDA]] = "", "", IFERROR(MemberOrgs_SortedTable[[#This Row],[FY 2018 Total]]*MemberOrgs_SortedTable[[#This Row],[Senate Budget]], "No Budget Data"))</f>
        <v/>
      </c>
      <c r="L136" t="str">
        <f>IF(MemberOrgs_SortedTable[[#This Row],[Unique CFDA]] = "", "", IF(ISNUMBER(MemberOrgs_SortedTable[[#This Row],[President $ Change]]), RANK(MemberOrgs_SortedTable[[#This Row],[President $ Change]], $G$4:$G$227)+COUNTIF($G$4:G136, G136)-1, 0))</f>
        <v/>
      </c>
      <c r="M136" t="str">
        <f>IFERROR((IF(MemberOrgs_SortedTable[[#This Row],[Sort 1]] = 0, COUNTIF($L$4:L136, 0), "")+MAX(MemberOrgs_SortedTable[Sort 1])), "")</f>
        <v/>
      </c>
      <c r="N136" t="str">
        <f>IF(MemberOrgs_SortedTable[[#This Row],[Sort 1]]&gt;0, MemberOrgs_SortedTable[[#This Row],[Sort 1]], MemberOrgs_SortedTable[[#This Row],[Sort 2]])</f>
        <v/>
      </c>
    </row>
    <row r="137" spans="1:14" x14ac:dyDescent="0.25">
      <c r="A137" t="str">
        <f>IF(OR(MemberOrgControl!$B140 = "", MemberOrgControl!$B140 &lt;0), "", INDEX(MemberOrgsData[CFDA], MemberOrgControl!$B140))</f>
        <v/>
      </c>
      <c r="C137" t="str">
        <f>IFERROR(INDEX(AllCFDAs[All CFDAs], MATCH(0, INDEX(COUNTIF($C$3:C136, AllCFDAs[All CFDAs]),),0)), "")</f>
        <v/>
      </c>
      <c r="D137" t="str">
        <f t="array" ref="D137">IFERROR(INDEX(MemberOrgsData[FEDERALPROGRAMNAME], MATCH(1, (SelectMemberOrgs = MemberOrgsData[Auditee Name])*(MemberOrgs_SortedTable[[#This Row],[Unique CFDA]]= MemberOrgsData[CFDA]), 0)), "")</f>
        <v/>
      </c>
      <c r="E137" s="20" t="str">
        <f t="array" ref="E137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37" s="21" t="str">
        <f t="array" ref="F137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37" s="19" t="str">
        <f>IF(MemberOrgs_SortedTable[[#This Row],[Unique CFDA]] = "", "", IFERROR(MemberOrgs_SortedTable[[#This Row],[FY 2018 Total]]*MemberOrgs_SortedTable[[#This Row],[President % Change]], "No Budget Data"))</f>
        <v/>
      </c>
      <c r="H137" s="21" t="str">
        <f t="array" ref="H137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37" s="19" t="str">
        <f>IF(MemberOrgs_SortedTable[[#This Row],[Unique CFDA]] = "", "", IFERROR(MemberOrgs_SortedTable[[#This Row],[FY 2018 Total]]*MemberOrgs_SortedTable[[#This Row],[House % Change]], "No Budget Data"))</f>
        <v/>
      </c>
      <c r="K137" s="19" t="str">
        <f>IF(MemberOrgs_SortedTable[[#This Row],[Unique CFDA]] = "", "", IFERROR(MemberOrgs_SortedTable[[#This Row],[FY 2018 Total]]*MemberOrgs_SortedTable[[#This Row],[Senate Budget]], "No Budget Data"))</f>
        <v/>
      </c>
      <c r="L137" t="str">
        <f>IF(MemberOrgs_SortedTable[[#This Row],[Unique CFDA]] = "", "", IF(ISNUMBER(MemberOrgs_SortedTable[[#This Row],[President $ Change]]), RANK(MemberOrgs_SortedTable[[#This Row],[President $ Change]], $G$4:$G$227)+COUNTIF($G$4:G137, G137)-1, 0))</f>
        <v/>
      </c>
      <c r="M137" t="str">
        <f>IFERROR((IF(MemberOrgs_SortedTable[[#This Row],[Sort 1]] = 0, COUNTIF($L$4:L137, 0), "")+MAX(MemberOrgs_SortedTable[Sort 1])), "")</f>
        <v/>
      </c>
      <c r="N137" t="str">
        <f>IF(MemberOrgs_SortedTable[[#This Row],[Sort 1]]&gt;0, MemberOrgs_SortedTable[[#This Row],[Sort 1]], MemberOrgs_SortedTable[[#This Row],[Sort 2]])</f>
        <v/>
      </c>
    </row>
    <row r="138" spans="1:14" x14ac:dyDescent="0.25">
      <c r="A138" t="str">
        <f>IF(OR(MemberOrgControl!$B141 = "", MemberOrgControl!$B141 &lt;0), "", INDEX(MemberOrgsData[CFDA], MemberOrgControl!$B141))</f>
        <v/>
      </c>
      <c r="C138" t="str">
        <f>IFERROR(INDEX(AllCFDAs[All CFDAs], MATCH(0, INDEX(COUNTIF($C$3:C137, AllCFDAs[All CFDAs]),),0)), "")</f>
        <v/>
      </c>
      <c r="D138" t="str">
        <f t="array" ref="D138">IFERROR(INDEX(MemberOrgsData[FEDERALPROGRAMNAME], MATCH(1, (SelectMemberOrgs = MemberOrgsData[Auditee Name])*(MemberOrgs_SortedTable[[#This Row],[Unique CFDA]]= MemberOrgsData[CFDA]), 0)), "")</f>
        <v/>
      </c>
      <c r="E138" s="20" t="str">
        <f t="array" ref="E138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38" s="21" t="str">
        <f t="array" ref="F138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38" s="19" t="str">
        <f>IF(MemberOrgs_SortedTable[[#This Row],[Unique CFDA]] = "", "", IFERROR(MemberOrgs_SortedTable[[#This Row],[FY 2018 Total]]*MemberOrgs_SortedTable[[#This Row],[President % Change]], "No Budget Data"))</f>
        <v/>
      </c>
      <c r="H138" s="21" t="str">
        <f t="array" ref="H138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38" s="19" t="str">
        <f>IF(MemberOrgs_SortedTable[[#This Row],[Unique CFDA]] = "", "", IFERROR(MemberOrgs_SortedTable[[#This Row],[FY 2018 Total]]*MemberOrgs_SortedTable[[#This Row],[House % Change]], "No Budget Data"))</f>
        <v/>
      </c>
      <c r="K138" s="19" t="str">
        <f>IF(MemberOrgs_SortedTable[[#This Row],[Unique CFDA]] = "", "", IFERROR(MemberOrgs_SortedTable[[#This Row],[FY 2018 Total]]*MemberOrgs_SortedTable[[#This Row],[Senate Budget]], "No Budget Data"))</f>
        <v/>
      </c>
      <c r="L138" t="str">
        <f>IF(MemberOrgs_SortedTable[[#This Row],[Unique CFDA]] = "", "", IF(ISNUMBER(MemberOrgs_SortedTable[[#This Row],[President $ Change]]), RANK(MemberOrgs_SortedTable[[#This Row],[President $ Change]], $G$4:$G$227)+COUNTIF($G$4:G138, G138)-1, 0))</f>
        <v/>
      </c>
      <c r="M138" t="str">
        <f>IFERROR((IF(MemberOrgs_SortedTable[[#This Row],[Sort 1]] = 0, COUNTIF($L$4:L138, 0), "")+MAX(MemberOrgs_SortedTable[Sort 1])), "")</f>
        <v/>
      </c>
      <c r="N138" t="str">
        <f>IF(MemberOrgs_SortedTable[[#This Row],[Sort 1]]&gt;0, MemberOrgs_SortedTable[[#This Row],[Sort 1]], MemberOrgs_SortedTable[[#This Row],[Sort 2]])</f>
        <v/>
      </c>
    </row>
    <row r="139" spans="1:14" x14ac:dyDescent="0.25">
      <c r="A139" t="str">
        <f>IF(OR(MemberOrgControl!$B142 = "", MemberOrgControl!$B142 &lt;0), "", INDEX(MemberOrgsData[CFDA], MemberOrgControl!$B142))</f>
        <v/>
      </c>
      <c r="C139" t="str">
        <f>IFERROR(INDEX(AllCFDAs[All CFDAs], MATCH(0, INDEX(COUNTIF($C$3:C138, AllCFDAs[All CFDAs]),),0)), "")</f>
        <v/>
      </c>
      <c r="D139" t="str">
        <f t="array" ref="D139">IFERROR(INDEX(MemberOrgsData[FEDERALPROGRAMNAME], MATCH(1, (SelectMemberOrgs = MemberOrgsData[Auditee Name])*(MemberOrgs_SortedTable[[#This Row],[Unique CFDA]]= MemberOrgsData[CFDA]), 0)), "")</f>
        <v/>
      </c>
      <c r="E139" s="20" t="str">
        <f t="array" ref="E139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39" s="21" t="str">
        <f t="array" ref="F139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39" s="19" t="str">
        <f>IF(MemberOrgs_SortedTable[[#This Row],[Unique CFDA]] = "", "", IFERROR(MemberOrgs_SortedTable[[#This Row],[FY 2018 Total]]*MemberOrgs_SortedTable[[#This Row],[President % Change]], "No Budget Data"))</f>
        <v/>
      </c>
      <c r="H139" s="21" t="str">
        <f t="array" ref="H139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39" s="19" t="str">
        <f>IF(MemberOrgs_SortedTable[[#This Row],[Unique CFDA]] = "", "", IFERROR(MemberOrgs_SortedTable[[#This Row],[FY 2018 Total]]*MemberOrgs_SortedTable[[#This Row],[House % Change]], "No Budget Data"))</f>
        <v/>
      </c>
      <c r="K139" s="19" t="str">
        <f>IF(MemberOrgs_SortedTable[[#This Row],[Unique CFDA]] = "", "", IFERROR(MemberOrgs_SortedTable[[#This Row],[FY 2018 Total]]*MemberOrgs_SortedTable[[#This Row],[Senate Budget]], "No Budget Data"))</f>
        <v/>
      </c>
      <c r="L139" t="str">
        <f>IF(MemberOrgs_SortedTable[[#This Row],[Unique CFDA]] = "", "", IF(ISNUMBER(MemberOrgs_SortedTable[[#This Row],[President $ Change]]), RANK(MemberOrgs_SortedTable[[#This Row],[President $ Change]], $G$4:$G$227)+COUNTIF($G$4:G139, G139)-1, 0))</f>
        <v/>
      </c>
      <c r="M139" t="str">
        <f>IFERROR((IF(MemberOrgs_SortedTable[[#This Row],[Sort 1]] = 0, COUNTIF($L$4:L139, 0), "")+MAX(MemberOrgs_SortedTable[Sort 1])), "")</f>
        <v/>
      </c>
      <c r="N139" t="str">
        <f>IF(MemberOrgs_SortedTable[[#This Row],[Sort 1]]&gt;0, MemberOrgs_SortedTable[[#This Row],[Sort 1]], MemberOrgs_SortedTable[[#This Row],[Sort 2]])</f>
        <v/>
      </c>
    </row>
    <row r="140" spans="1:14" x14ac:dyDescent="0.25">
      <c r="A140" t="str">
        <f>IF(OR(MemberOrgControl!$B143 = "", MemberOrgControl!$B143 &lt;0), "", INDEX(MemberOrgsData[CFDA], MemberOrgControl!$B143))</f>
        <v/>
      </c>
      <c r="C140" t="str">
        <f>IFERROR(INDEX(AllCFDAs[All CFDAs], MATCH(0, INDEX(COUNTIF($C$3:C139, AllCFDAs[All CFDAs]),),0)), "")</f>
        <v/>
      </c>
      <c r="D140" t="str">
        <f t="array" ref="D140">IFERROR(INDEX(MemberOrgsData[FEDERALPROGRAMNAME], MATCH(1, (SelectMemberOrgs = MemberOrgsData[Auditee Name])*(MemberOrgs_SortedTable[[#This Row],[Unique CFDA]]= MemberOrgsData[CFDA]), 0)), "")</f>
        <v/>
      </c>
      <c r="E140" s="20" t="str">
        <f t="array" ref="E140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40" s="21" t="str">
        <f t="array" ref="F140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40" s="19" t="str">
        <f>IF(MemberOrgs_SortedTable[[#This Row],[Unique CFDA]] = "", "", IFERROR(MemberOrgs_SortedTable[[#This Row],[FY 2018 Total]]*MemberOrgs_SortedTable[[#This Row],[President % Change]], "No Budget Data"))</f>
        <v/>
      </c>
      <c r="H140" s="21" t="str">
        <f t="array" ref="H140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40" s="19" t="str">
        <f>IF(MemberOrgs_SortedTable[[#This Row],[Unique CFDA]] = "", "", IFERROR(MemberOrgs_SortedTable[[#This Row],[FY 2018 Total]]*MemberOrgs_SortedTable[[#This Row],[House % Change]], "No Budget Data"))</f>
        <v/>
      </c>
      <c r="K140" s="19" t="str">
        <f>IF(MemberOrgs_SortedTable[[#This Row],[Unique CFDA]] = "", "", IFERROR(MemberOrgs_SortedTable[[#This Row],[FY 2018 Total]]*MemberOrgs_SortedTable[[#This Row],[Senate Budget]], "No Budget Data"))</f>
        <v/>
      </c>
      <c r="L140" t="str">
        <f>IF(MemberOrgs_SortedTable[[#This Row],[Unique CFDA]] = "", "", IF(ISNUMBER(MemberOrgs_SortedTable[[#This Row],[President $ Change]]), RANK(MemberOrgs_SortedTable[[#This Row],[President $ Change]], $G$4:$G$227)+COUNTIF($G$4:G140, G140)-1, 0))</f>
        <v/>
      </c>
      <c r="M140" t="str">
        <f>IFERROR((IF(MemberOrgs_SortedTable[[#This Row],[Sort 1]] = 0, COUNTIF($L$4:L140, 0), "")+MAX(MemberOrgs_SortedTable[Sort 1])), "")</f>
        <v/>
      </c>
      <c r="N140" t="str">
        <f>IF(MemberOrgs_SortedTable[[#This Row],[Sort 1]]&gt;0, MemberOrgs_SortedTable[[#This Row],[Sort 1]], MemberOrgs_SortedTable[[#This Row],[Sort 2]])</f>
        <v/>
      </c>
    </row>
    <row r="141" spans="1:14" x14ac:dyDescent="0.25">
      <c r="A141" t="str">
        <f>IF(OR(MemberOrgControl!$B144 = "", MemberOrgControl!$B144 &lt;0), "", INDEX(MemberOrgsData[CFDA], MemberOrgControl!$B144))</f>
        <v/>
      </c>
      <c r="C141" t="str">
        <f>IFERROR(INDEX(AllCFDAs[All CFDAs], MATCH(0, INDEX(COUNTIF($C$3:C140, AllCFDAs[All CFDAs]),),0)), "")</f>
        <v/>
      </c>
      <c r="D141" t="str">
        <f t="array" ref="D141">IFERROR(INDEX(MemberOrgsData[FEDERALPROGRAMNAME], MATCH(1, (SelectMemberOrgs = MemberOrgsData[Auditee Name])*(MemberOrgs_SortedTable[[#This Row],[Unique CFDA]]= MemberOrgsData[CFDA]), 0)), "")</f>
        <v/>
      </c>
      <c r="E141" s="20" t="str">
        <f t="array" ref="E141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41" s="21" t="str">
        <f t="array" ref="F141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41" s="19" t="str">
        <f>IF(MemberOrgs_SortedTable[[#This Row],[Unique CFDA]] = "", "", IFERROR(MemberOrgs_SortedTable[[#This Row],[FY 2018 Total]]*MemberOrgs_SortedTable[[#This Row],[President % Change]], "No Budget Data"))</f>
        <v/>
      </c>
      <c r="H141" s="21" t="str">
        <f t="array" ref="H141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41" s="19" t="str">
        <f>IF(MemberOrgs_SortedTable[[#This Row],[Unique CFDA]] = "", "", IFERROR(MemberOrgs_SortedTable[[#This Row],[FY 2018 Total]]*MemberOrgs_SortedTable[[#This Row],[House % Change]], "No Budget Data"))</f>
        <v/>
      </c>
      <c r="K141" s="19" t="str">
        <f>IF(MemberOrgs_SortedTable[[#This Row],[Unique CFDA]] = "", "", IFERROR(MemberOrgs_SortedTable[[#This Row],[FY 2018 Total]]*MemberOrgs_SortedTable[[#This Row],[Senate Budget]], "No Budget Data"))</f>
        <v/>
      </c>
      <c r="L141" t="str">
        <f>IF(MemberOrgs_SortedTable[[#This Row],[Unique CFDA]] = "", "", IF(ISNUMBER(MemberOrgs_SortedTable[[#This Row],[President $ Change]]), RANK(MemberOrgs_SortedTable[[#This Row],[President $ Change]], $G$4:$G$227)+COUNTIF($G$4:G141, G141)-1, 0))</f>
        <v/>
      </c>
      <c r="M141" t="str">
        <f>IFERROR((IF(MemberOrgs_SortedTable[[#This Row],[Sort 1]] = 0, COUNTIF($L$4:L141, 0), "")+MAX(MemberOrgs_SortedTable[Sort 1])), "")</f>
        <v/>
      </c>
      <c r="N141" t="str">
        <f>IF(MemberOrgs_SortedTable[[#This Row],[Sort 1]]&gt;0, MemberOrgs_SortedTable[[#This Row],[Sort 1]], MemberOrgs_SortedTable[[#This Row],[Sort 2]])</f>
        <v/>
      </c>
    </row>
    <row r="142" spans="1:14" x14ac:dyDescent="0.25">
      <c r="A142" t="str">
        <f>IF(OR(MemberOrgControl!$B145 = "", MemberOrgControl!$B145 &lt;0), "", INDEX(MemberOrgsData[CFDA], MemberOrgControl!$B145))</f>
        <v/>
      </c>
      <c r="C142" t="str">
        <f>IFERROR(INDEX(AllCFDAs[All CFDAs], MATCH(0, INDEX(COUNTIF($C$3:C141, AllCFDAs[All CFDAs]),),0)), "")</f>
        <v/>
      </c>
      <c r="D142" t="str">
        <f t="array" ref="D142">IFERROR(INDEX(MemberOrgsData[FEDERALPROGRAMNAME], MATCH(1, (SelectMemberOrgs = MemberOrgsData[Auditee Name])*(MemberOrgs_SortedTable[[#This Row],[Unique CFDA]]= MemberOrgsData[CFDA]), 0)), "")</f>
        <v/>
      </c>
      <c r="E142" s="20" t="str">
        <f t="array" ref="E142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42" s="21" t="str">
        <f t="array" ref="F142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42" s="19" t="str">
        <f>IF(MemberOrgs_SortedTable[[#This Row],[Unique CFDA]] = "", "", IFERROR(MemberOrgs_SortedTable[[#This Row],[FY 2018 Total]]*MemberOrgs_SortedTable[[#This Row],[President % Change]], "No Budget Data"))</f>
        <v/>
      </c>
      <c r="H142" s="21" t="str">
        <f t="array" ref="H142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42" s="19" t="str">
        <f>IF(MemberOrgs_SortedTable[[#This Row],[Unique CFDA]] = "", "", IFERROR(MemberOrgs_SortedTable[[#This Row],[FY 2018 Total]]*MemberOrgs_SortedTable[[#This Row],[House % Change]], "No Budget Data"))</f>
        <v/>
      </c>
      <c r="K142" s="19" t="str">
        <f>IF(MemberOrgs_SortedTable[[#This Row],[Unique CFDA]] = "", "", IFERROR(MemberOrgs_SortedTable[[#This Row],[FY 2018 Total]]*MemberOrgs_SortedTable[[#This Row],[Senate Budget]], "No Budget Data"))</f>
        <v/>
      </c>
      <c r="L142" t="str">
        <f>IF(MemberOrgs_SortedTable[[#This Row],[Unique CFDA]] = "", "", IF(ISNUMBER(MemberOrgs_SortedTable[[#This Row],[President $ Change]]), RANK(MemberOrgs_SortedTable[[#This Row],[President $ Change]], $G$4:$G$227)+COUNTIF($G$4:G142, G142)-1, 0))</f>
        <v/>
      </c>
      <c r="M142" t="str">
        <f>IFERROR((IF(MemberOrgs_SortedTable[[#This Row],[Sort 1]] = 0, COUNTIF($L$4:L142, 0), "")+MAX(MemberOrgs_SortedTable[Sort 1])), "")</f>
        <v/>
      </c>
      <c r="N142" t="str">
        <f>IF(MemberOrgs_SortedTable[[#This Row],[Sort 1]]&gt;0, MemberOrgs_SortedTable[[#This Row],[Sort 1]], MemberOrgs_SortedTable[[#This Row],[Sort 2]])</f>
        <v/>
      </c>
    </row>
    <row r="143" spans="1:14" x14ac:dyDescent="0.25">
      <c r="A143" t="str">
        <f>IF(OR(MemberOrgControl!$B146 = "", MemberOrgControl!$B146 &lt;0), "", INDEX(MemberOrgsData[CFDA], MemberOrgControl!$B146))</f>
        <v/>
      </c>
      <c r="C143" t="str">
        <f>IFERROR(INDEX(AllCFDAs[All CFDAs], MATCH(0, INDEX(COUNTIF($C$3:C142, AllCFDAs[All CFDAs]),),0)), "")</f>
        <v/>
      </c>
      <c r="D143" t="str">
        <f t="array" ref="D143">IFERROR(INDEX(MemberOrgsData[FEDERALPROGRAMNAME], MATCH(1, (SelectMemberOrgs = MemberOrgsData[Auditee Name])*(MemberOrgs_SortedTable[[#This Row],[Unique CFDA]]= MemberOrgsData[CFDA]), 0)), "")</f>
        <v/>
      </c>
      <c r="E143" s="20" t="str">
        <f t="array" ref="E143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43" s="21" t="str">
        <f t="array" ref="F143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43" s="19" t="str">
        <f>IF(MemberOrgs_SortedTable[[#This Row],[Unique CFDA]] = "", "", IFERROR(MemberOrgs_SortedTable[[#This Row],[FY 2018 Total]]*MemberOrgs_SortedTable[[#This Row],[President % Change]], "No Budget Data"))</f>
        <v/>
      </c>
      <c r="H143" s="21" t="str">
        <f t="array" ref="H143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43" s="19" t="str">
        <f>IF(MemberOrgs_SortedTable[[#This Row],[Unique CFDA]] = "", "", IFERROR(MemberOrgs_SortedTable[[#This Row],[FY 2018 Total]]*MemberOrgs_SortedTable[[#This Row],[House % Change]], "No Budget Data"))</f>
        <v/>
      </c>
      <c r="K143" s="19" t="str">
        <f>IF(MemberOrgs_SortedTable[[#This Row],[Unique CFDA]] = "", "", IFERROR(MemberOrgs_SortedTable[[#This Row],[FY 2018 Total]]*MemberOrgs_SortedTable[[#This Row],[Senate Budget]], "No Budget Data"))</f>
        <v/>
      </c>
      <c r="L143" t="str">
        <f>IF(MemberOrgs_SortedTable[[#This Row],[Unique CFDA]] = "", "", IF(ISNUMBER(MemberOrgs_SortedTable[[#This Row],[President $ Change]]), RANK(MemberOrgs_SortedTable[[#This Row],[President $ Change]], $G$4:$G$227)+COUNTIF($G$4:G143, G143)-1, 0))</f>
        <v/>
      </c>
      <c r="M143" t="str">
        <f>IFERROR((IF(MemberOrgs_SortedTable[[#This Row],[Sort 1]] = 0, COUNTIF($L$4:L143, 0), "")+MAX(MemberOrgs_SortedTable[Sort 1])), "")</f>
        <v/>
      </c>
      <c r="N143" t="str">
        <f>IF(MemberOrgs_SortedTable[[#This Row],[Sort 1]]&gt;0, MemberOrgs_SortedTable[[#This Row],[Sort 1]], MemberOrgs_SortedTable[[#This Row],[Sort 2]])</f>
        <v/>
      </c>
    </row>
    <row r="144" spans="1:14" x14ac:dyDescent="0.25">
      <c r="A144" t="str">
        <f>IF(OR(MemberOrgControl!$B147 = "", MemberOrgControl!$B147 &lt;0), "", INDEX(MemberOrgsData[CFDA], MemberOrgControl!$B147))</f>
        <v/>
      </c>
      <c r="C144" t="str">
        <f>IFERROR(INDEX(AllCFDAs[All CFDAs], MATCH(0, INDEX(COUNTIF($C$3:C143, AllCFDAs[All CFDAs]),),0)), "")</f>
        <v/>
      </c>
      <c r="D144" t="str">
        <f t="array" ref="D144">IFERROR(INDEX(MemberOrgsData[FEDERALPROGRAMNAME], MATCH(1, (SelectMemberOrgs = MemberOrgsData[Auditee Name])*(MemberOrgs_SortedTable[[#This Row],[Unique CFDA]]= MemberOrgsData[CFDA]), 0)), "")</f>
        <v/>
      </c>
      <c r="E144" s="20" t="str">
        <f t="array" ref="E144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44" s="21" t="str">
        <f t="array" ref="F144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44" s="19" t="str">
        <f>IF(MemberOrgs_SortedTable[[#This Row],[Unique CFDA]] = "", "", IFERROR(MemberOrgs_SortedTable[[#This Row],[FY 2018 Total]]*MemberOrgs_SortedTable[[#This Row],[President % Change]], "No Budget Data"))</f>
        <v/>
      </c>
      <c r="H144" s="21" t="str">
        <f t="array" ref="H144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44" s="19" t="str">
        <f>IF(MemberOrgs_SortedTable[[#This Row],[Unique CFDA]] = "", "", IFERROR(MemberOrgs_SortedTable[[#This Row],[FY 2018 Total]]*MemberOrgs_SortedTable[[#This Row],[House % Change]], "No Budget Data"))</f>
        <v/>
      </c>
      <c r="K144" s="19" t="str">
        <f>IF(MemberOrgs_SortedTable[[#This Row],[Unique CFDA]] = "", "", IFERROR(MemberOrgs_SortedTable[[#This Row],[FY 2018 Total]]*MemberOrgs_SortedTable[[#This Row],[Senate Budget]], "No Budget Data"))</f>
        <v/>
      </c>
      <c r="L144" t="str">
        <f>IF(MemberOrgs_SortedTable[[#This Row],[Unique CFDA]] = "", "", IF(ISNUMBER(MemberOrgs_SortedTable[[#This Row],[President $ Change]]), RANK(MemberOrgs_SortedTable[[#This Row],[President $ Change]], $G$4:$G$227)+COUNTIF($G$4:G144, G144)-1, 0))</f>
        <v/>
      </c>
      <c r="M144" t="str">
        <f>IFERROR((IF(MemberOrgs_SortedTable[[#This Row],[Sort 1]] = 0, COUNTIF($L$4:L144, 0), "")+MAX(MemberOrgs_SortedTable[Sort 1])), "")</f>
        <v/>
      </c>
      <c r="N144" t="str">
        <f>IF(MemberOrgs_SortedTable[[#This Row],[Sort 1]]&gt;0, MemberOrgs_SortedTable[[#This Row],[Sort 1]], MemberOrgs_SortedTable[[#This Row],[Sort 2]])</f>
        <v/>
      </c>
    </row>
    <row r="145" spans="1:14" x14ac:dyDescent="0.25">
      <c r="A145" t="str">
        <f>IF(OR(MemberOrgControl!$B148 = "", MemberOrgControl!$B148 &lt;0), "", INDEX(MemberOrgsData[CFDA], MemberOrgControl!$B148))</f>
        <v/>
      </c>
      <c r="C145" t="str">
        <f>IFERROR(INDEX(AllCFDAs[All CFDAs], MATCH(0, INDEX(COUNTIF($C$3:C144, AllCFDAs[All CFDAs]),),0)), "")</f>
        <v/>
      </c>
      <c r="D145" t="str">
        <f t="array" ref="D145">IFERROR(INDEX(MemberOrgsData[FEDERALPROGRAMNAME], MATCH(1, (SelectMemberOrgs = MemberOrgsData[Auditee Name])*(MemberOrgs_SortedTable[[#This Row],[Unique CFDA]]= MemberOrgsData[CFDA]), 0)), "")</f>
        <v/>
      </c>
      <c r="E145" s="20" t="str">
        <f t="array" ref="E145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45" s="21" t="str">
        <f t="array" ref="F145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45" s="19" t="str">
        <f>IF(MemberOrgs_SortedTable[[#This Row],[Unique CFDA]] = "", "", IFERROR(MemberOrgs_SortedTable[[#This Row],[FY 2018 Total]]*MemberOrgs_SortedTable[[#This Row],[President % Change]], "No Budget Data"))</f>
        <v/>
      </c>
      <c r="H145" s="21" t="str">
        <f t="array" ref="H145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45" s="19" t="str">
        <f>IF(MemberOrgs_SortedTable[[#This Row],[Unique CFDA]] = "", "", IFERROR(MemberOrgs_SortedTable[[#This Row],[FY 2018 Total]]*MemberOrgs_SortedTable[[#This Row],[House % Change]], "No Budget Data"))</f>
        <v/>
      </c>
      <c r="K145" s="19" t="str">
        <f>IF(MemberOrgs_SortedTable[[#This Row],[Unique CFDA]] = "", "", IFERROR(MemberOrgs_SortedTable[[#This Row],[FY 2018 Total]]*MemberOrgs_SortedTable[[#This Row],[Senate Budget]], "No Budget Data"))</f>
        <v/>
      </c>
      <c r="L145" t="str">
        <f>IF(MemberOrgs_SortedTable[[#This Row],[Unique CFDA]] = "", "", IF(ISNUMBER(MemberOrgs_SortedTable[[#This Row],[President $ Change]]), RANK(MemberOrgs_SortedTable[[#This Row],[President $ Change]], $G$4:$G$227)+COUNTIF($G$4:G145, G145)-1, 0))</f>
        <v/>
      </c>
      <c r="M145" t="str">
        <f>IFERROR((IF(MemberOrgs_SortedTable[[#This Row],[Sort 1]] = 0, COUNTIF($L$4:L145, 0), "")+MAX(MemberOrgs_SortedTable[Sort 1])), "")</f>
        <v/>
      </c>
      <c r="N145" t="str">
        <f>IF(MemberOrgs_SortedTable[[#This Row],[Sort 1]]&gt;0, MemberOrgs_SortedTable[[#This Row],[Sort 1]], MemberOrgs_SortedTable[[#This Row],[Sort 2]])</f>
        <v/>
      </c>
    </row>
    <row r="146" spans="1:14" x14ac:dyDescent="0.25">
      <c r="A146" t="str">
        <f>IF(OR(MemberOrgControl!$B149 = "", MemberOrgControl!$B149 &lt;0), "", INDEX(MemberOrgsData[CFDA], MemberOrgControl!$B149))</f>
        <v/>
      </c>
      <c r="C146" t="str">
        <f>IFERROR(INDEX(AllCFDAs[All CFDAs], MATCH(0, INDEX(COUNTIF($C$3:C145, AllCFDAs[All CFDAs]),),0)), "")</f>
        <v/>
      </c>
      <c r="D146" t="str">
        <f t="array" ref="D146">IFERROR(INDEX(MemberOrgsData[FEDERALPROGRAMNAME], MATCH(1, (SelectMemberOrgs = MemberOrgsData[Auditee Name])*(MemberOrgs_SortedTable[[#This Row],[Unique CFDA]]= MemberOrgsData[CFDA]), 0)), "")</f>
        <v/>
      </c>
      <c r="E146" s="20" t="str">
        <f t="array" ref="E146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46" s="21" t="str">
        <f t="array" ref="F146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46" s="19" t="str">
        <f>IF(MemberOrgs_SortedTable[[#This Row],[Unique CFDA]] = "", "", IFERROR(MemberOrgs_SortedTable[[#This Row],[FY 2018 Total]]*MemberOrgs_SortedTable[[#This Row],[President % Change]], "No Budget Data"))</f>
        <v/>
      </c>
      <c r="H146" s="21" t="str">
        <f t="array" ref="H146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46" s="19" t="str">
        <f>IF(MemberOrgs_SortedTable[[#This Row],[Unique CFDA]] = "", "", IFERROR(MemberOrgs_SortedTable[[#This Row],[FY 2018 Total]]*MemberOrgs_SortedTable[[#This Row],[House % Change]], "No Budget Data"))</f>
        <v/>
      </c>
      <c r="K146" s="19" t="str">
        <f>IF(MemberOrgs_SortedTable[[#This Row],[Unique CFDA]] = "", "", IFERROR(MemberOrgs_SortedTable[[#This Row],[FY 2018 Total]]*MemberOrgs_SortedTable[[#This Row],[Senate Budget]], "No Budget Data"))</f>
        <v/>
      </c>
      <c r="L146" t="str">
        <f>IF(MemberOrgs_SortedTable[[#This Row],[Unique CFDA]] = "", "", IF(ISNUMBER(MemberOrgs_SortedTable[[#This Row],[President $ Change]]), RANK(MemberOrgs_SortedTable[[#This Row],[President $ Change]], $G$4:$G$227)+COUNTIF($G$4:G146, G146)-1, 0))</f>
        <v/>
      </c>
      <c r="M146" t="str">
        <f>IFERROR((IF(MemberOrgs_SortedTable[[#This Row],[Sort 1]] = 0, COUNTIF($L$4:L146, 0), "")+MAX(MemberOrgs_SortedTable[Sort 1])), "")</f>
        <v/>
      </c>
      <c r="N146" t="str">
        <f>IF(MemberOrgs_SortedTable[[#This Row],[Sort 1]]&gt;0, MemberOrgs_SortedTable[[#This Row],[Sort 1]], MemberOrgs_SortedTable[[#This Row],[Sort 2]])</f>
        <v/>
      </c>
    </row>
    <row r="147" spans="1:14" x14ac:dyDescent="0.25">
      <c r="A147" t="str">
        <f>IF(OR(MemberOrgControl!$B150 = "", MemberOrgControl!$B150 &lt;0), "", INDEX(MemberOrgsData[CFDA], MemberOrgControl!$B150))</f>
        <v/>
      </c>
      <c r="C147" t="str">
        <f>IFERROR(INDEX(AllCFDAs[All CFDAs], MATCH(0, INDEX(COUNTIF($C$3:C146, AllCFDAs[All CFDAs]),),0)), "")</f>
        <v/>
      </c>
      <c r="D147" t="str">
        <f t="array" ref="D147">IFERROR(INDEX(MemberOrgsData[FEDERALPROGRAMNAME], MATCH(1, (SelectMemberOrgs = MemberOrgsData[Auditee Name])*(MemberOrgs_SortedTable[[#This Row],[Unique CFDA]]= MemberOrgsData[CFDA]), 0)), "")</f>
        <v/>
      </c>
      <c r="E147" s="20" t="str">
        <f t="array" ref="E147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47" s="21" t="str">
        <f t="array" ref="F147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47" s="19" t="str">
        <f>IF(MemberOrgs_SortedTable[[#This Row],[Unique CFDA]] = "", "", IFERROR(MemberOrgs_SortedTable[[#This Row],[FY 2018 Total]]*MemberOrgs_SortedTable[[#This Row],[President % Change]], "No Budget Data"))</f>
        <v/>
      </c>
      <c r="H147" s="21" t="str">
        <f t="array" ref="H147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47" s="19" t="str">
        <f>IF(MemberOrgs_SortedTable[[#This Row],[Unique CFDA]] = "", "", IFERROR(MemberOrgs_SortedTable[[#This Row],[FY 2018 Total]]*MemberOrgs_SortedTable[[#This Row],[House % Change]], "No Budget Data"))</f>
        <v/>
      </c>
      <c r="K147" s="19" t="str">
        <f>IF(MemberOrgs_SortedTable[[#This Row],[Unique CFDA]] = "", "", IFERROR(MemberOrgs_SortedTable[[#This Row],[FY 2018 Total]]*MemberOrgs_SortedTable[[#This Row],[Senate Budget]], "No Budget Data"))</f>
        <v/>
      </c>
      <c r="L147" t="str">
        <f>IF(MemberOrgs_SortedTable[[#This Row],[Unique CFDA]] = "", "", IF(ISNUMBER(MemberOrgs_SortedTable[[#This Row],[President $ Change]]), RANK(MemberOrgs_SortedTable[[#This Row],[President $ Change]], $G$4:$G$227)+COUNTIF($G$4:G147, G147)-1, 0))</f>
        <v/>
      </c>
      <c r="M147" t="str">
        <f>IFERROR((IF(MemberOrgs_SortedTable[[#This Row],[Sort 1]] = 0, COUNTIF($L$4:L147, 0), "")+MAX(MemberOrgs_SortedTable[Sort 1])), "")</f>
        <v/>
      </c>
      <c r="N147" t="str">
        <f>IF(MemberOrgs_SortedTable[[#This Row],[Sort 1]]&gt;0, MemberOrgs_SortedTable[[#This Row],[Sort 1]], MemberOrgs_SortedTable[[#This Row],[Sort 2]])</f>
        <v/>
      </c>
    </row>
    <row r="148" spans="1:14" x14ac:dyDescent="0.25">
      <c r="A148" t="str">
        <f>IF(OR(MemberOrgControl!$B151 = "", MemberOrgControl!$B151 &lt;0), "", INDEX(MemberOrgsData[CFDA], MemberOrgControl!$B151))</f>
        <v/>
      </c>
      <c r="C148" t="str">
        <f>IFERROR(INDEX(AllCFDAs[All CFDAs], MATCH(0, INDEX(COUNTIF($C$3:C147, AllCFDAs[All CFDAs]),),0)), "")</f>
        <v/>
      </c>
      <c r="D148" t="str">
        <f t="array" ref="D148">IFERROR(INDEX(MemberOrgsData[FEDERALPROGRAMNAME], MATCH(1, (SelectMemberOrgs = MemberOrgsData[Auditee Name])*(MemberOrgs_SortedTable[[#This Row],[Unique CFDA]]= MemberOrgsData[CFDA]), 0)), "")</f>
        <v/>
      </c>
      <c r="E148" s="20" t="str">
        <f t="array" ref="E148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48" s="21" t="str">
        <f t="array" ref="F148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48" s="19" t="str">
        <f>IF(MemberOrgs_SortedTable[[#This Row],[Unique CFDA]] = "", "", IFERROR(MemberOrgs_SortedTable[[#This Row],[FY 2018 Total]]*MemberOrgs_SortedTable[[#This Row],[President % Change]], "No Budget Data"))</f>
        <v/>
      </c>
      <c r="H148" s="21" t="str">
        <f t="array" ref="H148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48" s="19" t="str">
        <f>IF(MemberOrgs_SortedTable[[#This Row],[Unique CFDA]] = "", "", IFERROR(MemberOrgs_SortedTable[[#This Row],[FY 2018 Total]]*MemberOrgs_SortedTable[[#This Row],[House % Change]], "No Budget Data"))</f>
        <v/>
      </c>
      <c r="K148" s="19" t="str">
        <f>IF(MemberOrgs_SortedTable[[#This Row],[Unique CFDA]] = "", "", IFERROR(MemberOrgs_SortedTable[[#This Row],[FY 2018 Total]]*MemberOrgs_SortedTable[[#This Row],[Senate Budget]], "No Budget Data"))</f>
        <v/>
      </c>
      <c r="L148" t="str">
        <f>IF(MemberOrgs_SortedTable[[#This Row],[Unique CFDA]] = "", "", IF(ISNUMBER(MemberOrgs_SortedTable[[#This Row],[President $ Change]]), RANK(MemberOrgs_SortedTable[[#This Row],[President $ Change]], $G$4:$G$227)+COUNTIF($G$4:G148, G148)-1, 0))</f>
        <v/>
      </c>
      <c r="M148" t="str">
        <f>IFERROR((IF(MemberOrgs_SortedTable[[#This Row],[Sort 1]] = 0, COUNTIF($L$4:L148, 0), "")+MAX(MemberOrgs_SortedTable[Sort 1])), "")</f>
        <v/>
      </c>
      <c r="N148" t="str">
        <f>IF(MemberOrgs_SortedTable[[#This Row],[Sort 1]]&gt;0, MemberOrgs_SortedTable[[#This Row],[Sort 1]], MemberOrgs_SortedTable[[#This Row],[Sort 2]])</f>
        <v/>
      </c>
    </row>
    <row r="149" spans="1:14" x14ac:dyDescent="0.25">
      <c r="A149" t="str">
        <f>IF(OR(MemberOrgControl!$B152 = "", MemberOrgControl!$B152 &lt;0), "", INDEX(MemberOrgsData[CFDA], MemberOrgControl!$B152))</f>
        <v/>
      </c>
      <c r="C149" t="str">
        <f>IFERROR(INDEX(AllCFDAs[All CFDAs], MATCH(0, INDEX(COUNTIF($C$3:C148, AllCFDAs[All CFDAs]),),0)), "")</f>
        <v/>
      </c>
      <c r="D149" t="str">
        <f t="array" ref="D149">IFERROR(INDEX(MemberOrgsData[FEDERALPROGRAMNAME], MATCH(1, (SelectMemberOrgs = MemberOrgsData[Auditee Name])*(MemberOrgs_SortedTable[[#This Row],[Unique CFDA]]= MemberOrgsData[CFDA]), 0)), "")</f>
        <v/>
      </c>
      <c r="E149" s="20" t="str">
        <f t="array" ref="E149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49" s="21" t="str">
        <f t="array" ref="F149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49" s="19" t="str">
        <f>IF(MemberOrgs_SortedTable[[#This Row],[Unique CFDA]] = "", "", IFERROR(MemberOrgs_SortedTable[[#This Row],[FY 2018 Total]]*MemberOrgs_SortedTable[[#This Row],[President % Change]], "No Budget Data"))</f>
        <v/>
      </c>
      <c r="H149" s="21" t="str">
        <f t="array" ref="H149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49" s="19" t="str">
        <f>IF(MemberOrgs_SortedTable[[#This Row],[Unique CFDA]] = "", "", IFERROR(MemberOrgs_SortedTable[[#This Row],[FY 2018 Total]]*MemberOrgs_SortedTable[[#This Row],[House % Change]], "No Budget Data"))</f>
        <v/>
      </c>
      <c r="K149" s="19" t="str">
        <f>IF(MemberOrgs_SortedTable[[#This Row],[Unique CFDA]] = "", "", IFERROR(MemberOrgs_SortedTable[[#This Row],[FY 2018 Total]]*MemberOrgs_SortedTable[[#This Row],[Senate Budget]], "No Budget Data"))</f>
        <v/>
      </c>
      <c r="L149" t="str">
        <f>IF(MemberOrgs_SortedTable[[#This Row],[Unique CFDA]] = "", "", IF(ISNUMBER(MemberOrgs_SortedTable[[#This Row],[President $ Change]]), RANK(MemberOrgs_SortedTable[[#This Row],[President $ Change]], $G$4:$G$227)+COUNTIF($G$4:G149, G149)-1, 0))</f>
        <v/>
      </c>
      <c r="M149" t="str">
        <f>IFERROR((IF(MemberOrgs_SortedTable[[#This Row],[Sort 1]] = 0, COUNTIF($L$4:L149, 0), "")+MAX(MemberOrgs_SortedTable[Sort 1])), "")</f>
        <v/>
      </c>
      <c r="N149" t="str">
        <f>IF(MemberOrgs_SortedTable[[#This Row],[Sort 1]]&gt;0, MemberOrgs_SortedTable[[#This Row],[Sort 1]], MemberOrgs_SortedTable[[#This Row],[Sort 2]])</f>
        <v/>
      </c>
    </row>
    <row r="150" spans="1:14" x14ac:dyDescent="0.25">
      <c r="A150" t="str">
        <f>IF(OR(MemberOrgControl!$B153 = "", MemberOrgControl!$B153 &lt;0), "", INDEX(MemberOrgsData[CFDA], MemberOrgControl!$B153))</f>
        <v/>
      </c>
      <c r="C150" t="str">
        <f>IFERROR(INDEX(AllCFDAs[All CFDAs], MATCH(0, INDEX(COUNTIF($C$3:C149, AllCFDAs[All CFDAs]),),0)), "")</f>
        <v/>
      </c>
      <c r="D150" t="str">
        <f t="array" ref="D150">IFERROR(INDEX(MemberOrgsData[FEDERALPROGRAMNAME], MATCH(1, (SelectMemberOrgs = MemberOrgsData[Auditee Name])*(MemberOrgs_SortedTable[[#This Row],[Unique CFDA]]= MemberOrgsData[CFDA]), 0)), "")</f>
        <v/>
      </c>
      <c r="E150" s="20" t="str">
        <f t="array" ref="E150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50" s="21" t="str">
        <f t="array" ref="F150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50" s="19" t="str">
        <f>IF(MemberOrgs_SortedTable[[#This Row],[Unique CFDA]] = "", "", IFERROR(MemberOrgs_SortedTable[[#This Row],[FY 2018 Total]]*MemberOrgs_SortedTable[[#This Row],[President % Change]], "No Budget Data"))</f>
        <v/>
      </c>
      <c r="H150" s="21" t="str">
        <f t="array" ref="H150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50" s="19" t="str">
        <f>IF(MemberOrgs_SortedTable[[#This Row],[Unique CFDA]] = "", "", IFERROR(MemberOrgs_SortedTable[[#This Row],[FY 2018 Total]]*MemberOrgs_SortedTable[[#This Row],[House % Change]], "No Budget Data"))</f>
        <v/>
      </c>
      <c r="K150" s="19" t="str">
        <f>IF(MemberOrgs_SortedTable[[#This Row],[Unique CFDA]] = "", "", IFERROR(MemberOrgs_SortedTable[[#This Row],[FY 2018 Total]]*MemberOrgs_SortedTable[[#This Row],[Senate Budget]], "No Budget Data"))</f>
        <v/>
      </c>
      <c r="L150" t="str">
        <f>IF(MemberOrgs_SortedTable[[#This Row],[Unique CFDA]] = "", "", IF(ISNUMBER(MemberOrgs_SortedTable[[#This Row],[President $ Change]]), RANK(MemberOrgs_SortedTable[[#This Row],[President $ Change]], $G$4:$G$227)+COUNTIF($G$4:G150, G150)-1, 0))</f>
        <v/>
      </c>
      <c r="M150" t="str">
        <f>IFERROR((IF(MemberOrgs_SortedTable[[#This Row],[Sort 1]] = 0, COUNTIF($L$4:L150, 0), "")+MAX(MemberOrgs_SortedTable[Sort 1])), "")</f>
        <v/>
      </c>
      <c r="N150" t="str">
        <f>IF(MemberOrgs_SortedTable[[#This Row],[Sort 1]]&gt;0, MemberOrgs_SortedTable[[#This Row],[Sort 1]], MemberOrgs_SortedTable[[#This Row],[Sort 2]])</f>
        <v/>
      </c>
    </row>
    <row r="151" spans="1:14" x14ac:dyDescent="0.25">
      <c r="A151" t="str">
        <f>IF(OR(MemberOrgControl!$B154 = "", MemberOrgControl!$B154 &lt;0), "", INDEX(MemberOrgsData[CFDA], MemberOrgControl!$B154))</f>
        <v/>
      </c>
      <c r="C151" t="str">
        <f>IFERROR(INDEX(AllCFDAs[All CFDAs], MATCH(0, INDEX(COUNTIF($C$3:C150, AllCFDAs[All CFDAs]),),0)), "")</f>
        <v/>
      </c>
      <c r="D151" t="str">
        <f t="array" ref="D151">IFERROR(INDEX(MemberOrgsData[FEDERALPROGRAMNAME], MATCH(1, (SelectMemberOrgs = MemberOrgsData[Auditee Name])*(MemberOrgs_SortedTable[[#This Row],[Unique CFDA]]= MemberOrgsData[CFDA]), 0)), "")</f>
        <v/>
      </c>
      <c r="E151" s="20" t="str">
        <f t="array" ref="E151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51" s="21" t="str">
        <f t="array" ref="F151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51" s="19" t="str">
        <f>IF(MemberOrgs_SortedTable[[#This Row],[Unique CFDA]] = "", "", IFERROR(MemberOrgs_SortedTable[[#This Row],[FY 2018 Total]]*MemberOrgs_SortedTable[[#This Row],[President % Change]], "No Budget Data"))</f>
        <v/>
      </c>
      <c r="H151" s="21" t="str">
        <f t="array" ref="H151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51" s="19" t="str">
        <f>IF(MemberOrgs_SortedTable[[#This Row],[Unique CFDA]] = "", "", IFERROR(MemberOrgs_SortedTable[[#This Row],[FY 2018 Total]]*MemberOrgs_SortedTable[[#This Row],[House % Change]], "No Budget Data"))</f>
        <v/>
      </c>
      <c r="K151" s="19" t="str">
        <f>IF(MemberOrgs_SortedTable[[#This Row],[Unique CFDA]] = "", "", IFERROR(MemberOrgs_SortedTable[[#This Row],[FY 2018 Total]]*MemberOrgs_SortedTable[[#This Row],[Senate Budget]], "No Budget Data"))</f>
        <v/>
      </c>
      <c r="L151" t="str">
        <f>IF(MemberOrgs_SortedTable[[#This Row],[Unique CFDA]] = "", "", IF(ISNUMBER(MemberOrgs_SortedTable[[#This Row],[President $ Change]]), RANK(MemberOrgs_SortedTable[[#This Row],[President $ Change]], $G$4:$G$227)+COUNTIF($G$4:G151, G151)-1, 0))</f>
        <v/>
      </c>
      <c r="M151" t="str">
        <f>IFERROR((IF(MemberOrgs_SortedTable[[#This Row],[Sort 1]] = 0, COUNTIF($L$4:L151, 0), "")+MAX(MemberOrgs_SortedTable[Sort 1])), "")</f>
        <v/>
      </c>
      <c r="N151" t="str">
        <f>IF(MemberOrgs_SortedTable[[#This Row],[Sort 1]]&gt;0, MemberOrgs_SortedTable[[#This Row],[Sort 1]], MemberOrgs_SortedTable[[#This Row],[Sort 2]])</f>
        <v/>
      </c>
    </row>
    <row r="152" spans="1:14" x14ac:dyDescent="0.25">
      <c r="A152" t="str">
        <f>IF(OR(MemberOrgControl!$B155 = "", MemberOrgControl!$B155 &lt;0), "", INDEX(MemberOrgsData[CFDA], MemberOrgControl!$B155))</f>
        <v/>
      </c>
      <c r="C152" t="str">
        <f>IFERROR(INDEX(AllCFDAs[All CFDAs], MATCH(0, INDEX(COUNTIF($C$3:C151, AllCFDAs[All CFDAs]),),0)), "")</f>
        <v/>
      </c>
      <c r="D152" t="str">
        <f t="array" ref="D152">IFERROR(INDEX(MemberOrgsData[FEDERALPROGRAMNAME], MATCH(1, (SelectMemberOrgs = MemberOrgsData[Auditee Name])*(MemberOrgs_SortedTable[[#This Row],[Unique CFDA]]= MemberOrgsData[CFDA]), 0)), "")</f>
        <v/>
      </c>
      <c r="E152" s="20" t="str">
        <f t="array" ref="E152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52" s="21" t="str">
        <f t="array" ref="F152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52" s="19" t="str">
        <f>IF(MemberOrgs_SortedTable[[#This Row],[Unique CFDA]] = "", "", IFERROR(MemberOrgs_SortedTable[[#This Row],[FY 2018 Total]]*MemberOrgs_SortedTable[[#This Row],[President % Change]], "No Budget Data"))</f>
        <v/>
      </c>
      <c r="H152" s="21" t="str">
        <f t="array" ref="H152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52" s="19" t="str">
        <f>IF(MemberOrgs_SortedTable[[#This Row],[Unique CFDA]] = "", "", IFERROR(MemberOrgs_SortedTable[[#This Row],[FY 2018 Total]]*MemberOrgs_SortedTable[[#This Row],[House % Change]], "No Budget Data"))</f>
        <v/>
      </c>
      <c r="K152" s="19" t="str">
        <f>IF(MemberOrgs_SortedTable[[#This Row],[Unique CFDA]] = "", "", IFERROR(MemberOrgs_SortedTable[[#This Row],[FY 2018 Total]]*MemberOrgs_SortedTable[[#This Row],[Senate Budget]], "No Budget Data"))</f>
        <v/>
      </c>
      <c r="L152" t="str">
        <f>IF(MemberOrgs_SortedTable[[#This Row],[Unique CFDA]] = "", "", IF(ISNUMBER(MemberOrgs_SortedTable[[#This Row],[President $ Change]]), RANK(MemberOrgs_SortedTable[[#This Row],[President $ Change]], $G$4:$G$227)+COUNTIF($G$4:G152, G152)-1, 0))</f>
        <v/>
      </c>
      <c r="M152" t="str">
        <f>IFERROR((IF(MemberOrgs_SortedTable[[#This Row],[Sort 1]] = 0, COUNTIF($L$4:L152, 0), "")+MAX(MemberOrgs_SortedTable[Sort 1])), "")</f>
        <v/>
      </c>
      <c r="N152" t="str">
        <f>IF(MemberOrgs_SortedTable[[#This Row],[Sort 1]]&gt;0, MemberOrgs_SortedTable[[#This Row],[Sort 1]], MemberOrgs_SortedTable[[#This Row],[Sort 2]])</f>
        <v/>
      </c>
    </row>
    <row r="153" spans="1:14" x14ac:dyDescent="0.25">
      <c r="A153" t="str">
        <f>IF(OR(MemberOrgControl!$B156 = "", MemberOrgControl!$B156 &lt;0), "", INDEX(MemberOrgsData[CFDA], MemberOrgControl!$B156))</f>
        <v/>
      </c>
      <c r="C153" t="str">
        <f>IFERROR(INDEX(AllCFDAs[All CFDAs], MATCH(0, INDEX(COUNTIF($C$3:C152, AllCFDAs[All CFDAs]),),0)), "")</f>
        <v/>
      </c>
      <c r="D153" t="str">
        <f t="array" ref="D153">IFERROR(INDEX(MemberOrgsData[FEDERALPROGRAMNAME], MATCH(1, (SelectMemberOrgs = MemberOrgsData[Auditee Name])*(MemberOrgs_SortedTable[[#This Row],[Unique CFDA]]= MemberOrgsData[CFDA]), 0)), "")</f>
        <v/>
      </c>
      <c r="E153" s="20" t="str">
        <f t="array" ref="E153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53" s="21" t="str">
        <f t="array" ref="F153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53" s="19" t="str">
        <f>IF(MemberOrgs_SortedTable[[#This Row],[Unique CFDA]] = "", "", IFERROR(MemberOrgs_SortedTable[[#This Row],[FY 2018 Total]]*MemberOrgs_SortedTable[[#This Row],[President % Change]], "No Budget Data"))</f>
        <v/>
      </c>
      <c r="H153" s="21" t="str">
        <f t="array" ref="H153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53" s="19" t="str">
        <f>IF(MemberOrgs_SortedTable[[#This Row],[Unique CFDA]] = "", "", IFERROR(MemberOrgs_SortedTable[[#This Row],[FY 2018 Total]]*MemberOrgs_SortedTable[[#This Row],[House % Change]], "No Budget Data"))</f>
        <v/>
      </c>
      <c r="K153" s="19" t="str">
        <f>IF(MemberOrgs_SortedTable[[#This Row],[Unique CFDA]] = "", "", IFERROR(MemberOrgs_SortedTable[[#This Row],[FY 2018 Total]]*MemberOrgs_SortedTable[[#This Row],[Senate Budget]], "No Budget Data"))</f>
        <v/>
      </c>
      <c r="L153" t="str">
        <f>IF(MemberOrgs_SortedTable[[#This Row],[Unique CFDA]] = "", "", IF(ISNUMBER(MemberOrgs_SortedTable[[#This Row],[President $ Change]]), RANK(MemberOrgs_SortedTable[[#This Row],[President $ Change]], $G$4:$G$227)+COUNTIF($G$4:G153, G153)-1, 0))</f>
        <v/>
      </c>
      <c r="M153" t="str">
        <f>IFERROR((IF(MemberOrgs_SortedTable[[#This Row],[Sort 1]] = 0, COUNTIF($L$4:L153, 0), "")+MAX(MemberOrgs_SortedTable[Sort 1])), "")</f>
        <v/>
      </c>
      <c r="N153" t="str">
        <f>IF(MemberOrgs_SortedTable[[#This Row],[Sort 1]]&gt;0, MemberOrgs_SortedTable[[#This Row],[Sort 1]], MemberOrgs_SortedTable[[#This Row],[Sort 2]])</f>
        <v/>
      </c>
    </row>
    <row r="154" spans="1:14" x14ac:dyDescent="0.25">
      <c r="A154" t="str">
        <f>IF(OR(MemberOrgControl!$B157 = "", MemberOrgControl!$B157 &lt;0), "", INDEX(MemberOrgsData[CFDA], MemberOrgControl!$B157))</f>
        <v/>
      </c>
      <c r="C154" t="str">
        <f>IFERROR(INDEX(AllCFDAs[All CFDAs], MATCH(0, INDEX(COUNTIF($C$3:C153, AllCFDAs[All CFDAs]),),0)), "")</f>
        <v/>
      </c>
      <c r="D154" t="str">
        <f t="array" ref="D154">IFERROR(INDEX(MemberOrgsData[FEDERALPROGRAMNAME], MATCH(1, (SelectMemberOrgs = MemberOrgsData[Auditee Name])*(MemberOrgs_SortedTable[[#This Row],[Unique CFDA]]= MemberOrgsData[CFDA]), 0)), "")</f>
        <v/>
      </c>
      <c r="E154" s="20" t="str">
        <f t="array" ref="E154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54" s="21" t="str">
        <f t="array" ref="F154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54" s="19" t="str">
        <f>IF(MemberOrgs_SortedTable[[#This Row],[Unique CFDA]] = "", "", IFERROR(MemberOrgs_SortedTable[[#This Row],[FY 2018 Total]]*MemberOrgs_SortedTable[[#This Row],[President % Change]], "No Budget Data"))</f>
        <v/>
      </c>
      <c r="H154" s="21" t="str">
        <f t="array" ref="H154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54" s="19" t="str">
        <f>IF(MemberOrgs_SortedTable[[#This Row],[Unique CFDA]] = "", "", IFERROR(MemberOrgs_SortedTable[[#This Row],[FY 2018 Total]]*MemberOrgs_SortedTable[[#This Row],[House % Change]], "No Budget Data"))</f>
        <v/>
      </c>
      <c r="K154" s="19" t="str">
        <f>IF(MemberOrgs_SortedTable[[#This Row],[Unique CFDA]] = "", "", IFERROR(MemberOrgs_SortedTable[[#This Row],[FY 2018 Total]]*MemberOrgs_SortedTable[[#This Row],[Senate Budget]], "No Budget Data"))</f>
        <v/>
      </c>
      <c r="L154" t="str">
        <f>IF(MemberOrgs_SortedTable[[#This Row],[Unique CFDA]] = "", "", IF(ISNUMBER(MemberOrgs_SortedTable[[#This Row],[President $ Change]]), RANK(MemberOrgs_SortedTable[[#This Row],[President $ Change]], $G$4:$G$227)+COUNTIF($G$4:G154, G154)-1, 0))</f>
        <v/>
      </c>
      <c r="M154" t="str">
        <f>IFERROR((IF(MemberOrgs_SortedTable[[#This Row],[Sort 1]] = 0, COUNTIF($L$4:L154, 0), "")+MAX(MemberOrgs_SortedTable[Sort 1])), "")</f>
        <v/>
      </c>
      <c r="N154" t="str">
        <f>IF(MemberOrgs_SortedTable[[#This Row],[Sort 1]]&gt;0, MemberOrgs_SortedTable[[#This Row],[Sort 1]], MemberOrgs_SortedTable[[#This Row],[Sort 2]])</f>
        <v/>
      </c>
    </row>
    <row r="155" spans="1:14" x14ac:dyDescent="0.25">
      <c r="A155" t="str">
        <f>IF(OR(MemberOrgControl!$B158 = "", MemberOrgControl!$B158 &lt;0), "", INDEX(MemberOrgsData[CFDA], MemberOrgControl!$B158))</f>
        <v/>
      </c>
      <c r="C155" t="str">
        <f>IFERROR(INDEX(AllCFDAs[All CFDAs], MATCH(0, INDEX(COUNTIF($C$3:C154, AllCFDAs[All CFDAs]),),0)), "")</f>
        <v/>
      </c>
      <c r="D155" t="str">
        <f t="array" ref="D155">IFERROR(INDEX(MemberOrgsData[FEDERALPROGRAMNAME], MATCH(1, (SelectMemberOrgs = MemberOrgsData[Auditee Name])*(MemberOrgs_SortedTable[[#This Row],[Unique CFDA]]= MemberOrgsData[CFDA]), 0)), "")</f>
        <v/>
      </c>
      <c r="E155" s="20" t="str">
        <f t="array" ref="E155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55" s="21" t="str">
        <f t="array" ref="F155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55" s="19" t="str">
        <f>IF(MemberOrgs_SortedTable[[#This Row],[Unique CFDA]] = "", "", IFERROR(MemberOrgs_SortedTable[[#This Row],[FY 2018 Total]]*MemberOrgs_SortedTable[[#This Row],[President % Change]], "No Budget Data"))</f>
        <v/>
      </c>
      <c r="H155" s="21" t="str">
        <f t="array" ref="H155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55" s="19" t="str">
        <f>IF(MemberOrgs_SortedTable[[#This Row],[Unique CFDA]] = "", "", IFERROR(MemberOrgs_SortedTable[[#This Row],[FY 2018 Total]]*MemberOrgs_SortedTable[[#This Row],[House % Change]], "No Budget Data"))</f>
        <v/>
      </c>
      <c r="K155" s="19" t="str">
        <f>IF(MemberOrgs_SortedTable[[#This Row],[Unique CFDA]] = "", "", IFERROR(MemberOrgs_SortedTable[[#This Row],[FY 2018 Total]]*MemberOrgs_SortedTable[[#This Row],[Senate Budget]], "No Budget Data"))</f>
        <v/>
      </c>
      <c r="L155" t="str">
        <f>IF(MemberOrgs_SortedTable[[#This Row],[Unique CFDA]] = "", "", IF(ISNUMBER(MemberOrgs_SortedTable[[#This Row],[President $ Change]]), RANK(MemberOrgs_SortedTable[[#This Row],[President $ Change]], $G$4:$G$227)+COUNTIF($G$4:G155, G155)-1, 0))</f>
        <v/>
      </c>
      <c r="M155" t="str">
        <f>IFERROR((IF(MemberOrgs_SortedTable[[#This Row],[Sort 1]] = 0, COUNTIF($L$4:L155, 0), "")+MAX(MemberOrgs_SortedTable[Sort 1])), "")</f>
        <v/>
      </c>
      <c r="N155" t="str">
        <f>IF(MemberOrgs_SortedTable[[#This Row],[Sort 1]]&gt;0, MemberOrgs_SortedTable[[#This Row],[Sort 1]], MemberOrgs_SortedTable[[#This Row],[Sort 2]])</f>
        <v/>
      </c>
    </row>
    <row r="156" spans="1:14" x14ac:dyDescent="0.25">
      <c r="A156" t="str">
        <f>IF(OR(MemberOrgControl!$B159 = "", MemberOrgControl!$B159 &lt;0), "", INDEX(MemberOrgsData[CFDA], MemberOrgControl!$B159))</f>
        <v/>
      </c>
      <c r="C156" t="str">
        <f>IFERROR(INDEX(AllCFDAs[All CFDAs], MATCH(0, INDEX(COUNTIF($C$3:C155, AllCFDAs[All CFDAs]),),0)), "")</f>
        <v/>
      </c>
      <c r="D156" t="str">
        <f t="array" ref="D156">IFERROR(INDEX(MemberOrgsData[FEDERALPROGRAMNAME], MATCH(1, (SelectMemberOrgs = MemberOrgsData[Auditee Name])*(MemberOrgs_SortedTable[[#This Row],[Unique CFDA]]= MemberOrgsData[CFDA]), 0)), "")</f>
        <v/>
      </c>
      <c r="E156" s="20" t="str">
        <f t="array" ref="E156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56" s="21" t="str">
        <f t="array" ref="F156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56" s="19" t="str">
        <f>IF(MemberOrgs_SortedTable[[#This Row],[Unique CFDA]] = "", "", IFERROR(MemberOrgs_SortedTable[[#This Row],[FY 2018 Total]]*MemberOrgs_SortedTable[[#This Row],[President % Change]], "No Budget Data"))</f>
        <v/>
      </c>
      <c r="H156" s="21" t="str">
        <f t="array" ref="H156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56" s="19" t="str">
        <f>IF(MemberOrgs_SortedTable[[#This Row],[Unique CFDA]] = "", "", IFERROR(MemberOrgs_SortedTable[[#This Row],[FY 2018 Total]]*MemberOrgs_SortedTable[[#This Row],[House % Change]], "No Budget Data"))</f>
        <v/>
      </c>
      <c r="K156" s="19" t="str">
        <f>IF(MemberOrgs_SortedTable[[#This Row],[Unique CFDA]] = "", "", IFERROR(MemberOrgs_SortedTable[[#This Row],[FY 2018 Total]]*MemberOrgs_SortedTable[[#This Row],[Senate Budget]], "No Budget Data"))</f>
        <v/>
      </c>
      <c r="L156" t="str">
        <f>IF(MemberOrgs_SortedTable[[#This Row],[Unique CFDA]] = "", "", IF(ISNUMBER(MemberOrgs_SortedTable[[#This Row],[President $ Change]]), RANK(MemberOrgs_SortedTable[[#This Row],[President $ Change]], $G$4:$G$227)+COUNTIF($G$4:G156, G156)-1, 0))</f>
        <v/>
      </c>
      <c r="M156" t="str">
        <f>IFERROR((IF(MemberOrgs_SortedTable[[#This Row],[Sort 1]] = 0, COUNTIF($L$4:L156, 0), "")+MAX(MemberOrgs_SortedTable[Sort 1])), "")</f>
        <v/>
      </c>
      <c r="N156" t="str">
        <f>IF(MemberOrgs_SortedTable[[#This Row],[Sort 1]]&gt;0, MemberOrgs_SortedTable[[#This Row],[Sort 1]], MemberOrgs_SortedTable[[#This Row],[Sort 2]])</f>
        <v/>
      </c>
    </row>
    <row r="157" spans="1:14" x14ac:dyDescent="0.25">
      <c r="A157" t="str">
        <f>IF(OR(MemberOrgControl!$B160 = "", MemberOrgControl!$B160 &lt;0), "", INDEX(MemberOrgsData[CFDA], MemberOrgControl!$B160))</f>
        <v/>
      </c>
      <c r="C157" t="str">
        <f>IFERROR(INDEX(AllCFDAs[All CFDAs], MATCH(0, INDEX(COUNTIF($C$3:C156, AllCFDAs[All CFDAs]),),0)), "")</f>
        <v/>
      </c>
      <c r="D157" t="str">
        <f t="array" ref="D157">IFERROR(INDEX(MemberOrgsData[FEDERALPROGRAMNAME], MATCH(1, (SelectMemberOrgs = MemberOrgsData[Auditee Name])*(MemberOrgs_SortedTable[[#This Row],[Unique CFDA]]= MemberOrgsData[CFDA]), 0)), "")</f>
        <v/>
      </c>
      <c r="E157" s="20" t="str">
        <f t="array" ref="E157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57" s="21" t="str">
        <f t="array" ref="F157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57" s="19" t="str">
        <f>IF(MemberOrgs_SortedTable[[#This Row],[Unique CFDA]] = "", "", IFERROR(MemberOrgs_SortedTable[[#This Row],[FY 2018 Total]]*MemberOrgs_SortedTable[[#This Row],[President % Change]], "No Budget Data"))</f>
        <v/>
      </c>
      <c r="H157" s="21" t="str">
        <f t="array" ref="H157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57" s="19" t="str">
        <f>IF(MemberOrgs_SortedTable[[#This Row],[Unique CFDA]] = "", "", IFERROR(MemberOrgs_SortedTable[[#This Row],[FY 2018 Total]]*MemberOrgs_SortedTable[[#This Row],[House % Change]], "No Budget Data"))</f>
        <v/>
      </c>
      <c r="K157" s="19" t="str">
        <f>IF(MemberOrgs_SortedTable[[#This Row],[Unique CFDA]] = "", "", IFERROR(MemberOrgs_SortedTable[[#This Row],[FY 2018 Total]]*MemberOrgs_SortedTable[[#This Row],[Senate Budget]], "No Budget Data"))</f>
        <v/>
      </c>
      <c r="L157" t="str">
        <f>IF(MemberOrgs_SortedTable[[#This Row],[Unique CFDA]] = "", "", IF(ISNUMBER(MemberOrgs_SortedTable[[#This Row],[President $ Change]]), RANK(MemberOrgs_SortedTable[[#This Row],[President $ Change]], $G$4:$G$227)+COUNTIF($G$4:G157, G157)-1, 0))</f>
        <v/>
      </c>
      <c r="M157" t="str">
        <f>IFERROR((IF(MemberOrgs_SortedTable[[#This Row],[Sort 1]] = 0, COUNTIF($L$4:L157, 0), "")+MAX(MemberOrgs_SortedTable[Sort 1])), "")</f>
        <v/>
      </c>
      <c r="N157" t="str">
        <f>IF(MemberOrgs_SortedTable[[#This Row],[Sort 1]]&gt;0, MemberOrgs_SortedTable[[#This Row],[Sort 1]], MemberOrgs_SortedTable[[#This Row],[Sort 2]])</f>
        <v/>
      </c>
    </row>
    <row r="158" spans="1:14" x14ac:dyDescent="0.25">
      <c r="A158" t="str">
        <f>IF(OR(MemberOrgControl!$B161 = "", MemberOrgControl!$B161 &lt;0), "", INDEX(MemberOrgsData[CFDA], MemberOrgControl!$B161))</f>
        <v/>
      </c>
      <c r="C158" t="str">
        <f>IFERROR(INDEX(AllCFDAs[All CFDAs], MATCH(0, INDEX(COUNTIF($C$3:C157, AllCFDAs[All CFDAs]),),0)), "")</f>
        <v/>
      </c>
      <c r="D158" t="str">
        <f t="array" ref="D158">IFERROR(INDEX(MemberOrgsData[FEDERALPROGRAMNAME], MATCH(1, (SelectMemberOrgs = MemberOrgsData[Auditee Name])*(MemberOrgs_SortedTable[[#This Row],[Unique CFDA]]= MemberOrgsData[CFDA]), 0)), "")</f>
        <v/>
      </c>
      <c r="E158" s="20" t="str">
        <f t="array" ref="E158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58" s="21" t="str">
        <f t="array" ref="F158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58" s="19" t="str">
        <f>IF(MemberOrgs_SortedTable[[#This Row],[Unique CFDA]] = "", "", IFERROR(MemberOrgs_SortedTable[[#This Row],[FY 2018 Total]]*MemberOrgs_SortedTable[[#This Row],[President % Change]], "No Budget Data"))</f>
        <v/>
      </c>
      <c r="H158" s="21" t="str">
        <f t="array" ref="H158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58" s="19" t="str">
        <f>IF(MemberOrgs_SortedTable[[#This Row],[Unique CFDA]] = "", "", IFERROR(MemberOrgs_SortedTable[[#This Row],[FY 2018 Total]]*MemberOrgs_SortedTable[[#This Row],[House % Change]], "No Budget Data"))</f>
        <v/>
      </c>
      <c r="K158" s="19" t="str">
        <f>IF(MemberOrgs_SortedTable[[#This Row],[Unique CFDA]] = "", "", IFERROR(MemberOrgs_SortedTable[[#This Row],[FY 2018 Total]]*MemberOrgs_SortedTable[[#This Row],[Senate Budget]], "No Budget Data"))</f>
        <v/>
      </c>
      <c r="L158" t="str">
        <f>IF(MemberOrgs_SortedTable[[#This Row],[Unique CFDA]] = "", "", IF(ISNUMBER(MemberOrgs_SortedTable[[#This Row],[President $ Change]]), RANK(MemberOrgs_SortedTable[[#This Row],[President $ Change]], $G$4:$G$227)+COUNTIF($G$4:G158, G158)-1, 0))</f>
        <v/>
      </c>
      <c r="M158" t="str">
        <f>IFERROR((IF(MemberOrgs_SortedTable[[#This Row],[Sort 1]] = 0, COUNTIF($L$4:L158, 0), "")+MAX(MemberOrgs_SortedTable[Sort 1])), "")</f>
        <v/>
      </c>
      <c r="N158" t="str">
        <f>IF(MemberOrgs_SortedTable[[#This Row],[Sort 1]]&gt;0, MemberOrgs_SortedTable[[#This Row],[Sort 1]], MemberOrgs_SortedTable[[#This Row],[Sort 2]])</f>
        <v/>
      </c>
    </row>
    <row r="159" spans="1:14" x14ac:dyDescent="0.25">
      <c r="A159" t="str">
        <f>IF(OR(MemberOrgControl!$B162 = "", MemberOrgControl!$B162 &lt;0), "", INDEX(MemberOrgsData[CFDA], MemberOrgControl!$B162))</f>
        <v/>
      </c>
      <c r="C159" t="str">
        <f>IFERROR(INDEX(AllCFDAs[All CFDAs], MATCH(0, INDEX(COUNTIF($C$3:C158, AllCFDAs[All CFDAs]),),0)), "")</f>
        <v/>
      </c>
      <c r="D159" t="str">
        <f t="array" ref="D159">IFERROR(INDEX(MemberOrgsData[FEDERALPROGRAMNAME], MATCH(1, (SelectMemberOrgs = MemberOrgsData[Auditee Name])*(MemberOrgs_SortedTable[[#This Row],[Unique CFDA]]= MemberOrgsData[CFDA]), 0)), "")</f>
        <v/>
      </c>
      <c r="E159" s="20" t="str">
        <f t="array" ref="E159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59" s="21" t="str">
        <f t="array" ref="F159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59" s="19" t="str">
        <f>IF(MemberOrgs_SortedTable[[#This Row],[Unique CFDA]] = "", "", IFERROR(MemberOrgs_SortedTable[[#This Row],[FY 2018 Total]]*MemberOrgs_SortedTable[[#This Row],[President % Change]], "No Budget Data"))</f>
        <v/>
      </c>
      <c r="H159" s="21" t="str">
        <f t="array" ref="H159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59" s="19" t="str">
        <f>IF(MemberOrgs_SortedTable[[#This Row],[Unique CFDA]] = "", "", IFERROR(MemberOrgs_SortedTable[[#This Row],[FY 2018 Total]]*MemberOrgs_SortedTable[[#This Row],[House % Change]], "No Budget Data"))</f>
        <v/>
      </c>
      <c r="K159" s="19" t="str">
        <f>IF(MemberOrgs_SortedTable[[#This Row],[Unique CFDA]] = "", "", IFERROR(MemberOrgs_SortedTable[[#This Row],[FY 2018 Total]]*MemberOrgs_SortedTable[[#This Row],[Senate Budget]], "No Budget Data"))</f>
        <v/>
      </c>
      <c r="L159" t="str">
        <f>IF(MemberOrgs_SortedTable[[#This Row],[Unique CFDA]] = "", "", IF(ISNUMBER(MemberOrgs_SortedTable[[#This Row],[President $ Change]]), RANK(MemberOrgs_SortedTable[[#This Row],[President $ Change]], $G$4:$G$227)+COUNTIF($G$4:G159, G159)-1, 0))</f>
        <v/>
      </c>
      <c r="M159" t="str">
        <f>IFERROR((IF(MemberOrgs_SortedTable[[#This Row],[Sort 1]] = 0, COUNTIF($L$4:L159, 0), "")+MAX(MemberOrgs_SortedTable[Sort 1])), "")</f>
        <v/>
      </c>
      <c r="N159" t="str">
        <f>IF(MemberOrgs_SortedTable[[#This Row],[Sort 1]]&gt;0, MemberOrgs_SortedTable[[#This Row],[Sort 1]], MemberOrgs_SortedTable[[#This Row],[Sort 2]])</f>
        <v/>
      </c>
    </row>
    <row r="160" spans="1:14" x14ac:dyDescent="0.25">
      <c r="A160" t="str">
        <f>IF(OR(MemberOrgControl!$B163 = "", MemberOrgControl!$B163 &lt;0), "", INDEX(MemberOrgsData[CFDA], MemberOrgControl!$B163))</f>
        <v/>
      </c>
      <c r="C160" t="str">
        <f>IFERROR(INDEX(AllCFDAs[All CFDAs], MATCH(0, INDEX(COUNTIF($C$3:C159, AllCFDAs[All CFDAs]),),0)), "")</f>
        <v/>
      </c>
      <c r="D160" t="str">
        <f t="array" ref="D160">IFERROR(INDEX(MemberOrgsData[FEDERALPROGRAMNAME], MATCH(1, (SelectMemberOrgs = MemberOrgsData[Auditee Name])*(MemberOrgs_SortedTable[[#This Row],[Unique CFDA]]= MemberOrgsData[CFDA]), 0)), "")</f>
        <v/>
      </c>
      <c r="E160" s="20" t="str">
        <f t="array" ref="E160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60" s="21" t="str">
        <f t="array" ref="F160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60" s="19" t="str">
        <f>IF(MemberOrgs_SortedTable[[#This Row],[Unique CFDA]] = "", "", IFERROR(MemberOrgs_SortedTable[[#This Row],[FY 2018 Total]]*MemberOrgs_SortedTable[[#This Row],[President % Change]], "No Budget Data"))</f>
        <v/>
      </c>
      <c r="H160" s="21" t="str">
        <f t="array" ref="H160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60" s="19" t="str">
        <f>IF(MemberOrgs_SortedTable[[#This Row],[Unique CFDA]] = "", "", IFERROR(MemberOrgs_SortedTable[[#This Row],[FY 2018 Total]]*MemberOrgs_SortedTable[[#This Row],[House % Change]], "No Budget Data"))</f>
        <v/>
      </c>
      <c r="K160" s="19" t="str">
        <f>IF(MemberOrgs_SortedTable[[#This Row],[Unique CFDA]] = "", "", IFERROR(MemberOrgs_SortedTable[[#This Row],[FY 2018 Total]]*MemberOrgs_SortedTable[[#This Row],[Senate Budget]], "No Budget Data"))</f>
        <v/>
      </c>
      <c r="L160" t="str">
        <f>IF(MemberOrgs_SortedTable[[#This Row],[Unique CFDA]] = "", "", IF(ISNUMBER(MemberOrgs_SortedTable[[#This Row],[President $ Change]]), RANK(MemberOrgs_SortedTable[[#This Row],[President $ Change]], $G$4:$G$227)+COUNTIF($G$4:G160, G160)-1, 0))</f>
        <v/>
      </c>
      <c r="M160" t="str">
        <f>IFERROR((IF(MemberOrgs_SortedTable[[#This Row],[Sort 1]] = 0, COUNTIF($L$4:L160, 0), "")+MAX(MemberOrgs_SortedTable[Sort 1])), "")</f>
        <v/>
      </c>
      <c r="N160" t="str">
        <f>IF(MemberOrgs_SortedTable[[#This Row],[Sort 1]]&gt;0, MemberOrgs_SortedTable[[#This Row],[Sort 1]], MemberOrgs_SortedTable[[#This Row],[Sort 2]])</f>
        <v/>
      </c>
    </row>
    <row r="161" spans="1:14" x14ac:dyDescent="0.25">
      <c r="A161" t="str">
        <f>IF(OR(MemberOrgControl!$B164 = "", MemberOrgControl!$B164 &lt;0), "", INDEX(MemberOrgsData[CFDA], MemberOrgControl!$B164))</f>
        <v/>
      </c>
      <c r="C161" t="str">
        <f>IFERROR(INDEX(AllCFDAs[All CFDAs], MATCH(0, INDEX(COUNTIF($C$3:C160, AllCFDAs[All CFDAs]),),0)), "")</f>
        <v/>
      </c>
      <c r="D161" t="str">
        <f t="array" ref="D161">IFERROR(INDEX(MemberOrgsData[FEDERALPROGRAMNAME], MATCH(1, (SelectMemberOrgs = MemberOrgsData[Auditee Name])*(MemberOrgs_SortedTable[[#This Row],[Unique CFDA]]= MemberOrgsData[CFDA]), 0)), "")</f>
        <v/>
      </c>
      <c r="E161" s="20" t="str">
        <f t="array" ref="E161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61" s="21" t="str">
        <f t="array" ref="F161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61" s="19" t="str">
        <f>IF(MemberOrgs_SortedTable[[#This Row],[Unique CFDA]] = "", "", IFERROR(MemberOrgs_SortedTable[[#This Row],[FY 2018 Total]]*MemberOrgs_SortedTable[[#This Row],[President % Change]], "No Budget Data"))</f>
        <v/>
      </c>
      <c r="H161" s="21" t="str">
        <f t="array" ref="H161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61" s="19" t="str">
        <f>IF(MemberOrgs_SortedTable[[#This Row],[Unique CFDA]] = "", "", IFERROR(MemberOrgs_SortedTable[[#This Row],[FY 2018 Total]]*MemberOrgs_SortedTable[[#This Row],[House % Change]], "No Budget Data"))</f>
        <v/>
      </c>
      <c r="K161" s="19" t="str">
        <f>IF(MemberOrgs_SortedTable[[#This Row],[Unique CFDA]] = "", "", IFERROR(MemberOrgs_SortedTable[[#This Row],[FY 2018 Total]]*MemberOrgs_SortedTable[[#This Row],[Senate Budget]], "No Budget Data"))</f>
        <v/>
      </c>
      <c r="L161" t="str">
        <f>IF(MemberOrgs_SortedTable[[#This Row],[Unique CFDA]] = "", "", IF(ISNUMBER(MemberOrgs_SortedTable[[#This Row],[President $ Change]]), RANK(MemberOrgs_SortedTable[[#This Row],[President $ Change]], $G$4:$G$227)+COUNTIF($G$4:G161, G161)-1, 0))</f>
        <v/>
      </c>
      <c r="M161" t="str">
        <f>IFERROR((IF(MemberOrgs_SortedTable[[#This Row],[Sort 1]] = 0, COUNTIF($L$4:L161, 0), "")+MAX(MemberOrgs_SortedTable[Sort 1])), "")</f>
        <v/>
      </c>
      <c r="N161" t="str">
        <f>IF(MemberOrgs_SortedTable[[#This Row],[Sort 1]]&gt;0, MemberOrgs_SortedTable[[#This Row],[Sort 1]], MemberOrgs_SortedTable[[#This Row],[Sort 2]])</f>
        <v/>
      </c>
    </row>
    <row r="162" spans="1:14" x14ac:dyDescent="0.25">
      <c r="A162" t="str">
        <f>IF(OR(MemberOrgControl!$B165 = "", MemberOrgControl!$B165 &lt;0), "", INDEX(MemberOrgsData[CFDA], MemberOrgControl!$B165))</f>
        <v/>
      </c>
      <c r="C162" t="str">
        <f>IFERROR(INDEX(AllCFDAs[All CFDAs], MATCH(0, INDEX(COUNTIF($C$3:C161, AllCFDAs[All CFDAs]),),0)), "")</f>
        <v/>
      </c>
      <c r="D162" t="str">
        <f t="array" ref="D162">IFERROR(INDEX(MemberOrgsData[FEDERALPROGRAMNAME], MATCH(1, (SelectMemberOrgs = MemberOrgsData[Auditee Name])*(MemberOrgs_SortedTable[[#This Row],[Unique CFDA]]= MemberOrgsData[CFDA]), 0)), "")</f>
        <v/>
      </c>
      <c r="E162" s="20" t="str">
        <f t="array" ref="E162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62" s="21" t="str">
        <f t="array" ref="F162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62" s="19" t="str">
        <f>IF(MemberOrgs_SortedTable[[#This Row],[Unique CFDA]] = "", "", IFERROR(MemberOrgs_SortedTable[[#This Row],[FY 2018 Total]]*MemberOrgs_SortedTable[[#This Row],[President % Change]], "No Budget Data"))</f>
        <v/>
      </c>
      <c r="H162" s="21" t="str">
        <f t="array" ref="H162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62" s="19" t="str">
        <f>IF(MemberOrgs_SortedTable[[#This Row],[Unique CFDA]] = "", "", IFERROR(MemberOrgs_SortedTable[[#This Row],[FY 2018 Total]]*MemberOrgs_SortedTable[[#This Row],[House % Change]], "No Budget Data"))</f>
        <v/>
      </c>
      <c r="K162" s="19" t="str">
        <f>IF(MemberOrgs_SortedTable[[#This Row],[Unique CFDA]] = "", "", IFERROR(MemberOrgs_SortedTable[[#This Row],[FY 2018 Total]]*MemberOrgs_SortedTable[[#This Row],[Senate Budget]], "No Budget Data"))</f>
        <v/>
      </c>
      <c r="L162" t="str">
        <f>IF(MemberOrgs_SortedTable[[#This Row],[Unique CFDA]] = "", "", IF(ISNUMBER(MemberOrgs_SortedTable[[#This Row],[President $ Change]]), RANK(MemberOrgs_SortedTable[[#This Row],[President $ Change]], $G$4:$G$227)+COUNTIF($G$4:G162, G162)-1, 0))</f>
        <v/>
      </c>
      <c r="M162" t="str">
        <f>IFERROR((IF(MemberOrgs_SortedTable[[#This Row],[Sort 1]] = 0, COUNTIF($L$4:L162, 0), "")+MAX(MemberOrgs_SortedTable[Sort 1])), "")</f>
        <v/>
      </c>
      <c r="N162" t="str">
        <f>IF(MemberOrgs_SortedTable[[#This Row],[Sort 1]]&gt;0, MemberOrgs_SortedTable[[#This Row],[Sort 1]], MemberOrgs_SortedTable[[#This Row],[Sort 2]])</f>
        <v/>
      </c>
    </row>
    <row r="163" spans="1:14" x14ac:dyDescent="0.25">
      <c r="A163" t="str">
        <f>IF(OR(MemberOrgControl!$B166 = "", MemberOrgControl!$B166 &lt;0), "", INDEX(MemberOrgsData[CFDA], MemberOrgControl!$B166))</f>
        <v/>
      </c>
      <c r="C163" t="str">
        <f>IFERROR(INDEX(AllCFDAs[All CFDAs], MATCH(0, INDEX(COUNTIF($C$3:C162, AllCFDAs[All CFDAs]),),0)), "")</f>
        <v/>
      </c>
      <c r="D163" t="str">
        <f t="array" ref="D163">IFERROR(INDEX(MemberOrgsData[FEDERALPROGRAMNAME], MATCH(1, (SelectMemberOrgs = MemberOrgsData[Auditee Name])*(MemberOrgs_SortedTable[[#This Row],[Unique CFDA]]= MemberOrgsData[CFDA]), 0)), "")</f>
        <v/>
      </c>
      <c r="E163" s="20" t="str">
        <f t="array" ref="E163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63" s="21" t="str">
        <f t="array" ref="F163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63" s="19" t="str">
        <f>IF(MemberOrgs_SortedTable[[#This Row],[Unique CFDA]] = "", "", IFERROR(MemberOrgs_SortedTable[[#This Row],[FY 2018 Total]]*MemberOrgs_SortedTable[[#This Row],[President % Change]], "No Budget Data"))</f>
        <v/>
      </c>
      <c r="H163" s="21" t="str">
        <f t="array" ref="H163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63" s="19" t="str">
        <f>IF(MemberOrgs_SortedTable[[#This Row],[Unique CFDA]] = "", "", IFERROR(MemberOrgs_SortedTable[[#This Row],[FY 2018 Total]]*MemberOrgs_SortedTable[[#This Row],[House % Change]], "No Budget Data"))</f>
        <v/>
      </c>
      <c r="K163" s="19" t="str">
        <f>IF(MemberOrgs_SortedTable[[#This Row],[Unique CFDA]] = "", "", IFERROR(MemberOrgs_SortedTable[[#This Row],[FY 2018 Total]]*MemberOrgs_SortedTable[[#This Row],[Senate Budget]], "No Budget Data"))</f>
        <v/>
      </c>
      <c r="L163" t="str">
        <f>IF(MemberOrgs_SortedTable[[#This Row],[Unique CFDA]] = "", "", IF(ISNUMBER(MemberOrgs_SortedTable[[#This Row],[President $ Change]]), RANK(MemberOrgs_SortedTable[[#This Row],[President $ Change]], $G$4:$G$227)+COUNTIF($G$4:G163, G163)-1, 0))</f>
        <v/>
      </c>
      <c r="M163" t="str">
        <f>IFERROR((IF(MemberOrgs_SortedTable[[#This Row],[Sort 1]] = 0, COUNTIF($L$4:L163, 0), "")+MAX(MemberOrgs_SortedTable[Sort 1])), "")</f>
        <v/>
      </c>
      <c r="N163" t="str">
        <f>IF(MemberOrgs_SortedTable[[#This Row],[Sort 1]]&gt;0, MemberOrgs_SortedTable[[#This Row],[Sort 1]], MemberOrgs_SortedTable[[#This Row],[Sort 2]])</f>
        <v/>
      </c>
    </row>
    <row r="164" spans="1:14" x14ac:dyDescent="0.25">
      <c r="A164" t="str">
        <f>IF(OR(MemberOrgControl!$B167 = "", MemberOrgControl!$B167 &lt;0), "", INDEX(MemberOrgsData[CFDA], MemberOrgControl!$B167))</f>
        <v/>
      </c>
      <c r="C164" t="str">
        <f>IFERROR(INDEX(AllCFDAs[All CFDAs], MATCH(0, INDEX(COUNTIF($C$3:C163, AllCFDAs[All CFDAs]),),0)), "")</f>
        <v/>
      </c>
      <c r="D164" t="str">
        <f t="array" ref="D164">IFERROR(INDEX(MemberOrgsData[FEDERALPROGRAMNAME], MATCH(1, (SelectMemberOrgs = MemberOrgsData[Auditee Name])*(MemberOrgs_SortedTable[[#This Row],[Unique CFDA]]= MemberOrgsData[CFDA]), 0)), "")</f>
        <v/>
      </c>
      <c r="E164" s="20" t="str">
        <f t="array" ref="E164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64" s="21" t="str">
        <f t="array" ref="F164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64" s="19" t="str">
        <f>IF(MemberOrgs_SortedTable[[#This Row],[Unique CFDA]] = "", "", IFERROR(MemberOrgs_SortedTable[[#This Row],[FY 2018 Total]]*MemberOrgs_SortedTable[[#This Row],[President % Change]], "No Budget Data"))</f>
        <v/>
      </c>
      <c r="H164" s="21" t="str">
        <f t="array" ref="H164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64" s="19" t="str">
        <f>IF(MemberOrgs_SortedTable[[#This Row],[Unique CFDA]] = "", "", IFERROR(MemberOrgs_SortedTable[[#This Row],[FY 2018 Total]]*MemberOrgs_SortedTable[[#This Row],[House % Change]], "No Budget Data"))</f>
        <v/>
      </c>
      <c r="K164" s="19" t="str">
        <f>IF(MemberOrgs_SortedTable[[#This Row],[Unique CFDA]] = "", "", IFERROR(MemberOrgs_SortedTable[[#This Row],[FY 2018 Total]]*MemberOrgs_SortedTable[[#This Row],[Senate Budget]], "No Budget Data"))</f>
        <v/>
      </c>
      <c r="L164" t="str">
        <f>IF(MemberOrgs_SortedTable[[#This Row],[Unique CFDA]] = "", "", IF(ISNUMBER(MemberOrgs_SortedTable[[#This Row],[President $ Change]]), RANK(MemberOrgs_SortedTable[[#This Row],[President $ Change]], $G$4:$G$227)+COUNTIF($G$4:G164, G164)-1, 0))</f>
        <v/>
      </c>
      <c r="M164" t="str">
        <f>IFERROR((IF(MemberOrgs_SortedTable[[#This Row],[Sort 1]] = 0, COUNTIF($L$4:L164, 0), "")+MAX(MemberOrgs_SortedTable[Sort 1])), "")</f>
        <v/>
      </c>
      <c r="N164" t="str">
        <f>IF(MemberOrgs_SortedTable[[#This Row],[Sort 1]]&gt;0, MemberOrgs_SortedTable[[#This Row],[Sort 1]], MemberOrgs_SortedTable[[#This Row],[Sort 2]])</f>
        <v/>
      </c>
    </row>
    <row r="165" spans="1:14" x14ac:dyDescent="0.25">
      <c r="A165" t="str">
        <f>IF(OR(MemberOrgControl!$B168 = "", MemberOrgControl!$B168 &lt;0), "", INDEX(MemberOrgsData[CFDA], MemberOrgControl!$B168))</f>
        <v/>
      </c>
      <c r="C165" t="str">
        <f>IFERROR(INDEX(AllCFDAs[All CFDAs], MATCH(0, INDEX(COUNTIF($C$3:C164, AllCFDAs[All CFDAs]),),0)), "")</f>
        <v/>
      </c>
      <c r="D165" t="str">
        <f t="array" ref="D165">IFERROR(INDEX(MemberOrgsData[FEDERALPROGRAMNAME], MATCH(1, (SelectMemberOrgs = MemberOrgsData[Auditee Name])*(MemberOrgs_SortedTable[[#This Row],[Unique CFDA]]= MemberOrgsData[CFDA]), 0)), "")</f>
        <v/>
      </c>
      <c r="E165" s="20" t="str">
        <f t="array" ref="E165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65" s="21" t="str">
        <f t="array" ref="F165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65" s="19" t="str">
        <f>IF(MemberOrgs_SortedTable[[#This Row],[Unique CFDA]] = "", "", IFERROR(MemberOrgs_SortedTable[[#This Row],[FY 2018 Total]]*MemberOrgs_SortedTable[[#This Row],[President % Change]], "No Budget Data"))</f>
        <v/>
      </c>
      <c r="H165" s="21" t="str">
        <f t="array" ref="H165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65" s="19" t="str">
        <f>IF(MemberOrgs_SortedTable[[#This Row],[Unique CFDA]] = "", "", IFERROR(MemberOrgs_SortedTable[[#This Row],[FY 2018 Total]]*MemberOrgs_SortedTable[[#This Row],[House % Change]], "No Budget Data"))</f>
        <v/>
      </c>
      <c r="K165" s="19" t="str">
        <f>IF(MemberOrgs_SortedTable[[#This Row],[Unique CFDA]] = "", "", IFERROR(MemberOrgs_SortedTable[[#This Row],[FY 2018 Total]]*MemberOrgs_SortedTable[[#This Row],[Senate Budget]], "No Budget Data"))</f>
        <v/>
      </c>
      <c r="L165" t="str">
        <f>IF(MemberOrgs_SortedTable[[#This Row],[Unique CFDA]] = "", "", IF(ISNUMBER(MemberOrgs_SortedTable[[#This Row],[President $ Change]]), RANK(MemberOrgs_SortedTable[[#This Row],[President $ Change]], $G$4:$G$227)+COUNTIF($G$4:G165, G165)-1, 0))</f>
        <v/>
      </c>
      <c r="M165" t="str">
        <f>IFERROR((IF(MemberOrgs_SortedTable[[#This Row],[Sort 1]] = 0, COUNTIF($L$4:L165, 0), "")+MAX(MemberOrgs_SortedTable[Sort 1])), "")</f>
        <v/>
      </c>
      <c r="N165" t="str">
        <f>IF(MemberOrgs_SortedTable[[#This Row],[Sort 1]]&gt;0, MemberOrgs_SortedTable[[#This Row],[Sort 1]], MemberOrgs_SortedTable[[#This Row],[Sort 2]])</f>
        <v/>
      </c>
    </row>
    <row r="166" spans="1:14" x14ac:dyDescent="0.25">
      <c r="A166" t="str">
        <f>IF(OR(MemberOrgControl!$B169 = "", MemberOrgControl!$B169 &lt;0), "", INDEX(MemberOrgsData[CFDA], MemberOrgControl!$B169))</f>
        <v/>
      </c>
      <c r="C166" t="str">
        <f>IFERROR(INDEX(AllCFDAs[All CFDAs], MATCH(0, INDEX(COUNTIF($C$3:C165, AllCFDAs[All CFDAs]),),0)), "")</f>
        <v/>
      </c>
      <c r="D166" t="str">
        <f t="array" ref="D166">IFERROR(INDEX(MemberOrgsData[FEDERALPROGRAMNAME], MATCH(1, (SelectMemberOrgs = MemberOrgsData[Auditee Name])*(MemberOrgs_SortedTable[[#This Row],[Unique CFDA]]= MemberOrgsData[CFDA]), 0)), "")</f>
        <v/>
      </c>
      <c r="E166" s="20" t="str">
        <f t="array" ref="E166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66" s="21" t="str">
        <f t="array" ref="F166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66" s="19" t="str">
        <f>IF(MemberOrgs_SortedTable[[#This Row],[Unique CFDA]] = "", "", IFERROR(MemberOrgs_SortedTable[[#This Row],[FY 2018 Total]]*MemberOrgs_SortedTable[[#This Row],[President % Change]], "No Budget Data"))</f>
        <v/>
      </c>
      <c r="H166" s="21" t="str">
        <f t="array" ref="H166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66" s="19" t="str">
        <f>IF(MemberOrgs_SortedTable[[#This Row],[Unique CFDA]] = "", "", IFERROR(MemberOrgs_SortedTable[[#This Row],[FY 2018 Total]]*MemberOrgs_SortedTable[[#This Row],[House % Change]], "No Budget Data"))</f>
        <v/>
      </c>
      <c r="K166" s="19" t="str">
        <f>IF(MemberOrgs_SortedTable[[#This Row],[Unique CFDA]] = "", "", IFERROR(MemberOrgs_SortedTable[[#This Row],[FY 2018 Total]]*MemberOrgs_SortedTable[[#This Row],[Senate Budget]], "No Budget Data"))</f>
        <v/>
      </c>
      <c r="L166" t="str">
        <f>IF(MemberOrgs_SortedTable[[#This Row],[Unique CFDA]] = "", "", IF(ISNUMBER(MemberOrgs_SortedTable[[#This Row],[President $ Change]]), RANK(MemberOrgs_SortedTable[[#This Row],[President $ Change]], $G$4:$G$227)+COUNTIF($G$4:G166, G166)-1, 0))</f>
        <v/>
      </c>
      <c r="M166" t="str">
        <f>IFERROR((IF(MemberOrgs_SortedTable[[#This Row],[Sort 1]] = 0, COUNTIF($L$4:L166, 0), "")+MAX(MemberOrgs_SortedTable[Sort 1])), "")</f>
        <v/>
      </c>
      <c r="N166" t="str">
        <f>IF(MemberOrgs_SortedTable[[#This Row],[Sort 1]]&gt;0, MemberOrgs_SortedTable[[#This Row],[Sort 1]], MemberOrgs_SortedTable[[#This Row],[Sort 2]])</f>
        <v/>
      </c>
    </row>
    <row r="167" spans="1:14" x14ac:dyDescent="0.25">
      <c r="A167" t="str">
        <f>IF(OR(MemberOrgControl!$B170 = "", MemberOrgControl!$B170 &lt;0), "", INDEX(MemberOrgsData[CFDA], MemberOrgControl!$B170))</f>
        <v/>
      </c>
      <c r="C167" t="str">
        <f>IFERROR(INDEX(AllCFDAs[All CFDAs], MATCH(0, INDEX(COUNTIF($C$3:C166, AllCFDAs[All CFDAs]),),0)), "")</f>
        <v/>
      </c>
      <c r="D167" t="str">
        <f t="array" ref="D167">IFERROR(INDEX(MemberOrgsData[FEDERALPROGRAMNAME], MATCH(1, (SelectMemberOrgs = MemberOrgsData[Auditee Name])*(MemberOrgs_SortedTable[[#This Row],[Unique CFDA]]= MemberOrgsData[CFDA]), 0)), "")</f>
        <v/>
      </c>
      <c r="E167" s="20" t="str">
        <f t="array" ref="E167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67" s="21" t="str">
        <f t="array" ref="F167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67" s="19" t="str">
        <f>IF(MemberOrgs_SortedTable[[#This Row],[Unique CFDA]] = "", "", IFERROR(MemberOrgs_SortedTable[[#This Row],[FY 2018 Total]]*MemberOrgs_SortedTable[[#This Row],[President % Change]], "No Budget Data"))</f>
        <v/>
      </c>
      <c r="H167" s="21" t="str">
        <f t="array" ref="H167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67" s="19" t="str">
        <f>IF(MemberOrgs_SortedTable[[#This Row],[Unique CFDA]] = "", "", IFERROR(MemberOrgs_SortedTable[[#This Row],[FY 2018 Total]]*MemberOrgs_SortedTable[[#This Row],[House % Change]], "No Budget Data"))</f>
        <v/>
      </c>
      <c r="K167" s="19" t="str">
        <f>IF(MemberOrgs_SortedTable[[#This Row],[Unique CFDA]] = "", "", IFERROR(MemberOrgs_SortedTable[[#This Row],[FY 2018 Total]]*MemberOrgs_SortedTable[[#This Row],[Senate Budget]], "No Budget Data"))</f>
        <v/>
      </c>
      <c r="L167" t="str">
        <f>IF(MemberOrgs_SortedTable[[#This Row],[Unique CFDA]] = "", "", IF(ISNUMBER(MemberOrgs_SortedTable[[#This Row],[President $ Change]]), RANK(MemberOrgs_SortedTable[[#This Row],[President $ Change]], $G$4:$G$227)+COUNTIF($G$4:G167, G167)-1, 0))</f>
        <v/>
      </c>
      <c r="M167" t="str">
        <f>IFERROR((IF(MemberOrgs_SortedTable[[#This Row],[Sort 1]] = 0, COUNTIF($L$4:L167, 0), "")+MAX(MemberOrgs_SortedTable[Sort 1])), "")</f>
        <v/>
      </c>
      <c r="N167" t="str">
        <f>IF(MemberOrgs_SortedTable[[#This Row],[Sort 1]]&gt;0, MemberOrgs_SortedTable[[#This Row],[Sort 1]], MemberOrgs_SortedTable[[#This Row],[Sort 2]])</f>
        <v/>
      </c>
    </row>
    <row r="168" spans="1:14" x14ac:dyDescent="0.25">
      <c r="A168" t="str">
        <f>IF(OR(MemberOrgControl!$B171 = "", MemberOrgControl!$B171 &lt;0), "", INDEX(MemberOrgsData[CFDA], MemberOrgControl!$B171))</f>
        <v/>
      </c>
      <c r="C168" t="str">
        <f>IFERROR(INDEX(AllCFDAs[All CFDAs], MATCH(0, INDEX(COUNTIF($C$3:C167, AllCFDAs[All CFDAs]),),0)), "")</f>
        <v/>
      </c>
      <c r="D168" t="str">
        <f t="array" ref="D168">IFERROR(INDEX(MemberOrgsData[FEDERALPROGRAMNAME], MATCH(1, (SelectMemberOrgs = MemberOrgsData[Auditee Name])*(MemberOrgs_SortedTable[[#This Row],[Unique CFDA]]= MemberOrgsData[CFDA]), 0)), "")</f>
        <v/>
      </c>
      <c r="E168" s="20" t="str">
        <f t="array" ref="E168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68" s="21" t="str">
        <f t="array" ref="F168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68" s="19" t="str">
        <f>IF(MemberOrgs_SortedTable[[#This Row],[Unique CFDA]] = "", "", IFERROR(MemberOrgs_SortedTable[[#This Row],[FY 2018 Total]]*MemberOrgs_SortedTable[[#This Row],[President % Change]], "No Budget Data"))</f>
        <v/>
      </c>
      <c r="H168" s="21" t="str">
        <f t="array" ref="H168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68" s="19" t="str">
        <f>IF(MemberOrgs_SortedTable[[#This Row],[Unique CFDA]] = "", "", IFERROR(MemberOrgs_SortedTable[[#This Row],[FY 2018 Total]]*MemberOrgs_SortedTable[[#This Row],[House % Change]], "No Budget Data"))</f>
        <v/>
      </c>
      <c r="K168" s="19" t="str">
        <f>IF(MemberOrgs_SortedTable[[#This Row],[Unique CFDA]] = "", "", IFERROR(MemberOrgs_SortedTable[[#This Row],[FY 2018 Total]]*MemberOrgs_SortedTable[[#This Row],[Senate Budget]], "No Budget Data"))</f>
        <v/>
      </c>
      <c r="L168" t="str">
        <f>IF(MemberOrgs_SortedTable[[#This Row],[Unique CFDA]] = "", "", IF(ISNUMBER(MemberOrgs_SortedTable[[#This Row],[President $ Change]]), RANK(MemberOrgs_SortedTable[[#This Row],[President $ Change]], $G$4:$G$227)+COUNTIF($G$4:G168, G168)-1, 0))</f>
        <v/>
      </c>
      <c r="M168" t="str">
        <f>IFERROR((IF(MemberOrgs_SortedTable[[#This Row],[Sort 1]] = 0, COUNTIF($L$4:L168, 0), "")+MAX(MemberOrgs_SortedTable[Sort 1])), "")</f>
        <v/>
      </c>
      <c r="N168" t="str">
        <f>IF(MemberOrgs_SortedTable[[#This Row],[Sort 1]]&gt;0, MemberOrgs_SortedTable[[#This Row],[Sort 1]], MemberOrgs_SortedTable[[#This Row],[Sort 2]])</f>
        <v/>
      </c>
    </row>
    <row r="169" spans="1:14" x14ac:dyDescent="0.25">
      <c r="A169" t="str">
        <f>IF(OR(MemberOrgControl!$B172 = "", MemberOrgControl!$B172 &lt;0), "", INDEX(MemberOrgsData[CFDA], MemberOrgControl!$B172))</f>
        <v/>
      </c>
      <c r="C169" t="str">
        <f>IFERROR(INDEX(AllCFDAs[All CFDAs], MATCH(0, INDEX(COUNTIF($C$3:C168, AllCFDAs[All CFDAs]),),0)), "")</f>
        <v/>
      </c>
      <c r="D169" t="str">
        <f t="array" ref="D169">IFERROR(INDEX(MemberOrgsData[FEDERALPROGRAMNAME], MATCH(1, (SelectMemberOrgs = MemberOrgsData[Auditee Name])*(MemberOrgs_SortedTable[[#This Row],[Unique CFDA]]= MemberOrgsData[CFDA]), 0)), "")</f>
        <v/>
      </c>
      <c r="E169" s="20" t="str">
        <f t="array" ref="E169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69" s="21" t="str">
        <f t="array" ref="F169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69" s="19" t="str">
        <f>IF(MemberOrgs_SortedTable[[#This Row],[Unique CFDA]] = "", "", IFERROR(MemberOrgs_SortedTable[[#This Row],[FY 2018 Total]]*MemberOrgs_SortedTable[[#This Row],[President % Change]], "No Budget Data"))</f>
        <v/>
      </c>
      <c r="H169" s="21" t="str">
        <f t="array" ref="H169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69" s="19" t="str">
        <f>IF(MemberOrgs_SortedTable[[#This Row],[Unique CFDA]] = "", "", IFERROR(MemberOrgs_SortedTable[[#This Row],[FY 2018 Total]]*MemberOrgs_SortedTable[[#This Row],[House % Change]], "No Budget Data"))</f>
        <v/>
      </c>
      <c r="K169" s="19" t="str">
        <f>IF(MemberOrgs_SortedTable[[#This Row],[Unique CFDA]] = "", "", IFERROR(MemberOrgs_SortedTable[[#This Row],[FY 2018 Total]]*MemberOrgs_SortedTable[[#This Row],[Senate Budget]], "No Budget Data"))</f>
        <v/>
      </c>
      <c r="L169" t="str">
        <f>IF(MemberOrgs_SortedTable[[#This Row],[Unique CFDA]] = "", "", IF(ISNUMBER(MemberOrgs_SortedTable[[#This Row],[President $ Change]]), RANK(MemberOrgs_SortedTable[[#This Row],[President $ Change]], $G$4:$G$227)+COUNTIF($G$4:G169, G169)-1, 0))</f>
        <v/>
      </c>
      <c r="M169" t="str">
        <f>IFERROR((IF(MemberOrgs_SortedTable[[#This Row],[Sort 1]] = 0, COUNTIF($L$4:L169, 0), "")+MAX(MemberOrgs_SortedTable[Sort 1])), "")</f>
        <v/>
      </c>
      <c r="N169" t="str">
        <f>IF(MemberOrgs_SortedTable[[#This Row],[Sort 1]]&gt;0, MemberOrgs_SortedTable[[#This Row],[Sort 1]], MemberOrgs_SortedTable[[#This Row],[Sort 2]])</f>
        <v/>
      </c>
    </row>
    <row r="170" spans="1:14" x14ac:dyDescent="0.25">
      <c r="A170" t="str">
        <f>IF(OR(MemberOrgControl!$B173 = "", MemberOrgControl!$B173 &lt;0), "", INDEX(MemberOrgsData[CFDA], MemberOrgControl!$B173))</f>
        <v/>
      </c>
      <c r="C170" t="str">
        <f>IFERROR(INDEX(AllCFDAs[All CFDAs], MATCH(0, INDEX(COUNTIF($C$3:C169, AllCFDAs[All CFDAs]),),0)), "")</f>
        <v/>
      </c>
      <c r="D170" t="str">
        <f t="array" ref="D170">IFERROR(INDEX(MemberOrgsData[FEDERALPROGRAMNAME], MATCH(1, (SelectMemberOrgs = MemberOrgsData[Auditee Name])*(MemberOrgs_SortedTable[[#This Row],[Unique CFDA]]= MemberOrgsData[CFDA]), 0)), "")</f>
        <v/>
      </c>
      <c r="E170" s="20" t="str">
        <f t="array" ref="E170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70" s="21" t="str">
        <f t="array" ref="F170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70" s="19" t="str">
        <f>IF(MemberOrgs_SortedTable[[#This Row],[Unique CFDA]] = "", "", IFERROR(MemberOrgs_SortedTable[[#This Row],[FY 2018 Total]]*MemberOrgs_SortedTable[[#This Row],[President % Change]], "No Budget Data"))</f>
        <v/>
      </c>
      <c r="H170" s="21" t="str">
        <f t="array" ref="H170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70" s="19" t="str">
        <f>IF(MemberOrgs_SortedTable[[#This Row],[Unique CFDA]] = "", "", IFERROR(MemberOrgs_SortedTable[[#This Row],[FY 2018 Total]]*MemberOrgs_SortedTable[[#This Row],[House % Change]], "No Budget Data"))</f>
        <v/>
      </c>
      <c r="K170" s="19" t="str">
        <f>IF(MemberOrgs_SortedTable[[#This Row],[Unique CFDA]] = "", "", IFERROR(MemberOrgs_SortedTable[[#This Row],[FY 2018 Total]]*MemberOrgs_SortedTable[[#This Row],[Senate Budget]], "No Budget Data"))</f>
        <v/>
      </c>
      <c r="L170" t="str">
        <f>IF(MemberOrgs_SortedTable[[#This Row],[Unique CFDA]] = "", "", IF(ISNUMBER(MemberOrgs_SortedTable[[#This Row],[President $ Change]]), RANK(MemberOrgs_SortedTable[[#This Row],[President $ Change]], $G$4:$G$227)+COUNTIF($G$4:G170, G170)-1, 0))</f>
        <v/>
      </c>
      <c r="M170" t="str">
        <f>IFERROR((IF(MemberOrgs_SortedTable[[#This Row],[Sort 1]] = 0, COUNTIF($L$4:L170, 0), "")+MAX(MemberOrgs_SortedTable[Sort 1])), "")</f>
        <v/>
      </c>
      <c r="N170" t="str">
        <f>IF(MemberOrgs_SortedTable[[#This Row],[Sort 1]]&gt;0, MemberOrgs_SortedTable[[#This Row],[Sort 1]], MemberOrgs_SortedTable[[#This Row],[Sort 2]])</f>
        <v/>
      </c>
    </row>
    <row r="171" spans="1:14" x14ac:dyDescent="0.25">
      <c r="A171" t="str">
        <f>IF(OR(MemberOrgControl!$B174 = "", MemberOrgControl!$B174 &lt;0), "", INDEX(MemberOrgsData[CFDA], MemberOrgControl!$B174))</f>
        <v/>
      </c>
      <c r="C171" t="str">
        <f>IFERROR(INDEX(AllCFDAs[All CFDAs], MATCH(0, INDEX(COUNTIF($C$3:C170, AllCFDAs[All CFDAs]),),0)), "")</f>
        <v/>
      </c>
      <c r="D171" t="str">
        <f t="array" ref="D171">IFERROR(INDEX(MemberOrgsData[FEDERALPROGRAMNAME], MATCH(1, (SelectMemberOrgs = MemberOrgsData[Auditee Name])*(MemberOrgs_SortedTable[[#This Row],[Unique CFDA]]= MemberOrgsData[CFDA]), 0)), "")</f>
        <v/>
      </c>
      <c r="E171" s="20" t="str">
        <f t="array" ref="E171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71" s="21" t="str">
        <f t="array" ref="F171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71" s="19" t="str">
        <f>IF(MemberOrgs_SortedTable[[#This Row],[Unique CFDA]] = "", "", IFERROR(MemberOrgs_SortedTable[[#This Row],[FY 2018 Total]]*MemberOrgs_SortedTable[[#This Row],[President % Change]], "No Budget Data"))</f>
        <v/>
      </c>
      <c r="H171" s="21" t="str">
        <f t="array" ref="H171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71" s="19" t="str">
        <f>IF(MemberOrgs_SortedTable[[#This Row],[Unique CFDA]] = "", "", IFERROR(MemberOrgs_SortedTable[[#This Row],[FY 2018 Total]]*MemberOrgs_SortedTable[[#This Row],[House % Change]], "No Budget Data"))</f>
        <v/>
      </c>
      <c r="K171" s="19" t="str">
        <f>IF(MemberOrgs_SortedTable[[#This Row],[Unique CFDA]] = "", "", IFERROR(MemberOrgs_SortedTable[[#This Row],[FY 2018 Total]]*MemberOrgs_SortedTable[[#This Row],[Senate Budget]], "No Budget Data"))</f>
        <v/>
      </c>
      <c r="L171" t="str">
        <f>IF(MemberOrgs_SortedTable[[#This Row],[Unique CFDA]] = "", "", IF(ISNUMBER(MemberOrgs_SortedTable[[#This Row],[President $ Change]]), RANK(MemberOrgs_SortedTable[[#This Row],[President $ Change]], $G$4:$G$227)+COUNTIF($G$4:G171, G171)-1, 0))</f>
        <v/>
      </c>
      <c r="M171" t="str">
        <f>IFERROR((IF(MemberOrgs_SortedTable[[#This Row],[Sort 1]] = 0, COUNTIF($L$4:L171, 0), "")+MAX(MemberOrgs_SortedTable[Sort 1])), "")</f>
        <v/>
      </c>
      <c r="N171" t="str">
        <f>IF(MemberOrgs_SortedTable[[#This Row],[Sort 1]]&gt;0, MemberOrgs_SortedTable[[#This Row],[Sort 1]], MemberOrgs_SortedTable[[#This Row],[Sort 2]])</f>
        <v/>
      </c>
    </row>
    <row r="172" spans="1:14" x14ac:dyDescent="0.25">
      <c r="A172" t="str">
        <f>IF(OR(MemberOrgControl!$B175 = "", MemberOrgControl!$B175 &lt;0), "", INDEX(MemberOrgsData[CFDA], MemberOrgControl!$B175))</f>
        <v/>
      </c>
      <c r="C172" t="str">
        <f>IFERROR(INDEX(AllCFDAs[All CFDAs], MATCH(0, INDEX(COUNTIF($C$3:C171, AllCFDAs[All CFDAs]),),0)), "")</f>
        <v/>
      </c>
      <c r="D172" t="str">
        <f t="array" ref="D172">IFERROR(INDEX(MemberOrgsData[FEDERALPROGRAMNAME], MATCH(1, (SelectMemberOrgs = MemberOrgsData[Auditee Name])*(MemberOrgs_SortedTable[[#This Row],[Unique CFDA]]= MemberOrgsData[CFDA]), 0)), "")</f>
        <v/>
      </c>
      <c r="E172" s="20" t="str">
        <f t="array" ref="E172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72" s="21" t="str">
        <f t="array" ref="F172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72" s="19" t="str">
        <f>IF(MemberOrgs_SortedTable[[#This Row],[Unique CFDA]] = "", "", IFERROR(MemberOrgs_SortedTable[[#This Row],[FY 2018 Total]]*MemberOrgs_SortedTable[[#This Row],[President % Change]], "No Budget Data"))</f>
        <v/>
      </c>
      <c r="H172" s="21" t="str">
        <f t="array" ref="H172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72" s="19" t="str">
        <f>IF(MemberOrgs_SortedTable[[#This Row],[Unique CFDA]] = "", "", IFERROR(MemberOrgs_SortedTable[[#This Row],[FY 2018 Total]]*MemberOrgs_SortedTable[[#This Row],[House % Change]], "No Budget Data"))</f>
        <v/>
      </c>
      <c r="K172" s="19" t="str">
        <f>IF(MemberOrgs_SortedTable[[#This Row],[Unique CFDA]] = "", "", IFERROR(MemberOrgs_SortedTable[[#This Row],[FY 2018 Total]]*MemberOrgs_SortedTable[[#This Row],[Senate Budget]], "No Budget Data"))</f>
        <v/>
      </c>
      <c r="L172" t="str">
        <f>IF(MemberOrgs_SortedTable[[#This Row],[Unique CFDA]] = "", "", IF(ISNUMBER(MemberOrgs_SortedTable[[#This Row],[President $ Change]]), RANK(MemberOrgs_SortedTable[[#This Row],[President $ Change]], $G$4:$G$227)+COUNTIF($G$4:G172, G172)-1, 0))</f>
        <v/>
      </c>
      <c r="M172" t="str">
        <f>IFERROR((IF(MemberOrgs_SortedTable[[#This Row],[Sort 1]] = 0, COUNTIF($L$4:L172, 0), "")+MAX(MemberOrgs_SortedTable[Sort 1])), "")</f>
        <v/>
      </c>
      <c r="N172" t="str">
        <f>IF(MemberOrgs_SortedTable[[#This Row],[Sort 1]]&gt;0, MemberOrgs_SortedTable[[#This Row],[Sort 1]], MemberOrgs_SortedTable[[#This Row],[Sort 2]])</f>
        <v/>
      </c>
    </row>
    <row r="173" spans="1:14" x14ac:dyDescent="0.25">
      <c r="A173" t="str">
        <f>IF(OR(MemberOrgControl!$B176 = "", MemberOrgControl!$B176 &lt;0), "", INDEX(MemberOrgsData[CFDA], MemberOrgControl!$B176))</f>
        <v/>
      </c>
      <c r="C173" t="str">
        <f>IFERROR(INDEX(AllCFDAs[All CFDAs], MATCH(0, INDEX(COUNTIF($C$3:C172, AllCFDAs[All CFDAs]),),0)), "")</f>
        <v/>
      </c>
      <c r="D173" t="str">
        <f t="array" ref="D173">IFERROR(INDEX(MemberOrgsData[FEDERALPROGRAMNAME], MATCH(1, (SelectMemberOrgs = MemberOrgsData[Auditee Name])*(MemberOrgs_SortedTable[[#This Row],[Unique CFDA]]= MemberOrgsData[CFDA]), 0)), "")</f>
        <v/>
      </c>
      <c r="E173" s="20" t="str">
        <f t="array" ref="E173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73" s="21" t="str">
        <f t="array" ref="F173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73" s="19" t="str">
        <f>IF(MemberOrgs_SortedTable[[#This Row],[Unique CFDA]] = "", "", IFERROR(MemberOrgs_SortedTable[[#This Row],[FY 2018 Total]]*MemberOrgs_SortedTable[[#This Row],[President % Change]], "No Budget Data"))</f>
        <v/>
      </c>
      <c r="H173" s="21" t="str">
        <f t="array" ref="H173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73" s="19" t="str">
        <f>IF(MemberOrgs_SortedTable[[#This Row],[Unique CFDA]] = "", "", IFERROR(MemberOrgs_SortedTable[[#This Row],[FY 2018 Total]]*MemberOrgs_SortedTable[[#This Row],[House % Change]], "No Budget Data"))</f>
        <v/>
      </c>
      <c r="K173" s="19" t="str">
        <f>IF(MemberOrgs_SortedTable[[#This Row],[Unique CFDA]] = "", "", IFERROR(MemberOrgs_SortedTable[[#This Row],[FY 2018 Total]]*MemberOrgs_SortedTable[[#This Row],[Senate Budget]], "No Budget Data"))</f>
        <v/>
      </c>
      <c r="L173" t="str">
        <f>IF(MemberOrgs_SortedTable[[#This Row],[Unique CFDA]] = "", "", IF(ISNUMBER(MemberOrgs_SortedTable[[#This Row],[President $ Change]]), RANK(MemberOrgs_SortedTable[[#This Row],[President $ Change]], $G$4:$G$227)+COUNTIF($G$4:G173, G173)-1, 0))</f>
        <v/>
      </c>
      <c r="M173" t="str">
        <f>IFERROR((IF(MemberOrgs_SortedTable[[#This Row],[Sort 1]] = 0, COUNTIF($L$4:L173, 0), "")+MAX(MemberOrgs_SortedTable[Sort 1])), "")</f>
        <v/>
      </c>
      <c r="N173" t="str">
        <f>IF(MemberOrgs_SortedTable[[#This Row],[Sort 1]]&gt;0, MemberOrgs_SortedTable[[#This Row],[Sort 1]], MemberOrgs_SortedTable[[#This Row],[Sort 2]])</f>
        <v/>
      </c>
    </row>
    <row r="174" spans="1:14" x14ac:dyDescent="0.25">
      <c r="A174" t="str">
        <f>IF(OR(MemberOrgControl!$B177 = "", MemberOrgControl!$B177 &lt;0), "", INDEX(MemberOrgsData[CFDA], MemberOrgControl!$B177))</f>
        <v/>
      </c>
      <c r="C174" t="str">
        <f>IFERROR(INDEX(AllCFDAs[All CFDAs], MATCH(0, INDEX(COUNTIF($C$3:C173, AllCFDAs[All CFDAs]),),0)), "")</f>
        <v/>
      </c>
      <c r="D174" t="str">
        <f t="array" ref="D174">IFERROR(INDEX(MemberOrgsData[FEDERALPROGRAMNAME], MATCH(1, (SelectMemberOrgs = MemberOrgsData[Auditee Name])*(MemberOrgs_SortedTable[[#This Row],[Unique CFDA]]= MemberOrgsData[CFDA]), 0)), "")</f>
        <v/>
      </c>
      <c r="E174" s="20" t="str">
        <f t="array" ref="E174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74" s="21" t="str">
        <f t="array" ref="F174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74" s="19" t="str">
        <f>IF(MemberOrgs_SortedTable[[#This Row],[Unique CFDA]] = "", "", IFERROR(MemberOrgs_SortedTable[[#This Row],[FY 2018 Total]]*MemberOrgs_SortedTable[[#This Row],[President % Change]], "No Budget Data"))</f>
        <v/>
      </c>
      <c r="H174" s="21" t="str">
        <f t="array" ref="H174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74" s="19" t="str">
        <f>IF(MemberOrgs_SortedTable[[#This Row],[Unique CFDA]] = "", "", IFERROR(MemberOrgs_SortedTable[[#This Row],[FY 2018 Total]]*MemberOrgs_SortedTable[[#This Row],[House % Change]], "No Budget Data"))</f>
        <v/>
      </c>
      <c r="K174" s="19" t="str">
        <f>IF(MemberOrgs_SortedTable[[#This Row],[Unique CFDA]] = "", "", IFERROR(MemberOrgs_SortedTable[[#This Row],[FY 2018 Total]]*MemberOrgs_SortedTable[[#This Row],[Senate Budget]], "No Budget Data"))</f>
        <v/>
      </c>
      <c r="L174" t="str">
        <f>IF(MemberOrgs_SortedTable[[#This Row],[Unique CFDA]] = "", "", IF(ISNUMBER(MemberOrgs_SortedTable[[#This Row],[President $ Change]]), RANK(MemberOrgs_SortedTable[[#This Row],[President $ Change]], $G$4:$G$227)+COUNTIF($G$4:G174, G174)-1, 0))</f>
        <v/>
      </c>
      <c r="M174" t="str">
        <f>IFERROR((IF(MemberOrgs_SortedTable[[#This Row],[Sort 1]] = 0, COUNTIF($L$4:L174, 0), "")+MAX(MemberOrgs_SortedTable[Sort 1])), "")</f>
        <v/>
      </c>
      <c r="N174" t="str">
        <f>IF(MemberOrgs_SortedTable[[#This Row],[Sort 1]]&gt;0, MemberOrgs_SortedTable[[#This Row],[Sort 1]], MemberOrgs_SortedTable[[#This Row],[Sort 2]])</f>
        <v/>
      </c>
    </row>
    <row r="175" spans="1:14" x14ac:dyDescent="0.25">
      <c r="A175" t="str">
        <f>IF(OR(MemberOrgControl!$B178 = "", MemberOrgControl!$B178 &lt;0), "", INDEX(MemberOrgsData[CFDA], MemberOrgControl!$B178))</f>
        <v/>
      </c>
      <c r="C175" t="str">
        <f>IFERROR(INDEX(AllCFDAs[All CFDAs], MATCH(0, INDEX(COUNTIF($C$3:C174, AllCFDAs[All CFDAs]),),0)), "")</f>
        <v/>
      </c>
      <c r="D175" t="str">
        <f t="array" ref="D175">IFERROR(INDEX(MemberOrgsData[FEDERALPROGRAMNAME], MATCH(1, (SelectMemberOrgs = MemberOrgsData[Auditee Name])*(MemberOrgs_SortedTable[[#This Row],[Unique CFDA]]= MemberOrgsData[CFDA]), 0)), "")</f>
        <v/>
      </c>
      <c r="E175" s="20" t="str">
        <f t="array" ref="E175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75" s="21" t="str">
        <f t="array" ref="F175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75" s="19" t="str">
        <f>IF(MemberOrgs_SortedTable[[#This Row],[Unique CFDA]] = "", "", IFERROR(MemberOrgs_SortedTable[[#This Row],[FY 2018 Total]]*MemberOrgs_SortedTable[[#This Row],[President % Change]], "No Budget Data"))</f>
        <v/>
      </c>
      <c r="H175" s="21" t="str">
        <f t="array" ref="H175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75" s="19" t="str">
        <f>IF(MemberOrgs_SortedTable[[#This Row],[Unique CFDA]] = "", "", IFERROR(MemberOrgs_SortedTable[[#This Row],[FY 2018 Total]]*MemberOrgs_SortedTable[[#This Row],[House % Change]], "No Budget Data"))</f>
        <v/>
      </c>
      <c r="K175" s="19" t="str">
        <f>IF(MemberOrgs_SortedTable[[#This Row],[Unique CFDA]] = "", "", IFERROR(MemberOrgs_SortedTable[[#This Row],[FY 2018 Total]]*MemberOrgs_SortedTable[[#This Row],[Senate Budget]], "No Budget Data"))</f>
        <v/>
      </c>
      <c r="L175" t="str">
        <f>IF(MemberOrgs_SortedTable[[#This Row],[Unique CFDA]] = "", "", IF(ISNUMBER(MemberOrgs_SortedTable[[#This Row],[President $ Change]]), RANK(MemberOrgs_SortedTable[[#This Row],[President $ Change]], $G$4:$G$227)+COUNTIF($G$4:G175, G175)-1, 0))</f>
        <v/>
      </c>
      <c r="M175" t="str">
        <f>IFERROR((IF(MemberOrgs_SortedTable[[#This Row],[Sort 1]] = 0, COUNTIF($L$4:L175, 0), "")+MAX(MemberOrgs_SortedTable[Sort 1])), "")</f>
        <v/>
      </c>
      <c r="N175" t="str">
        <f>IF(MemberOrgs_SortedTable[[#This Row],[Sort 1]]&gt;0, MemberOrgs_SortedTable[[#This Row],[Sort 1]], MemberOrgs_SortedTable[[#This Row],[Sort 2]])</f>
        <v/>
      </c>
    </row>
    <row r="176" spans="1:14" x14ac:dyDescent="0.25">
      <c r="A176" t="str">
        <f>IF(OR(MemberOrgControl!$B179 = "", MemberOrgControl!$B179 &lt;0), "", INDEX(MemberOrgsData[CFDA], MemberOrgControl!$B179))</f>
        <v/>
      </c>
      <c r="C176" t="str">
        <f>IFERROR(INDEX(AllCFDAs[All CFDAs], MATCH(0, INDEX(COUNTIF($C$3:C175, AllCFDAs[All CFDAs]),),0)), "")</f>
        <v/>
      </c>
      <c r="D176" t="str">
        <f t="array" ref="D176">IFERROR(INDEX(MemberOrgsData[FEDERALPROGRAMNAME], MATCH(1, (SelectMemberOrgs = MemberOrgsData[Auditee Name])*(MemberOrgs_SortedTable[[#This Row],[Unique CFDA]]= MemberOrgsData[CFDA]), 0)), "")</f>
        <v/>
      </c>
      <c r="E176" s="20" t="str">
        <f t="array" ref="E176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76" s="21" t="str">
        <f t="array" ref="F176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76" s="19" t="str">
        <f>IF(MemberOrgs_SortedTable[[#This Row],[Unique CFDA]] = "", "", IFERROR(MemberOrgs_SortedTable[[#This Row],[FY 2018 Total]]*MemberOrgs_SortedTable[[#This Row],[President % Change]], "No Budget Data"))</f>
        <v/>
      </c>
      <c r="H176" s="21" t="str">
        <f t="array" ref="H176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76" s="19" t="str">
        <f>IF(MemberOrgs_SortedTable[[#This Row],[Unique CFDA]] = "", "", IFERROR(MemberOrgs_SortedTable[[#This Row],[FY 2018 Total]]*MemberOrgs_SortedTable[[#This Row],[House % Change]], "No Budget Data"))</f>
        <v/>
      </c>
      <c r="K176" s="19" t="str">
        <f>IF(MemberOrgs_SortedTable[[#This Row],[Unique CFDA]] = "", "", IFERROR(MemberOrgs_SortedTable[[#This Row],[FY 2018 Total]]*MemberOrgs_SortedTable[[#This Row],[Senate Budget]], "No Budget Data"))</f>
        <v/>
      </c>
      <c r="L176" t="str">
        <f>IF(MemberOrgs_SortedTable[[#This Row],[Unique CFDA]] = "", "", IF(ISNUMBER(MemberOrgs_SortedTable[[#This Row],[President $ Change]]), RANK(MemberOrgs_SortedTable[[#This Row],[President $ Change]], $G$4:$G$227)+COUNTIF($G$4:G176, G176)-1, 0))</f>
        <v/>
      </c>
      <c r="M176" t="str">
        <f>IFERROR((IF(MemberOrgs_SortedTable[[#This Row],[Sort 1]] = 0, COUNTIF($L$4:L176, 0), "")+MAX(MemberOrgs_SortedTable[Sort 1])), "")</f>
        <v/>
      </c>
      <c r="N176" t="str">
        <f>IF(MemberOrgs_SortedTable[[#This Row],[Sort 1]]&gt;0, MemberOrgs_SortedTable[[#This Row],[Sort 1]], MemberOrgs_SortedTable[[#This Row],[Sort 2]])</f>
        <v/>
      </c>
    </row>
    <row r="177" spans="1:14" x14ac:dyDescent="0.25">
      <c r="A177" t="str">
        <f>IF(OR(MemberOrgControl!$B180 = "", MemberOrgControl!$B180 &lt;0), "", INDEX(MemberOrgsData[CFDA], MemberOrgControl!$B180))</f>
        <v/>
      </c>
      <c r="C177" t="str">
        <f>IFERROR(INDEX(AllCFDAs[All CFDAs], MATCH(0, INDEX(COUNTIF($C$3:C176, AllCFDAs[All CFDAs]),),0)), "")</f>
        <v/>
      </c>
      <c r="D177" t="str">
        <f t="array" ref="D177">IFERROR(INDEX(MemberOrgsData[FEDERALPROGRAMNAME], MATCH(1, (SelectMemberOrgs = MemberOrgsData[Auditee Name])*(MemberOrgs_SortedTable[[#This Row],[Unique CFDA]]= MemberOrgsData[CFDA]), 0)), "")</f>
        <v/>
      </c>
      <c r="E177" s="20" t="str">
        <f t="array" ref="E177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77" s="21" t="str">
        <f t="array" ref="F177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77" s="19" t="str">
        <f>IF(MemberOrgs_SortedTable[[#This Row],[Unique CFDA]] = "", "", IFERROR(MemberOrgs_SortedTable[[#This Row],[FY 2018 Total]]*MemberOrgs_SortedTable[[#This Row],[President % Change]], "No Budget Data"))</f>
        <v/>
      </c>
      <c r="H177" s="21" t="str">
        <f t="array" ref="H177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77" s="19" t="str">
        <f>IF(MemberOrgs_SortedTable[[#This Row],[Unique CFDA]] = "", "", IFERROR(MemberOrgs_SortedTable[[#This Row],[FY 2018 Total]]*MemberOrgs_SortedTable[[#This Row],[House % Change]], "No Budget Data"))</f>
        <v/>
      </c>
      <c r="K177" s="19" t="str">
        <f>IF(MemberOrgs_SortedTable[[#This Row],[Unique CFDA]] = "", "", IFERROR(MemberOrgs_SortedTable[[#This Row],[FY 2018 Total]]*MemberOrgs_SortedTable[[#This Row],[Senate Budget]], "No Budget Data"))</f>
        <v/>
      </c>
      <c r="L177" t="str">
        <f>IF(MemberOrgs_SortedTable[[#This Row],[Unique CFDA]] = "", "", IF(ISNUMBER(MemberOrgs_SortedTable[[#This Row],[President $ Change]]), RANK(MemberOrgs_SortedTable[[#This Row],[President $ Change]], $G$4:$G$227)+COUNTIF($G$4:G177, G177)-1, 0))</f>
        <v/>
      </c>
      <c r="M177" t="str">
        <f>IFERROR((IF(MemberOrgs_SortedTable[[#This Row],[Sort 1]] = 0, COUNTIF($L$4:L177, 0), "")+MAX(MemberOrgs_SortedTable[Sort 1])), "")</f>
        <v/>
      </c>
      <c r="N177" t="str">
        <f>IF(MemberOrgs_SortedTable[[#This Row],[Sort 1]]&gt;0, MemberOrgs_SortedTable[[#This Row],[Sort 1]], MemberOrgs_SortedTable[[#This Row],[Sort 2]])</f>
        <v/>
      </c>
    </row>
    <row r="178" spans="1:14" x14ac:dyDescent="0.25">
      <c r="A178" t="str">
        <f>IF(OR(MemberOrgControl!$B181 = "", MemberOrgControl!$B181 &lt;0), "", INDEX(MemberOrgsData[CFDA], MemberOrgControl!$B181))</f>
        <v/>
      </c>
      <c r="C178" t="str">
        <f>IFERROR(INDEX(AllCFDAs[All CFDAs], MATCH(0, INDEX(COUNTIF($C$3:C177, AllCFDAs[All CFDAs]),),0)), "")</f>
        <v/>
      </c>
      <c r="D178" t="str">
        <f t="array" ref="D178">IFERROR(INDEX(MemberOrgsData[FEDERALPROGRAMNAME], MATCH(1, (SelectMemberOrgs = MemberOrgsData[Auditee Name])*(MemberOrgs_SortedTable[[#This Row],[Unique CFDA]]= MemberOrgsData[CFDA]), 0)), "")</f>
        <v/>
      </c>
      <c r="E178" s="20" t="str">
        <f t="array" ref="E178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78" s="21" t="str">
        <f t="array" ref="F178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78" s="19" t="str">
        <f>IF(MemberOrgs_SortedTable[[#This Row],[Unique CFDA]] = "", "", IFERROR(MemberOrgs_SortedTable[[#This Row],[FY 2018 Total]]*MemberOrgs_SortedTable[[#This Row],[President % Change]], "No Budget Data"))</f>
        <v/>
      </c>
      <c r="H178" s="21" t="str">
        <f t="array" ref="H178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78" s="19" t="str">
        <f>IF(MemberOrgs_SortedTable[[#This Row],[Unique CFDA]] = "", "", IFERROR(MemberOrgs_SortedTable[[#This Row],[FY 2018 Total]]*MemberOrgs_SortedTable[[#This Row],[House % Change]], "No Budget Data"))</f>
        <v/>
      </c>
      <c r="K178" s="19" t="str">
        <f>IF(MemberOrgs_SortedTable[[#This Row],[Unique CFDA]] = "", "", IFERROR(MemberOrgs_SortedTable[[#This Row],[FY 2018 Total]]*MemberOrgs_SortedTable[[#This Row],[Senate Budget]], "No Budget Data"))</f>
        <v/>
      </c>
      <c r="L178" t="str">
        <f>IF(MemberOrgs_SortedTable[[#This Row],[Unique CFDA]] = "", "", IF(ISNUMBER(MemberOrgs_SortedTable[[#This Row],[President $ Change]]), RANK(MemberOrgs_SortedTable[[#This Row],[President $ Change]], $G$4:$G$227)+COUNTIF($G$4:G178, G178)-1, 0))</f>
        <v/>
      </c>
      <c r="M178" t="str">
        <f>IFERROR((IF(MemberOrgs_SortedTable[[#This Row],[Sort 1]] = 0, COUNTIF($L$4:L178, 0), "")+MAX(MemberOrgs_SortedTable[Sort 1])), "")</f>
        <v/>
      </c>
      <c r="N178" t="str">
        <f>IF(MemberOrgs_SortedTable[[#This Row],[Sort 1]]&gt;0, MemberOrgs_SortedTable[[#This Row],[Sort 1]], MemberOrgs_SortedTable[[#This Row],[Sort 2]])</f>
        <v/>
      </c>
    </row>
    <row r="179" spans="1:14" x14ac:dyDescent="0.25">
      <c r="A179" t="str">
        <f>IF(OR(MemberOrgControl!$B182 = "", MemberOrgControl!$B182 &lt;0), "", INDEX(MemberOrgsData[CFDA], MemberOrgControl!$B182))</f>
        <v/>
      </c>
      <c r="C179" t="str">
        <f>IFERROR(INDEX(AllCFDAs[All CFDAs], MATCH(0, INDEX(COUNTIF($C$3:C178, AllCFDAs[All CFDAs]),),0)), "")</f>
        <v/>
      </c>
      <c r="D179" t="str">
        <f t="array" ref="D179">IFERROR(INDEX(MemberOrgsData[FEDERALPROGRAMNAME], MATCH(1, (SelectMemberOrgs = MemberOrgsData[Auditee Name])*(MemberOrgs_SortedTable[[#This Row],[Unique CFDA]]= MemberOrgsData[CFDA]), 0)), "")</f>
        <v/>
      </c>
      <c r="E179" s="20" t="str">
        <f t="array" ref="E179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79" s="21" t="str">
        <f t="array" ref="F179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79" s="19" t="str">
        <f>IF(MemberOrgs_SortedTable[[#This Row],[Unique CFDA]] = "", "", IFERROR(MemberOrgs_SortedTable[[#This Row],[FY 2018 Total]]*MemberOrgs_SortedTable[[#This Row],[President % Change]], "No Budget Data"))</f>
        <v/>
      </c>
      <c r="H179" s="21" t="str">
        <f t="array" ref="H179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79" s="19" t="str">
        <f>IF(MemberOrgs_SortedTable[[#This Row],[Unique CFDA]] = "", "", IFERROR(MemberOrgs_SortedTable[[#This Row],[FY 2018 Total]]*MemberOrgs_SortedTable[[#This Row],[House % Change]], "No Budget Data"))</f>
        <v/>
      </c>
      <c r="K179" s="19" t="str">
        <f>IF(MemberOrgs_SortedTable[[#This Row],[Unique CFDA]] = "", "", IFERROR(MemberOrgs_SortedTable[[#This Row],[FY 2018 Total]]*MemberOrgs_SortedTable[[#This Row],[Senate Budget]], "No Budget Data"))</f>
        <v/>
      </c>
      <c r="L179" t="str">
        <f>IF(MemberOrgs_SortedTable[[#This Row],[Unique CFDA]] = "", "", IF(ISNUMBER(MemberOrgs_SortedTable[[#This Row],[President $ Change]]), RANK(MemberOrgs_SortedTable[[#This Row],[President $ Change]], $G$4:$G$227)+COUNTIF($G$4:G179, G179)-1, 0))</f>
        <v/>
      </c>
      <c r="M179" t="str">
        <f>IFERROR((IF(MemberOrgs_SortedTable[[#This Row],[Sort 1]] = 0, COUNTIF($L$4:L179, 0), "")+MAX(MemberOrgs_SortedTable[Sort 1])), "")</f>
        <v/>
      </c>
      <c r="N179" t="str">
        <f>IF(MemberOrgs_SortedTable[[#This Row],[Sort 1]]&gt;0, MemberOrgs_SortedTable[[#This Row],[Sort 1]], MemberOrgs_SortedTable[[#This Row],[Sort 2]])</f>
        <v/>
      </c>
    </row>
    <row r="180" spans="1:14" x14ac:dyDescent="0.25">
      <c r="A180" t="str">
        <f>IF(OR(MemberOrgControl!$B183 = "", MemberOrgControl!$B183 &lt;0), "", INDEX(MemberOrgsData[CFDA], MemberOrgControl!$B183))</f>
        <v/>
      </c>
      <c r="C180" t="str">
        <f>IFERROR(INDEX(AllCFDAs[All CFDAs], MATCH(0, INDEX(COUNTIF($C$3:C179, AllCFDAs[All CFDAs]),),0)), "")</f>
        <v/>
      </c>
      <c r="D180" t="str">
        <f t="array" ref="D180">IFERROR(INDEX(MemberOrgsData[FEDERALPROGRAMNAME], MATCH(1, (SelectMemberOrgs = MemberOrgsData[Auditee Name])*(MemberOrgs_SortedTable[[#This Row],[Unique CFDA]]= MemberOrgsData[CFDA]), 0)), "")</f>
        <v/>
      </c>
      <c r="E180" s="20" t="str">
        <f t="array" ref="E180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80" s="21" t="str">
        <f t="array" ref="F180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80" s="19" t="str">
        <f>IF(MemberOrgs_SortedTable[[#This Row],[Unique CFDA]] = "", "", IFERROR(MemberOrgs_SortedTable[[#This Row],[FY 2018 Total]]*MemberOrgs_SortedTable[[#This Row],[President % Change]], "No Budget Data"))</f>
        <v/>
      </c>
      <c r="H180" s="21" t="str">
        <f t="array" ref="H180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80" s="19" t="str">
        <f>IF(MemberOrgs_SortedTable[[#This Row],[Unique CFDA]] = "", "", IFERROR(MemberOrgs_SortedTable[[#This Row],[FY 2018 Total]]*MemberOrgs_SortedTable[[#This Row],[House % Change]], "No Budget Data"))</f>
        <v/>
      </c>
      <c r="K180" s="19" t="str">
        <f>IF(MemberOrgs_SortedTable[[#This Row],[Unique CFDA]] = "", "", IFERROR(MemberOrgs_SortedTable[[#This Row],[FY 2018 Total]]*MemberOrgs_SortedTable[[#This Row],[Senate Budget]], "No Budget Data"))</f>
        <v/>
      </c>
      <c r="L180" t="str">
        <f>IF(MemberOrgs_SortedTable[[#This Row],[Unique CFDA]] = "", "", IF(ISNUMBER(MemberOrgs_SortedTable[[#This Row],[President $ Change]]), RANK(MemberOrgs_SortedTable[[#This Row],[President $ Change]], $G$4:$G$227)+COUNTIF($G$4:G180, G180)-1, 0))</f>
        <v/>
      </c>
      <c r="M180" t="str">
        <f>IFERROR((IF(MemberOrgs_SortedTable[[#This Row],[Sort 1]] = 0, COUNTIF($L$4:L180, 0), "")+MAX(MemberOrgs_SortedTable[Sort 1])), "")</f>
        <v/>
      </c>
      <c r="N180" t="str">
        <f>IF(MemberOrgs_SortedTable[[#This Row],[Sort 1]]&gt;0, MemberOrgs_SortedTable[[#This Row],[Sort 1]], MemberOrgs_SortedTable[[#This Row],[Sort 2]])</f>
        <v/>
      </c>
    </row>
    <row r="181" spans="1:14" x14ac:dyDescent="0.25">
      <c r="A181" t="str">
        <f>IF(OR(MemberOrgControl!$B184 = "", MemberOrgControl!$B184 &lt;0), "", INDEX(MemberOrgsData[CFDA], MemberOrgControl!$B184))</f>
        <v/>
      </c>
      <c r="C181" t="str">
        <f>IFERROR(INDEX(AllCFDAs[All CFDAs], MATCH(0, INDEX(COUNTIF($C$3:C180, AllCFDAs[All CFDAs]),),0)), "")</f>
        <v/>
      </c>
      <c r="D181" t="str">
        <f t="array" ref="D181">IFERROR(INDEX(MemberOrgsData[FEDERALPROGRAMNAME], MATCH(1, (SelectMemberOrgs = MemberOrgsData[Auditee Name])*(MemberOrgs_SortedTable[[#This Row],[Unique CFDA]]= MemberOrgsData[CFDA]), 0)), "")</f>
        <v/>
      </c>
      <c r="E181" s="20" t="str">
        <f t="array" ref="E181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81" s="21" t="str">
        <f t="array" ref="F181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81" s="19" t="str">
        <f>IF(MemberOrgs_SortedTable[[#This Row],[Unique CFDA]] = "", "", IFERROR(MemberOrgs_SortedTable[[#This Row],[FY 2018 Total]]*MemberOrgs_SortedTable[[#This Row],[President % Change]], "No Budget Data"))</f>
        <v/>
      </c>
      <c r="H181" s="21" t="str">
        <f t="array" ref="H181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81" s="19" t="str">
        <f>IF(MemberOrgs_SortedTable[[#This Row],[Unique CFDA]] = "", "", IFERROR(MemberOrgs_SortedTable[[#This Row],[FY 2018 Total]]*MemberOrgs_SortedTable[[#This Row],[House % Change]], "No Budget Data"))</f>
        <v/>
      </c>
      <c r="K181" s="19" t="str">
        <f>IF(MemberOrgs_SortedTable[[#This Row],[Unique CFDA]] = "", "", IFERROR(MemberOrgs_SortedTable[[#This Row],[FY 2018 Total]]*MemberOrgs_SortedTable[[#This Row],[Senate Budget]], "No Budget Data"))</f>
        <v/>
      </c>
      <c r="L181" t="str">
        <f>IF(MemberOrgs_SortedTable[[#This Row],[Unique CFDA]] = "", "", IF(ISNUMBER(MemberOrgs_SortedTable[[#This Row],[President $ Change]]), RANK(MemberOrgs_SortedTable[[#This Row],[President $ Change]], $G$4:$G$227)+COUNTIF($G$4:G181, G181)-1, 0))</f>
        <v/>
      </c>
      <c r="M181" t="str">
        <f>IFERROR((IF(MemberOrgs_SortedTable[[#This Row],[Sort 1]] = 0, COUNTIF($L$4:L181, 0), "")+MAX(MemberOrgs_SortedTable[Sort 1])), "")</f>
        <v/>
      </c>
      <c r="N181" t="str">
        <f>IF(MemberOrgs_SortedTable[[#This Row],[Sort 1]]&gt;0, MemberOrgs_SortedTable[[#This Row],[Sort 1]], MemberOrgs_SortedTable[[#This Row],[Sort 2]])</f>
        <v/>
      </c>
    </row>
    <row r="182" spans="1:14" x14ac:dyDescent="0.25">
      <c r="A182" t="str">
        <f>IF(OR(MemberOrgControl!$B185 = "", MemberOrgControl!$B185 &lt;0), "", INDEX(MemberOrgsData[CFDA], MemberOrgControl!$B185))</f>
        <v/>
      </c>
      <c r="C182" t="str">
        <f>IFERROR(INDEX(AllCFDAs[All CFDAs], MATCH(0, INDEX(COUNTIF($C$3:C181, AllCFDAs[All CFDAs]),),0)), "")</f>
        <v/>
      </c>
      <c r="D182" t="str">
        <f t="array" ref="D182">IFERROR(INDEX(MemberOrgsData[FEDERALPROGRAMNAME], MATCH(1, (SelectMemberOrgs = MemberOrgsData[Auditee Name])*(MemberOrgs_SortedTable[[#This Row],[Unique CFDA]]= MemberOrgsData[CFDA]), 0)), "")</f>
        <v/>
      </c>
      <c r="E182" s="20" t="str">
        <f t="array" ref="E182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82" s="21" t="str">
        <f t="array" ref="F182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82" s="19" t="str">
        <f>IF(MemberOrgs_SortedTable[[#This Row],[Unique CFDA]] = "", "", IFERROR(MemberOrgs_SortedTable[[#This Row],[FY 2018 Total]]*MemberOrgs_SortedTable[[#This Row],[President % Change]], "No Budget Data"))</f>
        <v/>
      </c>
      <c r="H182" s="21" t="str">
        <f t="array" ref="H182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82" s="19" t="str">
        <f>IF(MemberOrgs_SortedTable[[#This Row],[Unique CFDA]] = "", "", IFERROR(MemberOrgs_SortedTable[[#This Row],[FY 2018 Total]]*MemberOrgs_SortedTable[[#This Row],[House % Change]], "No Budget Data"))</f>
        <v/>
      </c>
      <c r="K182" s="19" t="str">
        <f>IF(MemberOrgs_SortedTable[[#This Row],[Unique CFDA]] = "", "", IFERROR(MemberOrgs_SortedTable[[#This Row],[FY 2018 Total]]*MemberOrgs_SortedTable[[#This Row],[Senate Budget]], "No Budget Data"))</f>
        <v/>
      </c>
      <c r="L182" t="str">
        <f>IF(MemberOrgs_SortedTable[[#This Row],[Unique CFDA]] = "", "", IF(ISNUMBER(MemberOrgs_SortedTable[[#This Row],[President $ Change]]), RANK(MemberOrgs_SortedTable[[#This Row],[President $ Change]], $G$4:$G$227)+COUNTIF($G$4:G182, G182)-1, 0))</f>
        <v/>
      </c>
      <c r="M182" t="str">
        <f>IFERROR((IF(MemberOrgs_SortedTable[[#This Row],[Sort 1]] = 0, COUNTIF($L$4:L182, 0), "")+MAX(MemberOrgs_SortedTable[Sort 1])), "")</f>
        <v/>
      </c>
      <c r="N182" t="str">
        <f>IF(MemberOrgs_SortedTable[[#This Row],[Sort 1]]&gt;0, MemberOrgs_SortedTable[[#This Row],[Sort 1]], MemberOrgs_SortedTable[[#This Row],[Sort 2]])</f>
        <v/>
      </c>
    </row>
    <row r="183" spans="1:14" x14ac:dyDescent="0.25">
      <c r="A183" t="str">
        <f>IF(OR(MemberOrgControl!$B186 = "", MemberOrgControl!$B186 &lt;0), "", INDEX(MemberOrgsData[CFDA], MemberOrgControl!$B186))</f>
        <v/>
      </c>
      <c r="C183" t="str">
        <f>IFERROR(INDEX(AllCFDAs[All CFDAs], MATCH(0, INDEX(COUNTIF($C$3:C182, AllCFDAs[All CFDAs]),),0)), "")</f>
        <v/>
      </c>
      <c r="D183" t="str">
        <f t="array" ref="D183">IFERROR(INDEX(MemberOrgsData[FEDERALPROGRAMNAME], MATCH(1, (SelectMemberOrgs = MemberOrgsData[Auditee Name])*(MemberOrgs_SortedTable[[#This Row],[Unique CFDA]]= MemberOrgsData[CFDA]), 0)), "")</f>
        <v/>
      </c>
      <c r="E183" s="20" t="str">
        <f t="array" ref="E183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83" s="21" t="str">
        <f t="array" ref="F183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83" s="19" t="str">
        <f>IF(MemberOrgs_SortedTable[[#This Row],[Unique CFDA]] = "", "", IFERROR(MemberOrgs_SortedTable[[#This Row],[FY 2018 Total]]*MemberOrgs_SortedTable[[#This Row],[President % Change]], "No Budget Data"))</f>
        <v/>
      </c>
      <c r="H183" s="21" t="str">
        <f t="array" ref="H183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83" s="19" t="str">
        <f>IF(MemberOrgs_SortedTable[[#This Row],[Unique CFDA]] = "", "", IFERROR(MemberOrgs_SortedTable[[#This Row],[FY 2018 Total]]*MemberOrgs_SortedTable[[#This Row],[House % Change]], "No Budget Data"))</f>
        <v/>
      </c>
      <c r="K183" s="19" t="str">
        <f>IF(MemberOrgs_SortedTable[[#This Row],[Unique CFDA]] = "", "", IFERROR(MemberOrgs_SortedTable[[#This Row],[FY 2018 Total]]*MemberOrgs_SortedTable[[#This Row],[Senate Budget]], "No Budget Data"))</f>
        <v/>
      </c>
      <c r="L183" t="str">
        <f>IF(MemberOrgs_SortedTable[[#This Row],[Unique CFDA]] = "", "", IF(ISNUMBER(MemberOrgs_SortedTable[[#This Row],[President $ Change]]), RANK(MemberOrgs_SortedTable[[#This Row],[President $ Change]], $G$4:$G$227)+COUNTIF($G$4:G183, G183)-1, 0))</f>
        <v/>
      </c>
      <c r="M183" t="str">
        <f>IFERROR((IF(MemberOrgs_SortedTable[[#This Row],[Sort 1]] = 0, COUNTIF($L$4:L183, 0), "")+MAX(MemberOrgs_SortedTable[Sort 1])), "")</f>
        <v/>
      </c>
      <c r="N183" t="str">
        <f>IF(MemberOrgs_SortedTable[[#This Row],[Sort 1]]&gt;0, MemberOrgs_SortedTable[[#This Row],[Sort 1]], MemberOrgs_SortedTable[[#This Row],[Sort 2]])</f>
        <v/>
      </c>
    </row>
    <row r="184" spans="1:14" x14ac:dyDescent="0.25">
      <c r="A184" t="str">
        <f>IF(OR(MemberOrgControl!$B187 = "", MemberOrgControl!$B187 &lt;0), "", INDEX(MemberOrgsData[CFDA], MemberOrgControl!$B187))</f>
        <v/>
      </c>
      <c r="C184" t="str">
        <f>IFERROR(INDEX(AllCFDAs[All CFDAs], MATCH(0, INDEX(COUNTIF($C$3:C183, AllCFDAs[All CFDAs]),),0)), "")</f>
        <v/>
      </c>
      <c r="D184" t="str">
        <f t="array" ref="D184">IFERROR(INDEX(MemberOrgsData[FEDERALPROGRAMNAME], MATCH(1, (SelectMemberOrgs = MemberOrgsData[Auditee Name])*(MemberOrgs_SortedTable[[#This Row],[Unique CFDA]]= MemberOrgsData[CFDA]), 0)), "")</f>
        <v/>
      </c>
      <c r="E184" s="20" t="str">
        <f t="array" ref="E184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84" s="21" t="str">
        <f t="array" ref="F184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84" s="19" t="str">
        <f>IF(MemberOrgs_SortedTable[[#This Row],[Unique CFDA]] = "", "", IFERROR(MemberOrgs_SortedTable[[#This Row],[FY 2018 Total]]*MemberOrgs_SortedTable[[#This Row],[President % Change]], "No Budget Data"))</f>
        <v/>
      </c>
      <c r="H184" s="21" t="str">
        <f t="array" ref="H184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84" s="19" t="str">
        <f>IF(MemberOrgs_SortedTable[[#This Row],[Unique CFDA]] = "", "", IFERROR(MemberOrgs_SortedTable[[#This Row],[FY 2018 Total]]*MemberOrgs_SortedTable[[#This Row],[House % Change]], "No Budget Data"))</f>
        <v/>
      </c>
      <c r="K184" s="19" t="str">
        <f>IF(MemberOrgs_SortedTable[[#This Row],[Unique CFDA]] = "", "", IFERROR(MemberOrgs_SortedTable[[#This Row],[FY 2018 Total]]*MemberOrgs_SortedTable[[#This Row],[Senate Budget]], "No Budget Data"))</f>
        <v/>
      </c>
      <c r="L184" t="str">
        <f>IF(MemberOrgs_SortedTable[[#This Row],[Unique CFDA]] = "", "", IF(ISNUMBER(MemberOrgs_SortedTable[[#This Row],[President $ Change]]), RANK(MemberOrgs_SortedTable[[#This Row],[President $ Change]], $G$4:$G$227)+COUNTIF($G$4:G184, G184)-1, 0))</f>
        <v/>
      </c>
      <c r="M184" t="str">
        <f>IFERROR((IF(MemberOrgs_SortedTable[[#This Row],[Sort 1]] = 0, COUNTIF($L$4:L184, 0), "")+MAX(MemberOrgs_SortedTable[Sort 1])), "")</f>
        <v/>
      </c>
      <c r="N184" t="str">
        <f>IF(MemberOrgs_SortedTable[[#This Row],[Sort 1]]&gt;0, MemberOrgs_SortedTable[[#This Row],[Sort 1]], MemberOrgs_SortedTable[[#This Row],[Sort 2]])</f>
        <v/>
      </c>
    </row>
    <row r="185" spans="1:14" x14ac:dyDescent="0.25">
      <c r="A185" t="str">
        <f>IF(OR(MemberOrgControl!$B188 = "", MemberOrgControl!$B188 &lt;0), "", INDEX(MemberOrgsData[CFDA], MemberOrgControl!$B188))</f>
        <v/>
      </c>
      <c r="C185" t="str">
        <f>IFERROR(INDEX(AllCFDAs[All CFDAs], MATCH(0, INDEX(COUNTIF($C$3:C184, AllCFDAs[All CFDAs]),),0)), "")</f>
        <v/>
      </c>
      <c r="D185" t="str">
        <f t="array" ref="D185">IFERROR(INDEX(MemberOrgsData[FEDERALPROGRAMNAME], MATCH(1, (SelectMemberOrgs = MemberOrgsData[Auditee Name])*(MemberOrgs_SortedTable[[#This Row],[Unique CFDA]]= MemberOrgsData[CFDA]), 0)), "")</f>
        <v/>
      </c>
      <c r="E185" s="20" t="str">
        <f t="array" ref="E185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85" s="21" t="str">
        <f t="array" ref="F185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85" s="19" t="str">
        <f>IF(MemberOrgs_SortedTable[[#This Row],[Unique CFDA]] = "", "", IFERROR(MemberOrgs_SortedTable[[#This Row],[FY 2018 Total]]*MemberOrgs_SortedTable[[#This Row],[President % Change]], "No Budget Data"))</f>
        <v/>
      </c>
      <c r="H185" s="21" t="str">
        <f t="array" ref="H185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85" s="19" t="str">
        <f>IF(MemberOrgs_SortedTable[[#This Row],[Unique CFDA]] = "", "", IFERROR(MemberOrgs_SortedTable[[#This Row],[FY 2018 Total]]*MemberOrgs_SortedTable[[#This Row],[House % Change]], "No Budget Data"))</f>
        <v/>
      </c>
      <c r="K185" s="19" t="str">
        <f>IF(MemberOrgs_SortedTable[[#This Row],[Unique CFDA]] = "", "", IFERROR(MemberOrgs_SortedTable[[#This Row],[FY 2018 Total]]*MemberOrgs_SortedTable[[#This Row],[Senate Budget]], "No Budget Data"))</f>
        <v/>
      </c>
      <c r="L185" t="str">
        <f>IF(MemberOrgs_SortedTable[[#This Row],[Unique CFDA]] = "", "", IF(ISNUMBER(MemberOrgs_SortedTable[[#This Row],[President $ Change]]), RANK(MemberOrgs_SortedTable[[#This Row],[President $ Change]], $G$4:$G$227)+COUNTIF($G$4:G185, G185)-1, 0))</f>
        <v/>
      </c>
      <c r="M185" t="str">
        <f>IFERROR((IF(MemberOrgs_SortedTable[[#This Row],[Sort 1]] = 0, COUNTIF($L$4:L185, 0), "")+MAX(MemberOrgs_SortedTable[Sort 1])), "")</f>
        <v/>
      </c>
      <c r="N185" t="str">
        <f>IF(MemberOrgs_SortedTable[[#This Row],[Sort 1]]&gt;0, MemberOrgs_SortedTable[[#This Row],[Sort 1]], MemberOrgs_SortedTable[[#This Row],[Sort 2]])</f>
        <v/>
      </c>
    </row>
    <row r="186" spans="1:14" x14ac:dyDescent="0.25">
      <c r="A186" t="str">
        <f>IF(OR(MemberOrgControl!$B189 = "", MemberOrgControl!$B189 &lt;0), "", INDEX(MemberOrgsData[CFDA], MemberOrgControl!$B189))</f>
        <v/>
      </c>
      <c r="C186" t="str">
        <f>IFERROR(INDEX(AllCFDAs[All CFDAs], MATCH(0, INDEX(COUNTIF($C$3:C185, AllCFDAs[All CFDAs]),),0)), "")</f>
        <v/>
      </c>
      <c r="D186" t="str">
        <f t="array" ref="D186">IFERROR(INDEX(MemberOrgsData[FEDERALPROGRAMNAME], MATCH(1, (SelectMemberOrgs = MemberOrgsData[Auditee Name])*(MemberOrgs_SortedTable[[#This Row],[Unique CFDA]]= MemberOrgsData[CFDA]), 0)), "")</f>
        <v/>
      </c>
      <c r="E186" s="20" t="str">
        <f t="array" ref="E186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86" s="21" t="str">
        <f t="array" ref="F186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86" s="19" t="str">
        <f>IF(MemberOrgs_SortedTable[[#This Row],[Unique CFDA]] = "", "", IFERROR(MemberOrgs_SortedTable[[#This Row],[FY 2018 Total]]*MemberOrgs_SortedTable[[#This Row],[President % Change]], "No Budget Data"))</f>
        <v/>
      </c>
      <c r="H186" s="21" t="str">
        <f t="array" ref="H186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86" s="19" t="str">
        <f>IF(MemberOrgs_SortedTable[[#This Row],[Unique CFDA]] = "", "", IFERROR(MemberOrgs_SortedTable[[#This Row],[FY 2018 Total]]*MemberOrgs_SortedTable[[#This Row],[House % Change]], "No Budget Data"))</f>
        <v/>
      </c>
      <c r="K186" s="19" t="str">
        <f>IF(MemberOrgs_SortedTable[[#This Row],[Unique CFDA]] = "", "", IFERROR(MemberOrgs_SortedTable[[#This Row],[FY 2018 Total]]*MemberOrgs_SortedTable[[#This Row],[Senate Budget]], "No Budget Data"))</f>
        <v/>
      </c>
      <c r="L186" t="str">
        <f>IF(MemberOrgs_SortedTable[[#This Row],[Unique CFDA]] = "", "", IF(ISNUMBER(MemberOrgs_SortedTable[[#This Row],[President $ Change]]), RANK(MemberOrgs_SortedTable[[#This Row],[President $ Change]], $G$4:$G$227)+COUNTIF($G$4:G186, G186)-1, 0))</f>
        <v/>
      </c>
      <c r="M186" t="str">
        <f>IFERROR((IF(MemberOrgs_SortedTable[[#This Row],[Sort 1]] = 0, COUNTIF($L$4:L186, 0), "")+MAX(MemberOrgs_SortedTable[Sort 1])), "")</f>
        <v/>
      </c>
      <c r="N186" t="str">
        <f>IF(MemberOrgs_SortedTable[[#This Row],[Sort 1]]&gt;0, MemberOrgs_SortedTable[[#This Row],[Sort 1]], MemberOrgs_SortedTable[[#This Row],[Sort 2]])</f>
        <v/>
      </c>
    </row>
    <row r="187" spans="1:14" x14ac:dyDescent="0.25">
      <c r="A187" t="str">
        <f>IF(OR(MemberOrgControl!$B190 = "", MemberOrgControl!$B190 &lt;0), "", INDEX(MemberOrgsData[CFDA], MemberOrgControl!$B190))</f>
        <v/>
      </c>
      <c r="C187" t="str">
        <f>IFERROR(INDEX(AllCFDAs[All CFDAs], MATCH(0, INDEX(COUNTIF($C$3:C186, AllCFDAs[All CFDAs]),),0)), "")</f>
        <v/>
      </c>
      <c r="D187" t="str">
        <f t="array" ref="D187">IFERROR(INDEX(MemberOrgsData[FEDERALPROGRAMNAME], MATCH(1, (SelectMemberOrgs = MemberOrgsData[Auditee Name])*(MemberOrgs_SortedTable[[#This Row],[Unique CFDA]]= MemberOrgsData[CFDA]), 0)), "")</f>
        <v/>
      </c>
      <c r="E187" s="20" t="str">
        <f t="array" ref="E187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87" s="21" t="str">
        <f t="array" ref="F187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87" s="19" t="str">
        <f>IF(MemberOrgs_SortedTable[[#This Row],[Unique CFDA]] = "", "", IFERROR(MemberOrgs_SortedTable[[#This Row],[FY 2018 Total]]*MemberOrgs_SortedTable[[#This Row],[President % Change]], "No Budget Data"))</f>
        <v/>
      </c>
      <c r="H187" s="21" t="str">
        <f t="array" ref="H187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87" s="19" t="str">
        <f>IF(MemberOrgs_SortedTable[[#This Row],[Unique CFDA]] = "", "", IFERROR(MemberOrgs_SortedTable[[#This Row],[FY 2018 Total]]*MemberOrgs_SortedTable[[#This Row],[House % Change]], "No Budget Data"))</f>
        <v/>
      </c>
      <c r="K187" s="19" t="str">
        <f>IF(MemberOrgs_SortedTable[[#This Row],[Unique CFDA]] = "", "", IFERROR(MemberOrgs_SortedTable[[#This Row],[FY 2018 Total]]*MemberOrgs_SortedTable[[#This Row],[Senate Budget]], "No Budget Data"))</f>
        <v/>
      </c>
      <c r="L187" t="str">
        <f>IF(MemberOrgs_SortedTable[[#This Row],[Unique CFDA]] = "", "", IF(ISNUMBER(MemberOrgs_SortedTable[[#This Row],[President $ Change]]), RANK(MemberOrgs_SortedTable[[#This Row],[President $ Change]], $G$4:$G$227)+COUNTIF($G$4:G187, G187)-1, 0))</f>
        <v/>
      </c>
      <c r="M187" t="str">
        <f>IFERROR((IF(MemberOrgs_SortedTable[[#This Row],[Sort 1]] = 0, COUNTIF($L$4:L187, 0), "")+MAX(MemberOrgs_SortedTable[Sort 1])), "")</f>
        <v/>
      </c>
      <c r="N187" t="str">
        <f>IF(MemberOrgs_SortedTable[[#This Row],[Sort 1]]&gt;0, MemberOrgs_SortedTable[[#This Row],[Sort 1]], MemberOrgs_SortedTable[[#This Row],[Sort 2]])</f>
        <v/>
      </c>
    </row>
    <row r="188" spans="1:14" x14ac:dyDescent="0.25">
      <c r="A188" t="str">
        <f>IF(OR(MemberOrgControl!$B191 = "", MemberOrgControl!$B191 &lt;0), "", INDEX(MemberOrgsData[CFDA], MemberOrgControl!$B191))</f>
        <v/>
      </c>
      <c r="C188" t="str">
        <f>IFERROR(INDEX(AllCFDAs[All CFDAs], MATCH(0, INDEX(COUNTIF($C$3:C187, AllCFDAs[All CFDAs]),),0)), "")</f>
        <v/>
      </c>
      <c r="D188" t="str">
        <f t="array" ref="D188">IFERROR(INDEX(MemberOrgsData[FEDERALPROGRAMNAME], MATCH(1, (SelectMemberOrgs = MemberOrgsData[Auditee Name])*(MemberOrgs_SortedTable[[#This Row],[Unique CFDA]]= MemberOrgsData[CFDA]), 0)), "")</f>
        <v/>
      </c>
      <c r="E188" s="20" t="str">
        <f t="array" ref="E188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88" s="21" t="str">
        <f t="array" ref="F188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88" s="19" t="str">
        <f>IF(MemberOrgs_SortedTable[[#This Row],[Unique CFDA]] = "", "", IFERROR(MemberOrgs_SortedTable[[#This Row],[FY 2018 Total]]*MemberOrgs_SortedTable[[#This Row],[President % Change]], "No Budget Data"))</f>
        <v/>
      </c>
      <c r="H188" s="21" t="str">
        <f t="array" ref="H188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88" s="19" t="str">
        <f>IF(MemberOrgs_SortedTable[[#This Row],[Unique CFDA]] = "", "", IFERROR(MemberOrgs_SortedTable[[#This Row],[FY 2018 Total]]*MemberOrgs_SortedTable[[#This Row],[House % Change]], "No Budget Data"))</f>
        <v/>
      </c>
      <c r="K188" s="19" t="str">
        <f>IF(MemberOrgs_SortedTable[[#This Row],[Unique CFDA]] = "", "", IFERROR(MemberOrgs_SortedTable[[#This Row],[FY 2018 Total]]*MemberOrgs_SortedTable[[#This Row],[Senate Budget]], "No Budget Data"))</f>
        <v/>
      </c>
      <c r="L188" t="str">
        <f>IF(MemberOrgs_SortedTable[[#This Row],[Unique CFDA]] = "", "", IF(ISNUMBER(MemberOrgs_SortedTable[[#This Row],[President $ Change]]), RANK(MemberOrgs_SortedTable[[#This Row],[President $ Change]], $G$4:$G$227)+COUNTIF($G$4:G188, G188)-1, 0))</f>
        <v/>
      </c>
      <c r="M188" t="str">
        <f>IFERROR((IF(MemberOrgs_SortedTable[[#This Row],[Sort 1]] = 0, COUNTIF($L$4:L188, 0), "")+MAX(MemberOrgs_SortedTable[Sort 1])), "")</f>
        <v/>
      </c>
      <c r="N188" t="str">
        <f>IF(MemberOrgs_SortedTable[[#This Row],[Sort 1]]&gt;0, MemberOrgs_SortedTable[[#This Row],[Sort 1]], MemberOrgs_SortedTable[[#This Row],[Sort 2]])</f>
        <v/>
      </c>
    </row>
    <row r="189" spans="1:14" x14ac:dyDescent="0.25">
      <c r="A189" t="str">
        <f>IF(OR(MemberOrgControl!$B192 = "", MemberOrgControl!$B192 &lt;0), "", INDEX(MemberOrgsData[CFDA], MemberOrgControl!$B192))</f>
        <v/>
      </c>
      <c r="C189" t="str">
        <f>IFERROR(INDEX(AllCFDAs[All CFDAs], MATCH(0, INDEX(COUNTIF($C$3:C188, AllCFDAs[All CFDAs]),),0)), "")</f>
        <v/>
      </c>
      <c r="D189" t="str">
        <f t="array" ref="D189">IFERROR(INDEX(MemberOrgsData[FEDERALPROGRAMNAME], MATCH(1, (SelectMemberOrgs = MemberOrgsData[Auditee Name])*(MemberOrgs_SortedTable[[#This Row],[Unique CFDA]]= MemberOrgsData[CFDA]), 0)), "")</f>
        <v/>
      </c>
      <c r="E189" s="20" t="str">
        <f t="array" ref="E189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89" s="21" t="str">
        <f t="array" ref="F189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89" s="19" t="str">
        <f>IF(MemberOrgs_SortedTable[[#This Row],[Unique CFDA]] = "", "", IFERROR(MemberOrgs_SortedTable[[#This Row],[FY 2018 Total]]*MemberOrgs_SortedTable[[#This Row],[President % Change]], "No Budget Data"))</f>
        <v/>
      </c>
      <c r="H189" s="21" t="str">
        <f t="array" ref="H189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89" s="19" t="str">
        <f>IF(MemberOrgs_SortedTable[[#This Row],[Unique CFDA]] = "", "", IFERROR(MemberOrgs_SortedTable[[#This Row],[FY 2018 Total]]*MemberOrgs_SortedTable[[#This Row],[House % Change]], "No Budget Data"))</f>
        <v/>
      </c>
      <c r="K189" s="19" t="str">
        <f>IF(MemberOrgs_SortedTable[[#This Row],[Unique CFDA]] = "", "", IFERROR(MemberOrgs_SortedTable[[#This Row],[FY 2018 Total]]*MemberOrgs_SortedTable[[#This Row],[Senate Budget]], "No Budget Data"))</f>
        <v/>
      </c>
      <c r="L189" t="str">
        <f>IF(MemberOrgs_SortedTable[[#This Row],[Unique CFDA]] = "", "", IF(ISNUMBER(MemberOrgs_SortedTable[[#This Row],[President $ Change]]), RANK(MemberOrgs_SortedTable[[#This Row],[President $ Change]], $G$4:$G$227)+COUNTIF($G$4:G189, G189)-1, 0))</f>
        <v/>
      </c>
      <c r="M189" t="str">
        <f>IFERROR((IF(MemberOrgs_SortedTable[[#This Row],[Sort 1]] = 0, COUNTIF($L$4:L189, 0), "")+MAX(MemberOrgs_SortedTable[Sort 1])), "")</f>
        <v/>
      </c>
      <c r="N189" t="str">
        <f>IF(MemberOrgs_SortedTable[[#This Row],[Sort 1]]&gt;0, MemberOrgs_SortedTable[[#This Row],[Sort 1]], MemberOrgs_SortedTable[[#This Row],[Sort 2]])</f>
        <v/>
      </c>
    </row>
    <row r="190" spans="1:14" x14ac:dyDescent="0.25">
      <c r="A190" t="str">
        <f>IF(OR(MemberOrgControl!$B193 = "", MemberOrgControl!$B193 &lt;0), "", INDEX(MemberOrgsData[CFDA], MemberOrgControl!$B193))</f>
        <v/>
      </c>
      <c r="C190" t="str">
        <f>IFERROR(INDEX(AllCFDAs[All CFDAs], MATCH(0, INDEX(COUNTIF($C$3:C189, AllCFDAs[All CFDAs]),),0)), "")</f>
        <v/>
      </c>
      <c r="D190" t="str">
        <f t="array" ref="D190">IFERROR(INDEX(MemberOrgsData[FEDERALPROGRAMNAME], MATCH(1, (SelectMemberOrgs = MemberOrgsData[Auditee Name])*(MemberOrgs_SortedTable[[#This Row],[Unique CFDA]]= MemberOrgsData[CFDA]), 0)), "")</f>
        <v/>
      </c>
      <c r="E190" s="20" t="str">
        <f t="array" ref="E190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90" s="21" t="str">
        <f t="array" ref="F190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90" s="19" t="str">
        <f>IF(MemberOrgs_SortedTable[[#This Row],[Unique CFDA]] = "", "", IFERROR(MemberOrgs_SortedTable[[#This Row],[FY 2018 Total]]*MemberOrgs_SortedTable[[#This Row],[President % Change]], "No Budget Data"))</f>
        <v/>
      </c>
      <c r="H190" s="21" t="str">
        <f t="array" ref="H190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90" s="19" t="str">
        <f>IF(MemberOrgs_SortedTable[[#This Row],[Unique CFDA]] = "", "", IFERROR(MemberOrgs_SortedTable[[#This Row],[FY 2018 Total]]*MemberOrgs_SortedTable[[#This Row],[House % Change]], "No Budget Data"))</f>
        <v/>
      </c>
      <c r="K190" s="19" t="str">
        <f>IF(MemberOrgs_SortedTable[[#This Row],[Unique CFDA]] = "", "", IFERROR(MemberOrgs_SortedTable[[#This Row],[FY 2018 Total]]*MemberOrgs_SortedTable[[#This Row],[Senate Budget]], "No Budget Data"))</f>
        <v/>
      </c>
      <c r="L190" t="str">
        <f>IF(MemberOrgs_SortedTable[[#This Row],[Unique CFDA]] = "", "", IF(ISNUMBER(MemberOrgs_SortedTable[[#This Row],[President $ Change]]), RANK(MemberOrgs_SortedTable[[#This Row],[President $ Change]], $G$4:$G$227)+COUNTIF($G$4:G190, G190)-1, 0))</f>
        <v/>
      </c>
      <c r="M190" t="str">
        <f>IFERROR((IF(MemberOrgs_SortedTable[[#This Row],[Sort 1]] = 0, COUNTIF($L$4:L190, 0), "")+MAX(MemberOrgs_SortedTable[Sort 1])), "")</f>
        <v/>
      </c>
      <c r="N190" t="str">
        <f>IF(MemberOrgs_SortedTable[[#This Row],[Sort 1]]&gt;0, MemberOrgs_SortedTable[[#This Row],[Sort 1]], MemberOrgs_SortedTable[[#This Row],[Sort 2]])</f>
        <v/>
      </c>
    </row>
    <row r="191" spans="1:14" x14ac:dyDescent="0.25">
      <c r="A191" t="str">
        <f>IF(OR(MemberOrgControl!$B194 = "", MemberOrgControl!$B194 &lt;0), "", INDEX(MemberOrgsData[CFDA], MemberOrgControl!$B194))</f>
        <v/>
      </c>
      <c r="C191" t="str">
        <f>IFERROR(INDEX(AllCFDAs[All CFDAs], MATCH(0, INDEX(COUNTIF($C$3:C190, AllCFDAs[All CFDAs]),),0)), "")</f>
        <v/>
      </c>
      <c r="D191" t="str">
        <f t="array" ref="D191">IFERROR(INDEX(MemberOrgsData[FEDERALPROGRAMNAME], MATCH(1, (SelectMemberOrgs = MemberOrgsData[Auditee Name])*(MemberOrgs_SortedTable[[#This Row],[Unique CFDA]]= MemberOrgsData[CFDA]), 0)), "")</f>
        <v/>
      </c>
      <c r="E191" s="20" t="str">
        <f t="array" ref="E191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91" s="21" t="str">
        <f t="array" ref="F191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91" s="19" t="str">
        <f>IF(MemberOrgs_SortedTable[[#This Row],[Unique CFDA]] = "", "", IFERROR(MemberOrgs_SortedTable[[#This Row],[FY 2018 Total]]*MemberOrgs_SortedTable[[#This Row],[President % Change]], "No Budget Data"))</f>
        <v/>
      </c>
      <c r="H191" s="21" t="str">
        <f t="array" ref="H191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91" s="19" t="str">
        <f>IF(MemberOrgs_SortedTable[[#This Row],[Unique CFDA]] = "", "", IFERROR(MemberOrgs_SortedTable[[#This Row],[FY 2018 Total]]*MemberOrgs_SortedTable[[#This Row],[House % Change]], "No Budget Data"))</f>
        <v/>
      </c>
      <c r="K191" s="19" t="str">
        <f>IF(MemberOrgs_SortedTable[[#This Row],[Unique CFDA]] = "", "", IFERROR(MemberOrgs_SortedTable[[#This Row],[FY 2018 Total]]*MemberOrgs_SortedTable[[#This Row],[Senate Budget]], "No Budget Data"))</f>
        <v/>
      </c>
      <c r="L191" t="str">
        <f>IF(MemberOrgs_SortedTable[[#This Row],[Unique CFDA]] = "", "", IF(ISNUMBER(MemberOrgs_SortedTable[[#This Row],[President $ Change]]), RANK(MemberOrgs_SortedTable[[#This Row],[President $ Change]], $G$4:$G$227)+COUNTIF($G$4:G191, G191)-1, 0))</f>
        <v/>
      </c>
      <c r="M191" t="str">
        <f>IFERROR((IF(MemberOrgs_SortedTable[[#This Row],[Sort 1]] = 0, COUNTIF($L$4:L191, 0), "")+MAX(MemberOrgs_SortedTable[Sort 1])), "")</f>
        <v/>
      </c>
      <c r="N191" t="str">
        <f>IF(MemberOrgs_SortedTable[[#This Row],[Sort 1]]&gt;0, MemberOrgs_SortedTable[[#This Row],[Sort 1]], MemberOrgs_SortedTable[[#This Row],[Sort 2]])</f>
        <v/>
      </c>
    </row>
    <row r="192" spans="1:14" x14ac:dyDescent="0.25">
      <c r="A192" t="str">
        <f>IF(OR(MemberOrgControl!$B195 = "", MemberOrgControl!$B195 &lt;0), "", INDEX(MemberOrgsData[CFDA], MemberOrgControl!$B195))</f>
        <v/>
      </c>
      <c r="C192" t="str">
        <f>IFERROR(INDEX(AllCFDAs[All CFDAs], MATCH(0, INDEX(COUNTIF($C$3:C191, AllCFDAs[All CFDAs]),),0)), "")</f>
        <v/>
      </c>
      <c r="D192" t="str">
        <f t="array" ref="D192">IFERROR(INDEX(MemberOrgsData[FEDERALPROGRAMNAME], MATCH(1, (SelectMemberOrgs = MemberOrgsData[Auditee Name])*(MemberOrgs_SortedTable[[#This Row],[Unique CFDA]]= MemberOrgsData[CFDA]), 0)), "")</f>
        <v/>
      </c>
      <c r="E192" s="20" t="str">
        <f t="array" ref="E192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92" s="21" t="str">
        <f t="array" ref="F192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92" s="19" t="str">
        <f>IF(MemberOrgs_SortedTable[[#This Row],[Unique CFDA]] = "", "", IFERROR(MemberOrgs_SortedTable[[#This Row],[FY 2018 Total]]*MemberOrgs_SortedTable[[#This Row],[President % Change]], "No Budget Data"))</f>
        <v/>
      </c>
      <c r="H192" s="21" t="str">
        <f t="array" ref="H192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92" s="19" t="str">
        <f>IF(MemberOrgs_SortedTable[[#This Row],[Unique CFDA]] = "", "", IFERROR(MemberOrgs_SortedTable[[#This Row],[FY 2018 Total]]*MemberOrgs_SortedTable[[#This Row],[House % Change]], "No Budget Data"))</f>
        <v/>
      </c>
      <c r="K192" s="19" t="str">
        <f>IF(MemberOrgs_SortedTable[[#This Row],[Unique CFDA]] = "", "", IFERROR(MemberOrgs_SortedTable[[#This Row],[FY 2018 Total]]*MemberOrgs_SortedTable[[#This Row],[Senate Budget]], "No Budget Data"))</f>
        <v/>
      </c>
      <c r="L192" t="str">
        <f>IF(MemberOrgs_SortedTable[[#This Row],[Unique CFDA]] = "", "", IF(ISNUMBER(MemberOrgs_SortedTable[[#This Row],[President $ Change]]), RANK(MemberOrgs_SortedTable[[#This Row],[President $ Change]], $G$4:$G$227)+COUNTIF($G$4:G192, G192)-1, 0))</f>
        <v/>
      </c>
      <c r="M192" t="str">
        <f>IFERROR((IF(MemberOrgs_SortedTable[[#This Row],[Sort 1]] = 0, COUNTIF($L$4:L192, 0), "")+MAX(MemberOrgs_SortedTable[Sort 1])), "")</f>
        <v/>
      </c>
      <c r="N192" t="str">
        <f>IF(MemberOrgs_SortedTable[[#This Row],[Sort 1]]&gt;0, MemberOrgs_SortedTable[[#This Row],[Sort 1]], MemberOrgs_SortedTable[[#This Row],[Sort 2]])</f>
        <v/>
      </c>
    </row>
    <row r="193" spans="1:14" x14ac:dyDescent="0.25">
      <c r="A193" t="str">
        <f>IF(OR(MemberOrgControl!$B196 = "", MemberOrgControl!$B196 &lt;0), "", INDEX(MemberOrgsData[CFDA], MemberOrgControl!$B196))</f>
        <v/>
      </c>
      <c r="C193" t="str">
        <f>IFERROR(INDEX(AllCFDAs[All CFDAs], MATCH(0, INDEX(COUNTIF($C$3:C192, AllCFDAs[All CFDAs]),),0)), "")</f>
        <v/>
      </c>
      <c r="D193" t="str">
        <f t="array" ref="D193">IFERROR(INDEX(MemberOrgsData[FEDERALPROGRAMNAME], MATCH(1, (SelectMemberOrgs = MemberOrgsData[Auditee Name])*(MemberOrgs_SortedTable[[#This Row],[Unique CFDA]]= MemberOrgsData[CFDA]), 0)), "")</f>
        <v/>
      </c>
      <c r="E193" s="20" t="str">
        <f t="array" ref="E193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93" s="21" t="str">
        <f t="array" ref="F193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93" s="19" t="str">
        <f>IF(MemberOrgs_SortedTable[[#This Row],[Unique CFDA]] = "", "", IFERROR(MemberOrgs_SortedTable[[#This Row],[FY 2018 Total]]*MemberOrgs_SortedTable[[#This Row],[President % Change]], "No Budget Data"))</f>
        <v/>
      </c>
      <c r="H193" s="21" t="str">
        <f t="array" ref="H193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93" s="19" t="str">
        <f>IF(MemberOrgs_SortedTable[[#This Row],[Unique CFDA]] = "", "", IFERROR(MemberOrgs_SortedTable[[#This Row],[FY 2018 Total]]*MemberOrgs_SortedTable[[#This Row],[House % Change]], "No Budget Data"))</f>
        <v/>
      </c>
      <c r="K193" s="19" t="str">
        <f>IF(MemberOrgs_SortedTable[[#This Row],[Unique CFDA]] = "", "", IFERROR(MemberOrgs_SortedTable[[#This Row],[FY 2018 Total]]*MemberOrgs_SortedTable[[#This Row],[Senate Budget]], "No Budget Data"))</f>
        <v/>
      </c>
      <c r="L193" t="str">
        <f>IF(MemberOrgs_SortedTable[[#This Row],[Unique CFDA]] = "", "", IF(ISNUMBER(MemberOrgs_SortedTable[[#This Row],[President $ Change]]), RANK(MemberOrgs_SortedTable[[#This Row],[President $ Change]], $G$4:$G$227)+COUNTIF($G$4:G193, G193)-1, 0))</f>
        <v/>
      </c>
      <c r="M193" t="str">
        <f>IFERROR((IF(MemberOrgs_SortedTable[[#This Row],[Sort 1]] = 0, COUNTIF($L$4:L193, 0), "")+MAX(MemberOrgs_SortedTable[Sort 1])), "")</f>
        <v/>
      </c>
      <c r="N193" t="str">
        <f>IF(MemberOrgs_SortedTable[[#This Row],[Sort 1]]&gt;0, MemberOrgs_SortedTable[[#This Row],[Sort 1]], MemberOrgs_SortedTable[[#This Row],[Sort 2]])</f>
        <v/>
      </c>
    </row>
    <row r="194" spans="1:14" x14ac:dyDescent="0.25">
      <c r="A194" t="str">
        <f>IF(OR(MemberOrgControl!$B197 = "", MemberOrgControl!$B197 &lt;0), "", INDEX(MemberOrgsData[CFDA], MemberOrgControl!$B197))</f>
        <v/>
      </c>
      <c r="C194" t="str">
        <f>IFERROR(INDEX(AllCFDAs[All CFDAs], MATCH(0, INDEX(COUNTIF($C$3:C193, AllCFDAs[All CFDAs]),),0)), "")</f>
        <v/>
      </c>
      <c r="D194" t="str">
        <f t="array" ref="D194">IFERROR(INDEX(MemberOrgsData[FEDERALPROGRAMNAME], MATCH(1, (SelectMemberOrgs = MemberOrgsData[Auditee Name])*(MemberOrgs_SortedTable[[#This Row],[Unique CFDA]]= MemberOrgsData[CFDA]), 0)), "")</f>
        <v/>
      </c>
      <c r="E194" s="20" t="str">
        <f t="array" ref="E194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94" s="21" t="str">
        <f t="array" ref="F194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94" s="19" t="str">
        <f>IF(MemberOrgs_SortedTable[[#This Row],[Unique CFDA]] = "", "", IFERROR(MemberOrgs_SortedTable[[#This Row],[FY 2018 Total]]*MemberOrgs_SortedTable[[#This Row],[President % Change]], "No Budget Data"))</f>
        <v/>
      </c>
      <c r="H194" s="21" t="str">
        <f t="array" ref="H194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94" s="19" t="str">
        <f>IF(MemberOrgs_SortedTable[[#This Row],[Unique CFDA]] = "", "", IFERROR(MemberOrgs_SortedTable[[#This Row],[FY 2018 Total]]*MemberOrgs_SortedTable[[#This Row],[House % Change]], "No Budget Data"))</f>
        <v/>
      </c>
      <c r="K194" s="19" t="str">
        <f>IF(MemberOrgs_SortedTable[[#This Row],[Unique CFDA]] = "", "", IFERROR(MemberOrgs_SortedTable[[#This Row],[FY 2018 Total]]*MemberOrgs_SortedTable[[#This Row],[Senate Budget]], "No Budget Data"))</f>
        <v/>
      </c>
      <c r="L194" t="str">
        <f>IF(MemberOrgs_SortedTable[[#This Row],[Unique CFDA]] = "", "", IF(ISNUMBER(MemberOrgs_SortedTable[[#This Row],[President $ Change]]), RANK(MemberOrgs_SortedTable[[#This Row],[President $ Change]], $G$4:$G$227)+COUNTIF($G$4:G194, G194)-1, 0))</f>
        <v/>
      </c>
      <c r="M194" t="str">
        <f>IFERROR((IF(MemberOrgs_SortedTable[[#This Row],[Sort 1]] = 0, COUNTIF($L$4:L194, 0), "")+MAX(MemberOrgs_SortedTable[Sort 1])), "")</f>
        <v/>
      </c>
      <c r="N194" t="str">
        <f>IF(MemberOrgs_SortedTable[[#This Row],[Sort 1]]&gt;0, MemberOrgs_SortedTable[[#This Row],[Sort 1]], MemberOrgs_SortedTable[[#This Row],[Sort 2]])</f>
        <v/>
      </c>
    </row>
    <row r="195" spans="1:14" x14ac:dyDescent="0.25">
      <c r="A195" t="str">
        <f>IF(OR(MemberOrgControl!$B198 = "", MemberOrgControl!$B198 &lt;0), "", INDEX(MemberOrgsData[CFDA], MemberOrgControl!$B198))</f>
        <v/>
      </c>
      <c r="C195" t="str">
        <f>IFERROR(INDEX(AllCFDAs[All CFDAs], MATCH(0, INDEX(COUNTIF($C$3:C194, AllCFDAs[All CFDAs]),),0)), "")</f>
        <v/>
      </c>
      <c r="D195" t="str">
        <f t="array" ref="D195">IFERROR(INDEX(MemberOrgsData[FEDERALPROGRAMNAME], MATCH(1, (SelectMemberOrgs = MemberOrgsData[Auditee Name])*(MemberOrgs_SortedTable[[#This Row],[Unique CFDA]]= MemberOrgsData[CFDA]), 0)), "")</f>
        <v/>
      </c>
      <c r="E195" s="20" t="str">
        <f t="array" ref="E195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95" s="21" t="str">
        <f t="array" ref="F195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95" s="19" t="str">
        <f>IF(MemberOrgs_SortedTable[[#This Row],[Unique CFDA]] = "", "", IFERROR(MemberOrgs_SortedTable[[#This Row],[FY 2018 Total]]*MemberOrgs_SortedTable[[#This Row],[President % Change]], "No Budget Data"))</f>
        <v/>
      </c>
      <c r="H195" s="21" t="str">
        <f t="array" ref="H195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95" s="19" t="str">
        <f>IF(MemberOrgs_SortedTable[[#This Row],[Unique CFDA]] = "", "", IFERROR(MemberOrgs_SortedTable[[#This Row],[FY 2018 Total]]*MemberOrgs_SortedTable[[#This Row],[House % Change]], "No Budget Data"))</f>
        <v/>
      </c>
      <c r="K195" s="19" t="str">
        <f>IF(MemberOrgs_SortedTable[[#This Row],[Unique CFDA]] = "", "", IFERROR(MemberOrgs_SortedTable[[#This Row],[FY 2018 Total]]*MemberOrgs_SortedTable[[#This Row],[Senate Budget]], "No Budget Data"))</f>
        <v/>
      </c>
      <c r="L195" t="str">
        <f>IF(MemberOrgs_SortedTable[[#This Row],[Unique CFDA]] = "", "", IF(ISNUMBER(MemberOrgs_SortedTable[[#This Row],[President $ Change]]), RANK(MemberOrgs_SortedTable[[#This Row],[President $ Change]], $G$4:$G$227)+COUNTIF($G$4:G195, G195)-1, 0))</f>
        <v/>
      </c>
      <c r="M195" t="str">
        <f>IFERROR((IF(MemberOrgs_SortedTable[[#This Row],[Sort 1]] = 0, COUNTIF($L$4:L195, 0), "")+MAX(MemberOrgs_SortedTable[Sort 1])), "")</f>
        <v/>
      </c>
      <c r="N195" t="str">
        <f>IF(MemberOrgs_SortedTable[[#This Row],[Sort 1]]&gt;0, MemberOrgs_SortedTable[[#This Row],[Sort 1]], MemberOrgs_SortedTable[[#This Row],[Sort 2]])</f>
        <v/>
      </c>
    </row>
    <row r="196" spans="1:14" x14ac:dyDescent="0.25">
      <c r="A196" t="str">
        <f>IF(OR(MemberOrgControl!$B199 = "", MemberOrgControl!$B199 &lt;0), "", INDEX(MemberOrgsData[CFDA], MemberOrgControl!$B199))</f>
        <v/>
      </c>
      <c r="C196" t="str">
        <f>IFERROR(INDEX(AllCFDAs[All CFDAs], MATCH(0, INDEX(COUNTIF($C$3:C195, AllCFDAs[All CFDAs]),),0)), "")</f>
        <v/>
      </c>
      <c r="D196" t="str">
        <f t="array" ref="D196">IFERROR(INDEX(MemberOrgsData[FEDERALPROGRAMNAME], MATCH(1, (SelectMemberOrgs = MemberOrgsData[Auditee Name])*(MemberOrgs_SortedTable[[#This Row],[Unique CFDA]]= MemberOrgsData[CFDA]), 0)), "")</f>
        <v/>
      </c>
      <c r="E196" s="20" t="str">
        <f t="array" ref="E196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96" s="21" t="str">
        <f t="array" ref="F196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96" s="19" t="str">
        <f>IF(MemberOrgs_SortedTable[[#This Row],[Unique CFDA]] = "", "", IFERROR(MemberOrgs_SortedTable[[#This Row],[FY 2018 Total]]*MemberOrgs_SortedTable[[#This Row],[President % Change]], "No Budget Data"))</f>
        <v/>
      </c>
      <c r="H196" s="21" t="str">
        <f t="array" ref="H196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96" s="19" t="str">
        <f>IF(MemberOrgs_SortedTable[[#This Row],[Unique CFDA]] = "", "", IFERROR(MemberOrgs_SortedTable[[#This Row],[FY 2018 Total]]*MemberOrgs_SortedTable[[#This Row],[House % Change]], "No Budget Data"))</f>
        <v/>
      </c>
      <c r="K196" s="19" t="str">
        <f>IF(MemberOrgs_SortedTable[[#This Row],[Unique CFDA]] = "", "", IFERROR(MemberOrgs_SortedTable[[#This Row],[FY 2018 Total]]*MemberOrgs_SortedTable[[#This Row],[Senate Budget]], "No Budget Data"))</f>
        <v/>
      </c>
      <c r="L196" t="str">
        <f>IF(MemberOrgs_SortedTable[[#This Row],[Unique CFDA]] = "", "", IF(ISNUMBER(MemberOrgs_SortedTable[[#This Row],[President $ Change]]), RANK(MemberOrgs_SortedTable[[#This Row],[President $ Change]], $G$4:$G$227)+COUNTIF($G$4:G196, G196)-1, 0))</f>
        <v/>
      </c>
      <c r="M196" t="str">
        <f>IFERROR((IF(MemberOrgs_SortedTable[[#This Row],[Sort 1]] = 0, COUNTIF($L$4:L196, 0), "")+MAX(MemberOrgs_SortedTable[Sort 1])), "")</f>
        <v/>
      </c>
      <c r="N196" t="str">
        <f>IF(MemberOrgs_SortedTable[[#This Row],[Sort 1]]&gt;0, MemberOrgs_SortedTable[[#This Row],[Sort 1]], MemberOrgs_SortedTable[[#This Row],[Sort 2]])</f>
        <v/>
      </c>
    </row>
    <row r="197" spans="1:14" x14ac:dyDescent="0.25">
      <c r="A197" t="str">
        <f>IF(OR(MemberOrgControl!$B200 = "", MemberOrgControl!$B200 &lt;0), "", INDEX(MemberOrgsData[CFDA], MemberOrgControl!$B200))</f>
        <v/>
      </c>
      <c r="C197" t="str">
        <f>IFERROR(INDEX(AllCFDAs[All CFDAs], MATCH(0, INDEX(COUNTIF($C$3:C196, AllCFDAs[All CFDAs]),),0)), "")</f>
        <v/>
      </c>
      <c r="D197" t="str">
        <f t="array" ref="D197">IFERROR(INDEX(MemberOrgsData[FEDERALPROGRAMNAME], MATCH(1, (SelectMemberOrgs = MemberOrgsData[Auditee Name])*(MemberOrgs_SortedTable[[#This Row],[Unique CFDA]]= MemberOrgsData[CFDA]), 0)), "")</f>
        <v/>
      </c>
      <c r="E197" s="20" t="str">
        <f t="array" ref="E197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97" s="21" t="str">
        <f t="array" ref="F197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97" s="19" t="str">
        <f>IF(MemberOrgs_SortedTable[[#This Row],[Unique CFDA]] = "", "", IFERROR(MemberOrgs_SortedTable[[#This Row],[FY 2018 Total]]*MemberOrgs_SortedTable[[#This Row],[President % Change]], "No Budget Data"))</f>
        <v/>
      </c>
      <c r="H197" s="21" t="str">
        <f t="array" ref="H197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97" s="19" t="str">
        <f>IF(MemberOrgs_SortedTable[[#This Row],[Unique CFDA]] = "", "", IFERROR(MemberOrgs_SortedTable[[#This Row],[FY 2018 Total]]*MemberOrgs_SortedTable[[#This Row],[House % Change]], "No Budget Data"))</f>
        <v/>
      </c>
      <c r="K197" s="19" t="str">
        <f>IF(MemberOrgs_SortedTable[[#This Row],[Unique CFDA]] = "", "", IFERROR(MemberOrgs_SortedTable[[#This Row],[FY 2018 Total]]*MemberOrgs_SortedTable[[#This Row],[Senate Budget]], "No Budget Data"))</f>
        <v/>
      </c>
      <c r="L197" t="str">
        <f>IF(MemberOrgs_SortedTable[[#This Row],[Unique CFDA]] = "", "", IF(ISNUMBER(MemberOrgs_SortedTable[[#This Row],[President $ Change]]), RANK(MemberOrgs_SortedTable[[#This Row],[President $ Change]], $G$4:$G$227)+COUNTIF($G$4:G197, G197)-1, 0))</f>
        <v/>
      </c>
      <c r="M197" t="str">
        <f>IFERROR((IF(MemberOrgs_SortedTable[[#This Row],[Sort 1]] = 0, COUNTIF($L$4:L197, 0), "")+MAX(MemberOrgs_SortedTable[Sort 1])), "")</f>
        <v/>
      </c>
      <c r="N197" t="str">
        <f>IF(MemberOrgs_SortedTable[[#This Row],[Sort 1]]&gt;0, MemberOrgs_SortedTable[[#This Row],[Sort 1]], MemberOrgs_SortedTable[[#This Row],[Sort 2]])</f>
        <v/>
      </c>
    </row>
    <row r="198" spans="1:14" x14ac:dyDescent="0.25">
      <c r="A198" t="str">
        <f>IF(OR(MemberOrgControl!$B201 = "", MemberOrgControl!$B201 &lt;0), "", INDEX(MemberOrgsData[CFDA], MemberOrgControl!$B201))</f>
        <v/>
      </c>
      <c r="C198" t="str">
        <f>IFERROR(INDEX(AllCFDAs[All CFDAs], MATCH(0, INDEX(COUNTIF($C$3:C197, AllCFDAs[All CFDAs]),),0)), "")</f>
        <v/>
      </c>
      <c r="D198" t="str">
        <f t="array" ref="D198">IFERROR(INDEX(MemberOrgsData[FEDERALPROGRAMNAME], MATCH(1, (SelectMemberOrgs = MemberOrgsData[Auditee Name])*(MemberOrgs_SortedTable[[#This Row],[Unique CFDA]]= MemberOrgsData[CFDA]), 0)), "")</f>
        <v/>
      </c>
      <c r="E198" s="20" t="str">
        <f t="array" ref="E198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98" s="21" t="str">
        <f t="array" ref="F198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98" s="19" t="str">
        <f>IF(MemberOrgs_SortedTable[[#This Row],[Unique CFDA]] = "", "", IFERROR(MemberOrgs_SortedTable[[#This Row],[FY 2018 Total]]*MemberOrgs_SortedTable[[#This Row],[President % Change]], "No Budget Data"))</f>
        <v/>
      </c>
      <c r="H198" s="21" t="str">
        <f t="array" ref="H198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98" s="19" t="str">
        <f>IF(MemberOrgs_SortedTable[[#This Row],[Unique CFDA]] = "", "", IFERROR(MemberOrgs_SortedTable[[#This Row],[FY 2018 Total]]*MemberOrgs_SortedTable[[#This Row],[House % Change]], "No Budget Data"))</f>
        <v/>
      </c>
      <c r="K198" s="19" t="str">
        <f>IF(MemberOrgs_SortedTable[[#This Row],[Unique CFDA]] = "", "", IFERROR(MemberOrgs_SortedTable[[#This Row],[FY 2018 Total]]*MemberOrgs_SortedTable[[#This Row],[Senate Budget]], "No Budget Data"))</f>
        <v/>
      </c>
      <c r="L198" t="str">
        <f>IF(MemberOrgs_SortedTable[[#This Row],[Unique CFDA]] = "", "", IF(ISNUMBER(MemberOrgs_SortedTable[[#This Row],[President $ Change]]), RANK(MemberOrgs_SortedTable[[#This Row],[President $ Change]], $G$4:$G$227)+COUNTIF($G$4:G198, G198)-1, 0))</f>
        <v/>
      </c>
      <c r="M198" t="str">
        <f>IFERROR((IF(MemberOrgs_SortedTable[[#This Row],[Sort 1]] = 0, COUNTIF($L$4:L198, 0), "")+MAX(MemberOrgs_SortedTable[Sort 1])), "")</f>
        <v/>
      </c>
      <c r="N198" t="str">
        <f>IF(MemberOrgs_SortedTable[[#This Row],[Sort 1]]&gt;0, MemberOrgs_SortedTable[[#This Row],[Sort 1]], MemberOrgs_SortedTable[[#This Row],[Sort 2]])</f>
        <v/>
      </c>
    </row>
    <row r="199" spans="1:14" x14ac:dyDescent="0.25">
      <c r="A199" t="str">
        <f>IF(OR(MemberOrgControl!$B202 = "", MemberOrgControl!$B202 &lt;0), "", INDEX(MemberOrgsData[CFDA], MemberOrgControl!$B202))</f>
        <v/>
      </c>
      <c r="C199" t="str">
        <f>IFERROR(INDEX(AllCFDAs[All CFDAs], MATCH(0, INDEX(COUNTIF($C$3:C198, AllCFDAs[All CFDAs]),),0)), "")</f>
        <v/>
      </c>
      <c r="D199" t="str">
        <f t="array" ref="D199">IFERROR(INDEX(MemberOrgsData[FEDERALPROGRAMNAME], MATCH(1, (SelectMemberOrgs = MemberOrgsData[Auditee Name])*(MemberOrgs_SortedTable[[#This Row],[Unique CFDA]]= MemberOrgsData[CFDA]), 0)), "")</f>
        <v/>
      </c>
      <c r="E199" s="20" t="str">
        <f t="array" ref="E199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99" s="21" t="str">
        <f t="array" ref="F199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99" s="19" t="str">
        <f>IF(MemberOrgs_SortedTable[[#This Row],[Unique CFDA]] = "", "", IFERROR(MemberOrgs_SortedTable[[#This Row],[FY 2018 Total]]*MemberOrgs_SortedTable[[#This Row],[President % Change]], "No Budget Data"))</f>
        <v/>
      </c>
      <c r="H199" s="21" t="str">
        <f t="array" ref="H199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99" s="19" t="str">
        <f>IF(MemberOrgs_SortedTable[[#This Row],[Unique CFDA]] = "", "", IFERROR(MemberOrgs_SortedTable[[#This Row],[FY 2018 Total]]*MemberOrgs_SortedTable[[#This Row],[House % Change]], "No Budget Data"))</f>
        <v/>
      </c>
      <c r="K199" s="19" t="str">
        <f>IF(MemberOrgs_SortedTable[[#This Row],[Unique CFDA]] = "", "", IFERROR(MemberOrgs_SortedTable[[#This Row],[FY 2018 Total]]*MemberOrgs_SortedTable[[#This Row],[Senate Budget]], "No Budget Data"))</f>
        <v/>
      </c>
      <c r="L199" t="str">
        <f>IF(MemberOrgs_SortedTable[[#This Row],[Unique CFDA]] = "", "", IF(ISNUMBER(MemberOrgs_SortedTable[[#This Row],[President $ Change]]), RANK(MemberOrgs_SortedTable[[#This Row],[President $ Change]], $G$4:$G$227)+COUNTIF($G$4:G199, G199)-1, 0))</f>
        <v/>
      </c>
      <c r="M199" t="str">
        <f>IFERROR((IF(MemberOrgs_SortedTable[[#This Row],[Sort 1]] = 0, COUNTIF($L$4:L199, 0), "")+MAX(MemberOrgs_SortedTable[Sort 1])), "")</f>
        <v/>
      </c>
      <c r="N199" t="str">
        <f>IF(MemberOrgs_SortedTable[[#This Row],[Sort 1]]&gt;0, MemberOrgs_SortedTable[[#This Row],[Sort 1]], MemberOrgs_SortedTable[[#This Row],[Sort 2]])</f>
        <v/>
      </c>
    </row>
    <row r="200" spans="1:14" x14ac:dyDescent="0.25">
      <c r="A200" t="str">
        <f>IF(OR(MemberOrgControl!$B203 = "", MemberOrgControl!$B203 &lt;0), "", INDEX(MemberOrgsData[CFDA], MemberOrgControl!$B203))</f>
        <v/>
      </c>
      <c r="C200" t="str">
        <f>IFERROR(INDEX(AllCFDAs[All CFDAs], MATCH(0, INDEX(COUNTIF($C$3:C199, AllCFDAs[All CFDAs]),),0)), "")</f>
        <v/>
      </c>
      <c r="D200" t="str">
        <f t="array" ref="D200">IFERROR(INDEX(MemberOrgsData[FEDERALPROGRAMNAME], MATCH(1, (SelectMemberOrgs = MemberOrgsData[Auditee Name])*(MemberOrgs_SortedTable[[#This Row],[Unique CFDA]]= MemberOrgsData[CFDA]), 0)), "")</f>
        <v/>
      </c>
      <c r="E200" s="20" t="str">
        <f t="array" ref="E200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200" s="21" t="str">
        <f t="array" ref="F200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200" s="19" t="str">
        <f>IF(MemberOrgs_SortedTable[[#This Row],[Unique CFDA]] = "", "", IFERROR(MemberOrgs_SortedTable[[#This Row],[FY 2018 Total]]*MemberOrgs_SortedTable[[#This Row],[President % Change]], "No Budget Data"))</f>
        <v/>
      </c>
      <c r="H200" s="21" t="str">
        <f t="array" ref="H200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200" s="19" t="str">
        <f>IF(MemberOrgs_SortedTable[[#This Row],[Unique CFDA]] = "", "", IFERROR(MemberOrgs_SortedTable[[#This Row],[FY 2018 Total]]*MemberOrgs_SortedTable[[#This Row],[House % Change]], "No Budget Data"))</f>
        <v/>
      </c>
      <c r="K200" s="19" t="str">
        <f>IF(MemberOrgs_SortedTable[[#This Row],[Unique CFDA]] = "", "", IFERROR(MemberOrgs_SortedTable[[#This Row],[FY 2018 Total]]*MemberOrgs_SortedTable[[#This Row],[Senate Budget]], "No Budget Data"))</f>
        <v/>
      </c>
      <c r="L200" t="str">
        <f>IF(MemberOrgs_SortedTable[[#This Row],[Unique CFDA]] = "", "", IF(ISNUMBER(MemberOrgs_SortedTable[[#This Row],[President $ Change]]), RANK(MemberOrgs_SortedTable[[#This Row],[President $ Change]], $G$4:$G$227)+COUNTIF($G$4:G200, G200)-1, 0))</f>
        <v/>
      </c>
      <c r="M200" t="str">
        <f>IFERROR((IF(MemberOrgs_SortedTable[[#This Row],[Sort 1]] = 0, COUNTIF($L$4:L200, 0), "")+MAX(MemberOrgs_SortedTable[Sort 1])), "")</f>
        <v/>
      </c>
      <c r="N200" t="str">
        <f>IF(MemberOrgs_SortedTable[[#This Row],[Sort 1]]&gt;0, MemberOrgs_SortedTable[[#This Row],[Sort 1]], MemberOrgs_SortedTable[[#This Row],[Sort 2]])</f>
        <v/>
      </c>
    </row>
    <row r="201" spans="1:14" x14ac:dyDescent="0.25">
      <c r="A201" t="str">
        <f>IF(OR(MemberOrgControl!$B204 = "", MemberOrgControl!$B204 &lt;0), "", INDEX(MemberOrgsData[CFDA], MemberOrgControl!$B204))</f>
        <v/>
      </c>
      <c r="C201" t="str">
        <f>IFERROR(INDEX(AllCFDAs[All CFDAs], MATCH(0, INDEX(COUNTIF($C$3:C200, AllCFDAs[All CFDAs]),),0)), "")</f>
        <v/>
      </c>
      <c r="D201" t="str">
        <f t="array" ref="D201">IFERROR(INDEX(MemberOrgsData[FEDERALPROGRAMNAME], MATCH(1, (SelectMemberOrgs = MemberOrgsData[Auditee Name])*(MemberOrgs_SortedTable[[#This Row],[Unique CFDA]]= MemberOrgsData[CFDA]), 0)), "")</f>
        <v/>
      </c>
      <c r="E201" s="20" t="str">
        <f t="array" ref="E201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201" s="21" t="str">
        <f t="array" ref="F201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201" s="19" t="str">
        <f>IF(MemberOrgs_SortedTable[[#This Row],[Unique CFDA]] = "", "", IFERROR(MemberOrgs_SortedTable[[#This Row],[FY 2018 Total]]*MemberOrgs_SortedTable[[#This Row],[President % Change]], "No Budget Data"))</f>
        <v/>
      </c>
      <c r="H201" s="21" t="str">
        <f t="array" ref="H201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201" s="19" t="str">
        <f>IF(MemberOrgs_SortedTable[[#This Row],[Unique CFDA]] = "", "", IFERROR(MemberOrgs_SortedTable[[#This Row],[FY 2018 Total]]*MemberOrgs_SortedTable[[#This Row],[House % Change]], "No Budget Data"))</f>
        <v/>
      </c>
      <c r="K201" s="19" t="str">
        <f>IF(MemberOrgs_SortedTable[[#This Row],[Unique CFDA]] = "", "", IFERROR(MemberOrgs_SortedTable[[#This Row],[FY 2018 Total]]*MemberOrgs_SortedTable[[#This Row],[Senate Budget]], "No Budget Data"))</f>
        <v/>
      </c>
      <c r="L201" t="str">
        <f>IF(MemberOrgs_SortedTable[[#This Row],[Unique CFDA]] = "", "", IF(ISNUMBER(MemberOrgs_SortedTable[[#This Row],[President $ Change]]), RANK(MemberOrgs_SortedTable[[#This Row],[President $ Change]], $G$4:$G$227)+COUNTIF($G$4:G201, G201)-1, 0))</f>
        <v/>
      </c>
      <c r="M201" t="str">
        <f>IFERROR((IF(MemberOrgs_SortedTable[[#This Row],[Sort 1]] = 0, COUNTIF($L$4:L201, 0), "")+MAX(MemberOrgs_SortedTable[Sort 1])), "")</f>
        <v/>
      </c>
      <c r="N201" t="str">
        <f>IF(MemberOrgs_SortedTable[[#This Row],[Sort 1]]&gt;0, MemberOrgs_SortedTable[[#This Row],[Sort 1]], MemberOrgs_SortedTable[[#This Row],[Sort 2]])</f>
        <v/>
      </c>
    </row>
    <row r="202" spans="1:14" x14ac:dyDescent="0.25">
      <c r="A202" t="str">
        <f>IF(OR(MemberOrgControl!$B205 = "", MemberOrgControl!$B205 &lt;0), "", INDEX(MemberOrgsData[CFDA], MemberOrgControl!$B205))</f>
        <v/>
      </c>
      <c r="C202" t="str">
        <f>IFERROR(INDEX(AllCFDAs[All CFDAs], MATCH(0, INDEX(COUNTIF($C$3:C201, AllCFDAs[All CFDAs]),),0)), "")</f>
        <v/>
      </c>
      <c r="D202" t="str">
        <f t="array" ref="D202">IFERROR(INDEX(MemberOrgsData[FEDERALPROGRAMNAME], MATCH(1, (SelectMemberOrgs = MemberOrgsData[Auditee Name])*(MemberOrgs_SortedTable[[#This Row],[Unique CFDA]]= MemberOrgsData[CFDA]), 0)), "")</f>
        <v/>
      </c>
      <c r="E202" s="20" t="str">
        <f t="array" ref="E202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202" s="21" t="str">
        <f t="array" ref="F202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202" s="19" t="str">
        <f>IF(MemberOrgs_SortedTable[[#This Row],[Unique CFDA]] = "", "", IFERROR(MemberOrgs_SortedTable[[#This Row],[FY 2018 Total]]*MemberOrgs_SortedTable[[#This Row],[President % Change]], "No Budget Data"))</f>
        <v/>
      </c>
      <c r="H202" s="21" t="str">
        <f t="array" ref="H202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202" s="19" t="str">
        <f>IF(MemberOrgs_SortedTable[[#This Row],[Unique CFDA]] = "", "", IFERROR(MemberOrgs_SortedTable[[#This Row],[FY 2018 Total]]*MemberOrgs_SortedTable[[#This Row],[House % Change]], "No Budget Data"))</f>
        <v/>
      </c>
      <c r="K202" s="19" t="str">
        <f>IF(MemberOrgs_SortedTable[[#This Row],[Unique CFDA]] = "", "", IFERROR(MemberOrgs_SortedTable[[#This Row],[FY 2018 Total]]*MemberOrgs_SortedTable[[#This Row],[Senate Budget]], "No Budget Data"))</f>
        <v/>
      </c>
      <c r="L202" t="str">
        <f>IF(MemberOrgs_SortedTable[[#This Row],[Unique CFDA]] = "", "", IF(ISNUMBER(MemberOrgs_SortedTable[[#This Row],[President $ Change]]), RANK(MemberOrgs_SortedTable[[#This Row],[President $ Change]], $G$4:$G$227)+COUNTIF($G$4:G202, G202)-1, 0))</f>
        <v/>
      </c>
      <c r="M202" t="str">
        <f>IFERROR((IF(MemberOrgs_SortedTable[[#This Row],[Sort 1]] = 0, COUNTIF($L$4:L202, 0), "")+MAX(MemberOrgs_SortedTable[Sort 1])), "")</f>
        <v/>
      </c>
      <c r="N202" t="str">
        <f>IF(MemberOrgs_SortedTable[[#This Row],[Sort 1]]&gt;0, MemberOrgs_SortedTable[[#This Row],[Sort 1]], MemberOrgs_SortedTable[[#This Row],[Sort 2]])</f>
        <v/>
      </c>
    </row>
    <row r="203" spans="1:14" x14ac:dyDescent="0.25">
      <c r="A203" t="str">
        <f>IF(OR(MemberOrgControl!$B206 = "", MemberOrgControl!$B206 &lt;0), "", INDEX(MemberOrgsData[CFDA], MemberOrgControl!$B206))</f>
        <v/>
      </c>
      <c r="C203" t="str">
        <f>IFERROR(INDEX(AllCFDAs[All CFDAs], MATCH(0, INDEX(COUNTIF($C$3:C202, AllCFDAs[All CFDAs]),),0)), "")</f>
        <v/>
      </c>
      <c r="D203" t="str">
        <f t="array" ref="D203">IFERROR(INDEX(MemberOrgsData[FEDERALPROGRAMNAME], MATCH(1, (SelectMemberOrgs = MemberOrgsData[Auditee Name])*(MemberOrgs_SortedTable[[#This Row],[Unique CFDA]]= MemberOrgsData[CFDA]), 0)), "")</f>
        <v/>
      </c>
      <c r="E203" s="20" t="str">
        <f t="array" ref="E203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203" s="21" t="str">
        <f t="array" ref="F203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203" s="19" t="str">
        <f>IF(MemberOrgs_SortedTable[[#This Row],[Unique CFDA]] = "", "", IFERROR(MemberOrgs_SortedTable[[#This Row],[FY 2018 Total]]*MemberOrgs_SortedTable[[#This Row],[President % Change]], "No Budget Data"))</f>
        <v/>
      </c>
      <c r="H203" s="21" t="str">
        <f t="array" ref="H203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203" s="19" t="str">
        <f>IF(MemberOrgs_SortedTable[[#This Row],[Unique CFDA]] = "", "", IFERROR(MemberOrgs_SortedTable[[#This Row],[FY 2018 Total]]*MemberOrgs_SortedTable[[#This Row],[House % Change]], "No Budget Data"))</f>
        <v/>
      </c>
      <c r="K203" s="19" t="str">
        <f>IF(MemberOrgs_SortedTable[[#This Row],[Unique CFDA]] = "", "", IFERROR(MemberOrgs_SortedTable[[#This Row],[FY 2018 Total]]*MemberOrgs_SortedTable[[#This Row],[Senate Budget]], "No Budget Data"))</f>
        <v/>
      </c>
      <c r="L203" t="str">
        <f>IF(MemberOrgs_SortedTable[[#This Row],[Unique CFDA]] = "", "", IF(ISNUMBER(MemberOrgs_SortedTable[[#This Row],[President $ Change]]), RANK(MemberOrgs_SortedTable[[#This Row],[President $ Change]], $G$4:$G$227)+COUNTIF($G$4:G203, G203)-1, 0))</f>
        <v/>
      </c>
      <c r="M203" t="str">
        <f>IFERROR((IF(MemberOrgs_SortedTable[[#This Row],[Sort 1]] = 0, COUNTIF($L$4:L203, 0), "")+MAX(MemberOrgs_SortedTable[Sort 1])), "")</f>
        <v/>
      </c>
      <c r="N203" t="str">
        <f>IF(MemberOrgs_SortedTable[[#This Row],[Sort 1]]&gt;0, MemberOrgs_SortedTable[[#This Row],[Sort 1]], MemberOrgs_SortedTable[[#This Row],[Sort 2]])</f>
        <v/>
      </c>
    </row>
    <row r="204" spans="1:14" x14ac:dyDescent="0.25">
      <c r="A204" t="str">
        <f>IF(OR(MemberOrgControl!$B207 = "", MemberOrgControl!$B207 &lt;0), "", INDEX(MemberOrgsData[CFDA], MemberOrgControl!$B207))</f>
        <v/>
      </c>
      <c r="C204" t="str">
        <f>IFERROR(INDEX(AllCFDAs[All CFDAs], MATCH(0, INDEX(COUNTIF($C$3:C203, AllCFDAs[All CFDAs]),),0)), "")</f>
        <v/>
      </c>
      <c r="D204" t="str">
        <f t="array" ref="D204">IFERROR(INDEX(MemberOrgsData[FEDERALPROGRAMNAME], MATCH(1, (SelectMemberOrgs = MemberOrgsData[Auditee Name])*(MemberOrgs_SortedTable[[#This Row],[Unique CFDA]]= MemberOrgsData[CFDA]), 0)), "")</f>
        <v/>
      </c>
      <c r="E204" s="20" t="str">
        <f t="array" ref="E204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204" s="21" t="str">
        <f t="array" ref="F204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204" s="19" t="str">
        <f>IF(MemberOrgs_SortedTable[[#This Row],[Unique CFDA]] = "", "", IFERROR(MemberOrgs_SortedTable[[#This Row],[FY 2018 Total]]*MemberOrgs_SortedTable[[#This Row],[President % Change]], "No Budget Data"))</f>
        <v/>
      </c>
      <c r="H204" s="21" t="str">
        <f t="array" ref="H204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204" s="19" t="str">
        <f>IF(MemberOrgs_SortedTable[[#This Row],[Unique CFDA]] = "", "", IFERROR(MemberOrgs_SortedTable[[#This Row],[FY 2018 Total]]*MemberOrgs_SortedTable[[#This Row],[House % Change]], "No Budget Data"))</f>
        <v/>
      </c>
      <c r="K204" s="19" t="str">
        <f>IF(MemberOrgs_SortedTable[[#This Row],[Unique CFDA]] = "", "", IFERROR(MemberOrgs_SortedTable[[#This Row],[FY 2018 Total]]*MemberOrgs_SortedTable[[#This Row],[Senate Budget]], "No Budget Data"))</f>
        <v/>
      </c>
      <c r="L204" t="str">
        <f>IF(MemberOrgs_SortedTable[[#This Row],[Unique CFDA]] = "", "", IF(ISNUMBER(MemberOrgs_SortedTable[[#This Row],[President $ Change]]), RANK(MemberOrgs_SortedTable[[#This Row],[President $ Change]], $G$4:$G$227)+COUNTIF($G$4:G204, G204)-1, 0))</f>
        <v/>
      </c>
      <c r="M204" t="str">
        <f>IFERROR((IF(MemberOrgs_SortedTable[[#This Row],[Sort 1]] = 0, COUNTIF($L$4:L204, 0), "")+MAX(MemberOrgs_SortedTable[Sort 1])), "")</f>
        <v/>
      </c>
      <c r="N204" t="str">
        <f>IF(MemberOrgs_SortedTable[[#This Row],[Sort 1]]&gt;0, MemberOrgs_SortedTable[[#This Row],[Sort 1]], MemberOrgs_SortedTable[[#This Row],[Sort 2]])</f>
        <v/>
      </c>
    </row>
    <row r="205" spans="1:14" x14ac:dyDescent="0.25">
      <c r="A205" t="str">
        <f>IF(OR(MemberOrgControl!$B208 = "", MemberOrgControl!$B208 &lt;0), "", INDEX(MemberOrgsData[CFDA], MemberOrgControl!$B208))</f>
        <v/>
      </c>
      <c r="C205" t="str">
        <f>IFERROR(INDEX(AllCFDAs[All CFDAs], MATCH(0, INDEX(COUNTIF($C$3:C204, AllCFDAs[All CFDAs]),),0)), "")</f>
        <v/>
      </c>
      <c r="D205" t="str">
        <f t="array" ref="D205">IFERROR(INDEX(MemberOrgsData[FEDERALPROGRAMNAME], MATCH(1, (SelectMemberOrgs = MemberOrgsData[Auditee Name])*(MemberOrgs_SortedTable[[#This Row],[Unique CFDA]]= MemberOrgsData[CFDA]), 0)), "")</f>
        <v/>
      </c>
      <c r="E205" s="20" t="str">
        <f t="array" ref="E205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205" s="21" t="str">
        <f t="array" ref="F205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205" s="19" t="str">
        <f>IF(MemberOrgs_SortedTable[[#This Row],[Unique CFDA]] = "", "", IFERROR(MemberOrgs_SortedTable[[#This Row],[FY 2018 Total]]*MemberOrgs_SortedTable[[#This Row],[President % Change]], "No Budget Data"))</f>
        <v/>
      </c>
      <c r="H205" s="21" t="str">
        <f t="array" ref="H205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205" s="19" t="str">
        <f>IF(MemberOrgs_SortedTable[[#This Row],[Unique CFDA]] = "", "", IFERROR(MemberOrgs_SortedTable[[#This Row],[FY 2018 Total]]*MemberOrgs_SortedTable[[#This Row],[House % Change]], "No Budget Data"))</f>
        <v/>
      </c>
      <c r="K205" s="19" t="str">
        <f>IF(MemberOrgs_SortedTable[[#This Row],[Unique CFDA]] = "", "", IFERROR(MemberOrgs_SortedTable[[#This Row],[FY 2018 Total]]*MemberOrgs_SortedTable[[#This Row],[Senate Budget]], "No Budget Data"))</f>
        <v/>
      </c>
      <c r="L205" t="str">
        <f>IF(MemberOrgs_SortedTable[[#This Row],[Unique CFDA]] = "", "", IF(ISNUMBER(MemberOrgs_SortedTable[[#This Row],[President $ Change]]), RANK(MemberOrgs_SortedTable[[#This Row],[President $ Change]], $G$4:$G$227)+COUNTIF($G$4:G205, G205)-1, 0))</f>
        <v/>
      </c>
      <c r="M205" t="str">
        <f>IFERROR((IF(MemberOrgs_SortedTable[[#This Row],[Sort 1]] = 0, COUNTIF($L$4:L205, 0), "")+MAX(MemberOrgs_SortedTable[Sort 1])), "")</f>
        <v/>
      </c>
      <c r="N205" t="str">
        <f>IF(MemberOrgs_SortedTable[[#This Row],[Sort 1]]&gt;0, MemberOrgs_SortedTable[[#This Row],[Sort 1]], MemberOrgs_SortedTable[[#This Row],[Sort 2]])</f>
        <v/>
      </c>
    </row>
    <row r="206" spans="1:14" x14ac:dyDescent="0.25">
      <c r="A206" t="str">
        <f>IF(OR(MemberOrgControl!$B209 = "", MemberOrgControl!$B209 &lt;0), "", INDEX(MemberOrgsData[CFDA], MemberOrgControl!$B209))</f>
        <v/>
      </c>
      <c r="C206" t="str">
        <f>IFERROR(INDEX(AllCFDAs[All CFDAs], MATCH(0, INDEX(COUNTIF($C$3:C205, AllCFDAs[All CFDAs]),),0)), "")</f>
        <v/>
      </c>
      <c r="D206" t="str">
        <f t="array" ref="D206">IFERROR(INDEX(MemberOrgsData[FEDERALPROGRAMNAME], MATCH(1, (SelectMemberOrgs = MemberOrgsData[Auditee Name])*(MemberOrgs_SortedTable[[#This Row],[Unique CFDA]]= MemberOrgsData[CFDA]), 0)), "")</f>
        <v/>
      </c>
      <c r="E206" s="20" t="str">
        <f t="array" ref="E206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206" s="21" t="str">
        <f t="array" ref="F206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206" s="19" t="str">
        <f>IF(MemberOrgs_SortedTable[[#This Row],[Unique CFDA]] = "", "", IFERROR(MemberOrgs_SortedTable[[#This Row],[FY 2018 Total]]*MemberOrgs_SortedTable[[#This Row],[President % Change]], "No Budget Data"))</f>
        <v/>
      </c>
      <c r="H206" s="21" t="str">
        <f t="array" ref="H206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206" s="19" t="str">
        <f>IF(MemberOrgs_SortedTable[[#This Row],[Unique CFDA]] = "", "", IFERROR(MemberOrgs_SortedTable[[#This Row],[FY 2018 Total]]*MemberOrgs_SortedTable[[#This Row],[House % Change]], "No Budget Data"))</f>
        <v/>
      </c>
      <c r="K206" s="19" t="str">
        <f>IF(MemberOrgs_SortedTable[[#This Row],[Unique CFDA]] = "", "", IFERROR(MemberOrgs_SortedTable[[#This Row],[FY 2018 Total]]*MemberOrgs_SortedTable[[#This Row],[Senate Budget]], "No Budget Data"))</f>
        <v/>
      </c>
      <c r="L206" t="str">
        <f>IF(MemberOrgs_SortedTable[[#This Row],[Unique CFDA]] = "", "", IF(ISNUMBER(MemberOrgs_SortedTable[[#This Row],[President $ Change]]), RANK(MemberOrgs_SortedTable[[#This Row],[President $ Change]], $G$4:$G$227)+COUNTIF($G$4:G206, G206)-1, 0))</f>
        <v/>
      </c>
      <c r="M206" t="str">
        <f>IFERROR((IF(MemberOrgs_SortedTable[[#This Row],[Sort 1]] = 0, COUNTIF($L$4:L206, 0), "")+MAX(MemberOrgs_SortedTable[Sort 1])), "")</f>
        <v/>
      </c>
      <c r="N206" t="str">
        <f>IF(MemberOrgs_SortedTable[[#This Row],[Sort 1]]&gt;0, MemberOrgs_SortedTable[[#This Row],[Sort 1]], MemberOrgs_SortedTable[[#This Row],[Sort 2]])</f>
        <v/>
      </c>
    </row>
    <row r="207" spans="1:14" x14ac:dyDescent="0.25">
      <c r="A207" t="str">
        <f>IF(OR(MemberOrgControl!$B210 = "", MemberOrgControl!$B210 &lt;0), "", INDEX(MemberOrgsData[CFDA], MemberOrgControl!$B210))</f>
        <v/>
      </c>
      <c r="C207" t="str">
        <f>IFERROR(INDEX(AllCFDAs[All CFDAs], MATCH(0, INDEX(COUNTIF($C$3:C206, AllCFDAs[All CFDAs]),),0)), "")</f>
        <v/>
      </c>
      <c r="D207" t="str">
        <f t="array" ref="D207">IFERROR(INDEX(MemberOrgsData[FEDERALPROGRAMNAME], MATCH(1, (SelectMemberOrgs = MemberOrgsData[Auditee Name])*(MemberOrgs_SortedTable[[#This Row],[Unique CFDA]]= MemberOrgsData[CFDA]), 0)), "")</f>
        <v/>
      </c>
      <c r="E207" s="20" t="str">
        <f t="array" ref="E207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207" s="21" t="str">
        <f t="array" ref="F207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207" s="19" t="str">
        <f>IF(MemberOrgs_SortedTable[[#This Row],[Unique CFDA]] = "", "", IFERROR(MemberOrgs_SortedTable[[#This Row],[FY 2018 Total]]*MemberOrgs_SortedTable[[#This Row],[President % Change]], "No Budget Data"))</f>
        <v/>
      </c>
      <c r="H207" s="21" t="str">
        <f t="array" ref="H207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207" s="19" t="str">
        <f>IF(MemberOrgs_SortedTable[[#This Row],[Unique CFDA]] = "", "", IFERROR(MemberOrgs_SortedTable[[#This Row],[FY 2018 Total]]*MemberOrgs_SortedTable[[#This Row],[House % Change]], "No Budget Data"))</f>
        <v/>
      </c>
      <c r="K207" s="19" t="str">
        <f>IF(MemberOrgs_SortedTable[[#This Row],[Unique CFDA]] = "", "", IFERROR(MemberOrgs_SortedTable[[#This Row],[FY 2018 Total]]*MemberOrgs_SortedTable[[#This Row],[Senate Budget]], "No Budget Data"))</f>
        <v/>
      </c>
      <c r="L207" t="str">
        <f>IF(MemberOrgs_SortedTable[[#This Row],[Unique CFDA]] = "", "", IF(ISNUMBER(MemberOrgs_SortedTable[[#This Row],[President $ Change]]), RANK(MemberOrgs_SortedTable[[#This Row],[President $ Change]], $G$4:$G$227)+COUNTIF($G$4:G207, G207)-1, 0))</f>
        <v/>
      </c>
      <c r="M207" t="str">
        <f>IFERROR((IF(MemberOrgs_SortedTable[[#This Row],[Sort 1]] = 0, COUNTIF($L$4:L207, 0), "")+MAX(MemberOrgs_SortedTable[Sort 1])), "")</f>
        <v/>
      </c>
      <c r="N207" t="str">
        <f>IF(MemberOrgs_SortedTable[[#This Row],[Sort 1]]&gt;0, MemberOrgs_SortedTable[[#This Row],[Sort 1]], MemberOrgs_SortedTable[[#This Row],[Sort 2]])</f>
        <v/>
      </c>
    </row>
    <row r="208" spans="1:14" x14ac:dyDescent="0.25">
      <c r="A208" t="str">
        <f>IF(OR(MemberOrgControl!$B211 = "", MemberOrgControl!$B211 &lt;0), "", INDEX(MemberOrgsData[CFDA], MemberOrgControl!$B211))</f>
        <v/>
      </c>
      <c r="C208" t="str">
        <f>IFERROR(INDEX(AllCFDAs[All CFDAs], MATCH(0, INDEX(COUNTIF($C$3:C207, AllCFDAs[All CFDAs]),),0)), "")</f>
        <v/>
      </c>
      <c r="D208" t="str">
        <f t="array" ref="D208">IFERROR(INDEX(MemberOrgsData[FEDERALPROGRAMNAME], MATCH(1, (SelectMemberOrgs = MemberOrgsData[Auditee Name])*(MemberOrgs_SortedTable[[#This Row],[Unique CFDA]]= MemberOrgsData[CFDA]), 0)), "")</f>
        <v/>
      </c>
      <c r="E208" s="20" t="str">
        <f t="array" ref="E208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208" s="21" t="str">
        <f t="array" ref="F208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208" s="19" t="str">
        <f>IF(MemberOrgs_SortedTable[[#This Row],[Unique CFDA]] = "", "", IFERROR(MemberOrgs_SortedTable[[#This Row],[FY 2018 Total]]*MemberOrgs_SortedTable[[#This Row],[President % Change]], "No Budget Data"))</f>
        <v/>
      </c>
      <c r="H208" s="21" t="str">
        <f t="array" ref="H208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208" s="19" t="str">
        <f>IF(MemberOrgs_SortedTable[[#This Row],[Unique CFDA]] = "", "", IFERROR(MemberOrgs_SortedTable[[#This Row],[FY 2018 Total]]*MemberOrgs_SortedTable[[#This Row],[House % Change]], "No Budget Data"))</f>
        <v/>
      </c>
      <c r="K208" s="19" t="str">
        <f>IF(MemberOrgs_SortedTable[[#This Row],[Unique CFDA]] = "", "", IFERROR(MemberOrgs_SortedTable[[#This Row],[FY 2018 Total]]*MemberOrgs_SortedTable[[#This Row],[Senate Budget]], "No Budget Data"))</f>
        <v/>
      </c>
      <c r="L208" t="str">
        <f>IF(MemberOrgs_SortedTable[[#This Row],[Unique CFDA]] = "", "", IF(ISNUMBER(MemberOrgs_SortedTable[[#This Row],[President $ Change]]), RANK(MemberOrgs_SortedTable[[#This Row],[President $ Change]], $G$4:$G$227)+COUNTIF($G$4:G208, G208)-1, 0))</f>
        <v/>
      </c>
      <c r="M208" t="str">
        <f>IFERROR((IF(MemberOrgs_SortedTable[[#This Row],[Sort 1]] = 0, COUNTIF($L$4:L208, 0), "")+MAX(MemberOrgs_SortedTable[Sort 1])), "")</f>
        <v/>
      </c>
      <c r="N208" t="str">
        <f>IF(MemberOrgs_SortedTable[[#This Row],[Sort 1]]&gt;0, MemberOrgs_SortedTable[[#This Row],[Sort 1]], MemberOrgs_SortedTable[[#This Row],[Sort 2]])</f>
        <v/>
      </c>
    </row>
    <row r="209" spans="1:14" x14ac:dyDescent="0.25">
      <c r="A209" t="str">
        <f>IF(OR(MemberOrgControl!$B212 = "", MemberOrgControl!$B212 &lt;0), "", INDEX(MemberOrgsData[CFDA], MemberOrgControl!$B212))</f>
        <v/>
      </c>
      <c r="C209" t="str">
        <f>IFERROR(INDEX(AllCFDAs[All CFDAs], MATCH(0, INDEX(COUNTIF($C$3:C208, AllCFDAs[All CFDAs]),),0)), "")</f>
        <v/>
      </c>
      <c r="D209" t="str">
        <f t="array" ref="D209">IFERROR(INDEX(MemberOrgsData[FEDERALPROGRAMNAME], MATCH(1, (SelectMemberOrgs = MemberOrgsData[Auditee Name])*(MemberOrgs_SortedTable[[#This Row],[Unique CFDA]]= MemberOrgsData[CFDA]), 0)), "")</f>
        <v/>
      </c>
      <c r="E209" s="20" t="str">
        <f t="array" ref="E209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209" s="21" t="str">
        <f t="array" ref="F209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209" s="19" t="str">
        <f>IF(MemberOrgs_SortedTable[[#This Row],[Unique CFDA]] = "", "", IFERROR(MemberOrgs_SortedTable[[#This Row],[FY 2018 Total]]*MemberOrgs_SortedTable[[#This Row],[President % Change]], "No Budget Data"))</f>
        <v/>
      </c>
      <c r="H209" s="21" t="str">
        <f t="array" ref="H209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209" s="19" t="str">
        <f>IF(MemberOrgs_SortedTable[[#This Row],[Unique CFDA]] = "", "", IFERROR(MemberOrgs_SortedTable[[#This Row],[FY 2018 Total]]*MemberOrgs_SortedTable[[#This Row],[House % Change]], "No Budget Data"))</f>
        <v/>
      </c>
      <c r="K209" s="19" t="str">
        <f>IF(MemberOrgs_SortedTable[[#This Row],[Unique CFDA]] = "", "", IFERROR(MemberOrgs_SortedTable[[#This Row],[FY 2018 Total]]*MemberOrgs_SortedTable[[#This Row],[Senate Budget]], "No Budget Data"))</f>
        <v/>
      </c>
      <c r="L209" t="str">
        <f>IF(MemberOrgs_SortedTable[[#This Row],[Unique CFDA]] = "", "", IF(ISNUMBER(MemberOrgs_SortedTable[[#This Row],[President $ Change]]), RANK(MemberOrgs_SortedTable[[#This Row],[President $ Change]], $G$4:$G$227)+COUNTIF($G$4:G209, G209)-1, 0))</f>
        <v/>
      </c>
      <c r="M209" t="str">
        <f>IFERROR((IF(MemberOrgs_SortedTable[[#This Row],[Sort 1]] = 0, COUNTIF($L$4:L209, 0), "")+MAX(MemberOrgs_SortedTable[Sort 1])), "")</f>
        <v/>
      </c>
      <c r="N209" t="str">
        <f>IF(MemberOrgs_SortedTable[[#This Row],[Sort 1]]&gt;0, MemberOrgs_SortedTable[[#This Row],[Sort 1]], MemberOrgs_SortedTable[[#This Row],[Sort 2]])</f>
        <v/>
      </c>
    </row>
    <row r="210" spans="1:14" x14ac:dyDescent="0.25">
      <c r="A210" t="str">
        <f>IF(OR(MemberOrgControl!$B213 = "", MemberOrgControl!$B213 &lt;0), "", INDEX(MemberOrgsData[CFDA], MemberOrgControl!$B213))</f>
        <v/>
      </c>
      <c r="C210" t="str">
        <f>IFERROR(INDEX(AllCFDAs[All CFDAs], MATCH(0, INDEX(COUNTIF($C$3:C209, AllCFDAs[All CFDAs]),),0)), "")</f>
        <v/>
      </c>
      <c r="D210" t="str">
        <f t="array" ref="D210">IFERROR(INDEX(MemberOrgsData[FEDERALPROGRAMNAME], MATCH(1, (SelectMemberOrgs = MemberOrgsData[Auditee Name])*(MemberOrgs_SortedTable[[#This Row],[Unique CFDA]]= MemberOrgsData[CFDA]), 0)), "")</f>
        <v/>
      </c>
      <c r="E210" s="20" t="str">
        <f t="array" ref="E210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210" s="21" t="str">
        <f t="array" ref="F210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210" s="19" t="str">
        <f>IF(MemberOrgs_SortedTable[[#This Row],[Unique CFDA]] = "", "", IFERROR(MemberOrgs_SortedTable[[#This Row],[FY 2018 Total]]*MemberOrgs_SortedTable[[#This Row],[President % Change]], "No Budget Data"))</f>
        <v/>
      </c>
      <c r="H210" s="21" t="str">
        <f t="array" ref="H210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210" s="19" t="str">
        <f>IF(MemberOrgs_SortedTable[[#This Row],[Unique CFDA]] = "", "", IFERROR(MemberOrgs_SortedTable[[#This Row],[FY 2018 Total]]*MemberOrgs_SortedTable[[#This Row],[House % Change]], "No Budget Data"))</f>
        <v/>
      </c>
      <c r="K210" s="19" t="str">
        <f>IF(MemberOrgs_SortedTable[[#This Row],[Unique CFDA]] = "", "", IFERROR(MemberOrgs_SortedTable[[#This Row],[FY 2018 Total]]*MemberOrgs_SortedTable[[#This Row],[Senate Budget]], "No Budget Data"))</f>
        <v/>
      </c>
      <c r="L210" t="str">
        <f>IF(MemberOrgs_SortedTable[[#This Row],[Unique CFDA]] = "", "", IF(ISNUMBER(MemberOrgs_SortedTable[[#This Row],[President $ Change]]), RANK(MemberOrgs_SortedTable[[#This Row],[President $ Change]], $G$4:$G$227)+COUNTIF($G$4:G210, G210)-1, 0))</f>
        <v/>
      </c>
      <c r="M210" t="str">
        <f>IFERROR((IF(MemberOrgs_SortedTable[[#This Row],[Sort 1]] = 0, COUNTIF($L$4:L210, 0), "")+MAX(MemberOrgs_SortedTable[Sort 1])), "")</f>
        <v/>
      </c>
      <c r="N210" t="str">
        <f>IF(MemberOrgs_SortedTable[[#This Row],[Sort 1]]&gt;0, MemberOrgs_SortedTable[[#This Row],[Sort 1]], MemberOrgs_SortedTable[[#This Row],[Sort 2]])</f>
        <v/>
      </c>
    </row>
    <row r="211" spans="1:14" x14ac:dyDescent="0.25">
      <c r="A211" t="str">
        <f>IF(OR(MemberOrgControl!$B214 = "", MemberOrgControl!$B214 &lt;0), "", INDEX(MemberOrgsData[CFDA], MemberOrgControl!$B214))</f>
        <v/>
      </c>
      <c r="C211" t="str">
        <f>IFERROR(INDEX(AllCFDAs[All CFDAs], MATCH(0, INDEX(COUNTIF($C$3:C210, AllCFDAs[All CFDAs]),),0)), "")</f>
        <v/>
      </c>
      <c r="D211" t="str">
        <f t="array" ref="D211">IFERROR(INDEX(MemberOrgsData[FEDERALPROGRAMNAME], MATCH(1, (SelectMemberOrgs = MemberOrgsData[Auditee Name])*(MemberOrgs_SortedTable[[#This Row],[Unique CFDA]]= MemberOrgsData[CFDA]), 0)), "")</f>
        <v/>
      </c>
      <c r="E211" s="20" t="str">
        <f t="array" ref="E211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211" s="21" t="str">
        <f t="array" ref="F211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211" s="19" t="str">
        <f>IF(MemberOrgs_SortedTable[[#This Row],[Unique CFDA]] = "", "", IFERROR(MemberOrgs_SortedTable[[#This Row],[FY 2018 Total]]*MemberOrgs_SortedTable[[#This Row],[President % Change]], "No Budget Data"))</f>
        <v/>
      </c>
      <c r="H211" s="21" t="str">
        <f t="array" ref="H211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211" s="19" t="str">
        <f>IF(MemberOrgs_SortedTable[[#This Row],[Unique CFDA]] = "", "", IFERROR(MemberOrgs_SortedTable[[#This Row],[FY 2018 Total]]*MemberOrgs_SortedTable[[#This Row],[House % Change]], "No Budget Data"))</f>
        <v/>
      </c>
      <c r="K211" s="19" t="str">
        <f>IF(MemberOrgs_SortedTable[[#This Row],[Unique CFDA]] = "", "", IFERROR(MemberOrgs_SortedTable[[#This Row],[FY 2018 Total]]*MemberOrgs_SortedTable[[#This Row],[Senate Budget]], "No Budget Data"))</f>
        <v/>
      </c>
      <c r="L211" t="str">
        <f>IF(MemberOrgs_SortedTable[[#This Row],[Unique CFDA]] = "", "", IF(ISNUMBER(MemberOrgs_SortedTable[[#This Row],[President $ Change]]), RANK(MemberOrgs_SortedTable[[#This Row],[President $ Change]], $G$4:$G$227)+COUNTIF($G$4:G211, G211)-1, 0))</f>
        <v/>
      </c>
      <c r="M211" t="str">
        <f>IFERROR((IF(MemberOrgs_SortedTable[[#This Row],[Sort 1]] = 0, COUNTIF($L$4:L211, 0), "")+MAX(MemberOrgs_SortedTable[Sort 1])), "")</f>
        <v/>
      </c>
      <c r="N211" t="str">
        <f>IF(MemberOrgs_SortedTable[[#This Row],[Sort 1]]&gt;0, MemberOrgs_SortedTable[[#This Row],[Sort 1]], MemberOrgs_SortedTable[[#This Row],[Sort 2]])</f>
        <v/>
      </c>
    </row>
    <row r="212" spans="1:14" x14ac:dyDescent="0.25">
      <c r="A212" t="str">
        <f>IF(OR(MemberOrgControl!$B215 = "", MemberOrgControl!$B215 &lt;0), "", INDEX(MemberOrgsData[CFDA], MemberOrgControl!$B215))</f>
        <v/>
      </c>
      <c r="C212" t="str">
        <f>IFERROR(INDEX(AllCFDAs[All CFDAs], MATCH(0, INDEX(COUNTIF($C$3:C211, AllCFDAs[All CFDAs]),),0)), "")</f>
        <v/>
      </c>
      <c r="D212" t="str">
        <f t="array" ref="D212">IFERROR(INDEX(MemberOrgsData[FEDERALPROGRAMNAME], MATCH(1, (SelectMemberOrgs = MemberOrgsData[Auditee Name])*(MemberOrgs_SortedTable[[#This Row],[Unique CFDA]]= MemberOrgsData[CFDA]), 0)), "")</f>
        <v/>
      </c>
      <c r="E212" s="20" t="str">
        <f t="array" ref="E212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212" s="21" t="str">
        <f t="array" ref="F212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212" s="19" t="str">
        <f>IF(MemberOrgs_SortedTable[[#This Row],[Unique CFDA]] = "", "", IFERROR(MemberOrgs_SortedTable[[#This Row],[FY 2018 Total]]*MemberOrgs_SortedTable[[#This Row],[President % Change]], "No Budget Data"))</f>
        <v/>
      </c>
      <c r="H212" s="21" t="str">
        <f t="array" ref="H212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212" s="19" t="str">
        <f>IF(MemberOrgs_SortedTable[[#This Row],[Unique CFDA]] = "", "", IFERROR(MemberOrgs_SortedTable[[#This Row],[FY 2018 Total]]*MemberOrgs_SortedTable[[#This Row],[House % Change]], "No Budget Data"))</f>
        <v/>
      </c>
      <c r="K212" s="19" t="str">
        <f>IF(MemberOrgs_SortedTable[[#This Row],[Unique CFDA]] = "", "", IFERROR(MemberOrgs_SortedTable[[#This Row],[FY 2018 Total]]*MemberOrgs_SortedTable[[#This Row],[Senate Budget]], "No Budget Data"))</f>
        <v/>
      </c>
      <c r="L212" t="str">
        <f>IF(MemberOrgs_SortedTable[[#This Row],[Unique CFDA]] = "", "", IF(ISNUMBER(MemberOrgs_SortedTable[[#This Row],[President $ Change]]), RANK(MemberOrgs_SortedTable[[#This Row],[President $ Change]], $G$4:$G$227)+COUNTIF($G$4:G212, G212)-1, 0))</f>
        <v/>
      </c>
      <c r="M212" t="str">
        <f>IFERROR((IF(MemberOrgs_SortedTable[[#This Row],[Sort 1]] = 0, COUNTIF($L$4:L212, 0), "")+MAX(MemberOrgs_SortedTable[Sort 1])), "")</f>
        <v/>
      </c>
      <c r="N212" t="str">
        <f>IF(MemberOrgs_SortedTable[[#This Row],[Sort 1]]&gt;0, MemberOrgs_SortedTable[[#This Row],[Sort 1]], MemberOrgs_SortedTable[[#This Row],[Sort 2]])</f>
        <v/>
      </c>
    </row>
    <row r="213" spans="1:14" x14ac:dyDescent="0.25">
      <c r="A213" t="str">
        <f>IF(OR(MemberOrgControl!$B216 = "", MemberOrgControl!$B216 &lt;0), "", INDEX(MemberOrgsData[CFDA], MemberOrgControl!$B216))</f>
        <v/>
      </c>
      <c r="C213" t="str">
        <f>IFERROR(INDEX(AllCFDAs[All CFDAs], MATCH(0, INDEX(COUNTIF($C$3:C212, AllCFDAs[All CFDAs]),),0)), "")</f>
        <v/>
      </c>
      <c r="D213" t="str">
        <f t="array" ref="D213">IFERROR(INDEX(MemberOrgsData[FEDERALPROGRAMNAME], MATCH(1, (SelectMemberOrgs = MemberOrgsData[Auditee Name])*(MemberOrgs_SortedTable[[#This Row],[Unique CFDA]]= MemberOrgsData[CFDA]), 0)), "")</f>
        <v/>
      </c>
      <c r="E213" s="20" t="str">
        <f t="array" ref="E213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213" s="21" t="str">
        <f t="array" ref="F213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213" s="19" t="str">
        <f>IF(MemberOrgs_SortedTable[[#This Row],[Unique CFDA]] = "", "", IFERROR(MemberOrgs_SortedTable[[#This Row],[FY 2018 Total]]*MemberOrgs_SortedTable[[#This Row],[President % Change]], "No Budget Data"))</f>
        <v/>
      </c>
      <c r="H213" s="21" t="str">
        <f t="array" ref="H213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213" s="19" t="str">
        <f>IF(MemberOrgs_SortedTable[[#This Row],[Unique CFDA]] = "", "", IFERROR(MemberOrgs_SortedTable[[#This Row],[FY 2018 Total]]*MemberOrgs_SortedTable[[#This Row],[House % Change]], "No Budget Data"))</f>
        <v/>
      </c>
      <c r="K213" s="19" t="str">
        <f>IF(MemberOrgs_SortedTable[[#This Row],[Unique CFDA]] = "", "", IFERROR(MemberOrgs_SortedTable[[#This Row],[FY 2018 Total]]*MemberOrgs_SortedTable[[#This Row],[Senate Budget]], "No Budget Data"))</f>
        <v/>
      </c>
      <c r="L213" t="str">
        <f>IF(MemberOrgs_SortedTable[[#This Row],[Unique CFDA]] = "", "", IF(ISNUMBER(MemberOrgs_SortedTable[[#This Row],[President $ Change]]), RANK(MemberOrgs_SortedTable[[#This Row],[President $ Change]], $G$4:$G$227)+COUNTIF($G$4:G213, G213)-1, 0))</f>
        <v/>
      </c>
      <c r="M213" t="str">
        <f>IFERROR((IF(MemberOrgs_SortedTable[[#This Row],[Sort 1]] = 0, COUNTIF($L$4:L213, 0), "")+MAX(MemberOrgs_SortedTable[Sort 1])), "")</f>
        <v/>
      </c>
      <c r="N213" t="str">
        <f>IF(MemberOrgs_SortedTable[[#This Row],[Sort 1]]&gt;0, MemberOrgs_SortedTable[[#This Row],[Sort 1]], MemberOrgs_SortedTable[[#This Row],[Sort 2]])</f>
        <v/>
      </c>
    </row>
    <row r="214" spans="1:14" x14ac:dyDescent="0.25">
      <c r="A214" t="str">
        <f>IF(OR(MemberOrgControl!$B217 = "", MemberOrgControl!$B217 &lt;0), "", INDEX(MemberOrgsData[CFDA], MemberOrgControl!$B217))</f>
        <v/>
      </c>
      <c r="C214" t="str">
        <f>IFERROR(INDEX(AllCFDAs[All CFDAs], MATCH(0, INDEX(COUNTIF($C$3:C213, AllCFDAs[All CFDAs]),),0)), "")</f>
        <v/>
      </c>
      <c r="D214" t="str">
        <f t="array" ref="D214">IFERROR(INDEX(MemberOrgsData[FEDERALPROGRAMNAME], MATCH(1, (SelectMemberOrgs = MemberOrgsData[Auditee Name])*(MemberOrgs_SortedTable[[#This Row],[Unique CFDA]]= MemberOrgsData[CFDA]), 0)), "")</f>
        <v/>
      </c>
      <c r="E214" s="20" t="str">
        <f t="array" ref="E214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214" s="21" t="str">
        <f t="array" ref="F214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214" s="19" t="str">
        <f>IF(MemberOrgs_SortedTable[[#This Row],[Unique CFDA]] = "", "", IFERROR(MemberOrgs_SortedTable[[#This Row],[FY 2018 Total]]*MemberOrgs_SortedTable[[#This Row],[President % Change]], "No Budget Data"))</f>
        <v/>
      </c>
      <c r="H214" s="21" t="str">
        <f t="array" ref="H214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214" s="19" t="str">
        <f>IF(MemberOrgs_SortedTable[[#This Row],[Unique CFDA]] = "", "", IFERROR(MemberOrgs_SortedTable[[#This Row],[FY 2018 Total]]*MemberOrgs_SortedTable[[#This Row],[House % Change]], "No Budget Data"))</f>
        <v/>
      </c>
      <c r="K214" s="19" t="str">
        <f>IF(MemberOrgs_SortedTable[[#This Row],[Unique CFDA]] = "", "", IFERROR(MemberOrgs_SortedTable[[#This Row],[FY 2018 Total]]*MemberOrgs_SortedTable[[#This Row],[Senate Budget]], "No Budget Data"))</f>
        <v/>
      </c>
      <c r="L214" t="str">
        <f>IF(MemberOrgs_SortedTable[[#This Row],[Unique CFDA]] = "", "", IF(ISNUMBER(MemberOrgs_SortedTable[[#This Row],[President $ Change]]), RANK(MemberOrgs_SortedTable[[#This Row],[President $ Change]], $G$4:$G$227)+COUNTIF($G$4:G214, G214)-1, 0))</f>
        <v/>
      </c>
      <c r="M214" t="str">
        <f>IFERROR((IF(MemberOrgs_SortedTable[[#This Row],[Sort 1]] = 0, COUNTIF($L$4:L214, 0), "")+MAX(MemberOrgs_SortedTable[Sort 1])), "")</f>
        <v/>
      </c>
      <c r="N214" t="str">
        <f>IF(MemberOrgs_SortedTable[[#This Row],[Sort 1]]&gt;0, MemberOrgs_SortedTable[[#This Row],[Sort 1]], MemberOrgs_SortedTable[[#This Row],[Sort 2]])</f>
        <v/>
      </c>
    </row>
    <row r="215" spans="1:14" x14ac:dyDescent="0.25">
      <c r="A215" t="str">
        <f>IF(OR(MemberOrgControl!$B218 = "", MemberOrgControl!$B218 &lt;0), "", INDEX(MemberOrgsData[CFDA], MemberOrgControl!$B218))</f>
        <v/>
      </c>
      <c r="C215" t="str">
        <f>IFERROR(INDEX(AllCFDAs[All CFDAs], MATCH(0, INDEX(COUNTIF($C$3:C214, AllCFDAs[All CFDAs]),),0)), "")</f>
        <v/>
      </c>
      <c r="D215" t="str">
        <f t="array" ref="D215">IFERROR(INDEX(MemberOrgsData[FEDERALPROGRAMNAME], MATCH(1, (SelectMemberOrgs = MemberOrgsData[Auditee Name])*(MemberOrgs_SortedTable[[#This Row],[Unique CFDA]]= MemberOrgsData[CFDA]), 0)), "")</f>
        <v/>
      </c>
      <c r="E215" s="20" t="str">
        <f t="array" ref="E215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215" s="21" t="str">
        <f t="array" ref="F215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215" s="19" t="str">
        <f>IF(MemberOrgs_SortedTable[[#This Row],[Unique CFDA]] = "", "", IFERROR(MemberOrgs_SortedTable[[#This Row],[FY 2018 Total]]*MemberOrgs_SortedTable[[#This Row],[President % Change]], "No Budget Data"))</f>
        <v/>
      </c>
      <c r="H215" s="21" t="str">
        <f t="array" ref="H215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215" s="19" t="str">
        <f>IF(MemberOrgs_SortedTable[[#This Row],[Unique CFDA]] = "", "", IFERROR(MemberOrgs_SortedTable[[#This Row],[FY 2018 Total]]*MemberOrgs_SortedTable[[#This Row],[House % Change]], "No Budget Data"))</f>
        <v/>
      </c>
      <c r="K215" s="19" t="str">
        <f>IF(MemberOrgs_SortedTable[[#This Row],[Unique CFDA]] = "", "", IFERROR(MemberOrgs_SortedTable[[#This Row],[FY 2018 Total]]*MemberOrgs_SortedTable[[#This Row],[Senate Budget]], "No Budget Data"))</f>
        <v/>
      </c>
      <c r="L215" t="str">
        <f>IF(MemberOrgs_SortedTable[[#This Row],[Unique CFDA]] = "", "", IF(ISNUMBER(MemberOrgs_SortedTable[[#This Row],[President $ Change]]), RANK(MemberOrgs_SortedTable[[#This Row],[President $ Change]], $G$4:$G$227)+COUNTIF($G$4:G215, G215)-1, 0))</f>
        <v/>
      </c>
      <c r="M215" t="str">
        <f>IFERROR((IF(MemberOrgs_SortedTable[[#This Row],[Sort 1]] = 0, COUNTIF($L$4:L215, 0), "")+MAX(MemberOrgs_SortedTable[Sort 1])), "")</f>
        <v/>
      </c>
      <c r="N215" t="str">
        <f>IF(MemberOrgs_SortedTable[[#This Row],[Sort 1]]&gt;0, MemberOrgs_SortedTable[[#This Row],[Sort 1]], MemberOrgs_SortedTable[[#This Row],[Sort 2]])</f>
        <v/>
      </c>
    </row>
    <row r="216" spans="1:14" x14ac:dyDescent="0.25">
      <c r="A216" t="str">
        <f>IF(OR(MemberOrgControl!$B219 = "", MemberOrgControl!$B219 &lt;0), "", INDEX(MemberOrgsData[CFDA], MemberOrgControl!$B219))</f>
        <v/>
      </c>
      <c r="C216" t="str">
        <f>IFERROR(INDEX(AllCFDAs[All CFDAs], MATCH(0, INDEX(COUNTIF($C$3:C215, AllCFDAs[All CFDAs]),),0)), "")</f>
        <v/>
      </c>
      <c r="D216" t="str">
        <f t="array" ref="D216">IFERROR(INDEX(MemberOrgsData[FEDERALPROGRAMNAME], MATCH(1, (SelectMemberOrgs = MemberOrgsData[Auditee Name])*(MemberOrgs_SortedTable[[#This Row],[Unique CFDA]]= MemberOrgsData[CFDA]), 0)), "")</f>
        <v/>
      </c>
      <c r="E216" s="20" t="str">
        <f t="array" ref="E216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216" s="21" t="str">
        <f t="array" ref="F216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216" s="19" t="str">
        <f>IF(MemberOrgs_SortedTable[[#This Row],[Unique CFDA]] = "", "", IFERROR(MemberOrgs_SortedTable[[#This Row],[FY 2018 Total]]*MemberOrgs_SortedTable[[#This Row],[President % Change]], "No Budget Data"))</f>
        <v/>
      </c>
      <c r="H216" s="21" t="str">
        <f t="array" ref="H216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216" s="19" t="str">
        <f>IF(MemberOrgs_SortedTable[[#This Row],[Unique CFDA]] = "", "", IFERROR(MemberOrgs_SortedTable[[#This Row],[FY 2018 Total]]*MemberOrgs_SortedTable[[#This Row],[House % Change]], "No Budget Data"))</f>
        <v/>
      </c>
      <c r="K216" s="19" t="str">
        <f>IF(MemberOrgs_SortedTable[[#This Row],[Unique CFDA]] = "", "", IFERROR(MemberOrgs_SortedTable[[#This Row],[FY 2018 Total]]*MemberOrgs_SortedTable[[#This Row],[Senate Budget]], "No Budget Data"))</f>
        <v/>
      </c>
      <c r="L216" t="str">
        <f>IF(MemberOrgs_SortedTable[[#This Row],[Unique CFDA]] = "", "", IF(ISNUMBER(MemberOrgs_SortedTable[[#This Row],[President $ Change]]), RANK(MemberOrgs_SortedTable[[#This Row],[President $ Change]], $G$4:$G$227)+COUNTIF($G$4:G216, G216)-1, 0))</f>
        <v/>
      </c>
      <c r="M216" t="str">
        <f>IFERROR((IF(MemberOrgs_SortedTable[[#This Row],[Sort 1]] = 0, COUNTIF($L$4:L216, 0), "")+MAX(MemberOrgs_SortedTable[Sort 1])), "")</f>
        <v/>
      </c>
      <c r="N216" t="str">
        <f>IF(MemberOrgs_SortedTable[[#This Row],[Sort 1]]&gt;0, MemberOrgs_SortedTable[[#This Row],[Sort 1]], MemberOrgs_SortedTable[[#This Row],[Sort 2]])</f>
        <v/>
      </c>
    </row>
    <row r="217" spans="1:14" x14ac:dyDescent="0.25">
      <c r="A217" t="str">
        <f>IF(OR(MemberOrgControl!$B220 = "", MemberOrgControl!$B220 &lt;0), "", INDEX(MemberOrgsData[CFDA], MemberOrgControl!$B220))</f>
        <v/>
      </c>
      <c r="C217" t="str">
        <f>IFERROR(INDEX(AllCFDAs[All CFDAs], MATCH(0, INDEX(COUNTIF($C$3:C216, AllCFDAs[All CFDAs]),),0)), "")</f>
        <v/>
      </c>
      <c r="D217" t="str">
        <f t="array" ref="D217">IFERROR(INDEX(MemberOrgsData[FEDERALPROGRAMNAME], MATCH(1, (SelectMemberOrgs = MemberOrgsData[Auditee Name])*(MemberOrgs_SortedTable[[#This Row],[Unique CFDA]]= MemberOrgsData[CFDA]), 0)), "")</f>
        <v/>
      </c>
      <c r="E217" s="20" t="str">
        <f t="array" ref="E217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217" s="21" t="str">
        <f t="array" ref="F217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217" s="19" t="str">
        <f>IF(MemberOrgs_SortedTable[[#This Row],[Unique CFDA]] = "", "", IFERROR(MemberOrgs_SortedTable[[#This Row],[FY 2018 Total]]*MemberOrgs_SortedTable[[#This Row],[President % Change]], "No Budget Data"))</f>
        <v/>
      </c>
      <c r="H217" s="21" t="str">
        <f t="array" ref="H217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217" s="19" t="str">
        <f>IF(MemberOrgs_SortedTable[[#This Row],[Unique CFDA]] = "", "", IFERROR(MemberOrgs_SortedTable[[#This Row],[FY 2018 Total]]*MemberOrgs_SortedTable[[#This Row],[House % Change]], "No Budget Data"))</f>
        <v/>
      </c>
      <c r="K217" s="19" t="str">
        <f>IF(MemberOrgs_SortedTable[[#This Row],[Unique CFDA]] = "", "", IFERROR(MemberOrgs_SortedTable[[#This Row],[FY 2018 Total]]*MemberOrgs_SortedTable[[#This Row],[Senate Budget]], "No Budget Data"))</f>
        <v/>
      </c>
      <c r="L217" t="str">
        <f>IF(MemberOrgs_SortedTable[[#This Row],[Unique CFDA]] = "", "", IF(ISNUMBER(MemberOrgs_SortedTable[[#This Row],[President $ Change]]), RANK(MemberOrgs_SortedTable[[#This Row],[President $ Change]], $G$4:$G$227)+COUNTIF($G$4:G217, G217)-1, 0))</f>
        <v/>
      </c>
      <c r="M217" t="str">
        <f>IFERROR((IF(MemberOrgs_SortedTable[[#This Row],[Sort 1]] = 0, COUNTIF($L$4:L217, 0), "")+MAX(MemberOrgs_SortedTable[Sort 1])), "")</f>
        <v/>
      </c>
      <c r="N217" t="str">
        <f>IF(MemberOrgs_SortedTable[[#This Row],[Sort 1]]&gt;0, MemberOrgs_SortedTable[[#This Row],[Sort 1]], MemberOrgs_SortedTable[[#This Row],[Sort 2]])</f>
        <v/>
      </c>
    </row>
    <row r="218" spans="1:14" x14ac:dyDescent="0.25">
      <c r="A218" t="str">
        <f>IF(OR(MemberOrgControl!$B221 = "", MemberOrgControl!$B221 &lt;0), "", INDEX(MemberOrgsData[CFDA], MemberOrgControl!$B221))</f>
        <v/>
      </c>
      <c r="C218" t="str">
        <f>IFERROR(INDEX(AllCFDAs[All CFDAs], MATCH(0, INDEX(COUNTIF($C$3:C217, AllCFDAs[All CFDAs]),),0)), "")</f>
        <v/>
      </c>
      <c r="D218" t="str">
        <f t="array" ref="D218">IFERROR(INDEX(MemberOrgsData[FEDERALPROGRAMNAME], MATCH(1, (SelectMemberOrgs = MemberOrgsData[Auditee Name])*(MemberOrgs_SortedTable[[#This Row],[Unique CFDA]]= MemberOrgsData[CFDA]), 0)), "")</f>
        <v/>
      </c>
      <c r="E218" s="20" t="str">
        <f t="array" ref="E218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218" s="21" t="str">
        <f t="array" ref="F218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218" s="19" t="str">
        <f>IF(MemberOrgs_SortedTable[[#This Row],[Unique CFDA]] = "", "", IFERROR(MemberOrgs_SortedTable[[#This Row],[FY 2018 Total]]*MemberOrgs_SortedTable[[#This Row],[President % Change]], "No Budget Data"))</f>
        <v/>
      </c>
      <c r="H218" s="21" t="str">
        <f t="array" ref="H218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218" s="19" t="str">
        <f>IF(MemberOrgs_SortedTable[[#This Row],[Unique CFDA]] = "", "", IFERROR(MemberOrgs_SortedTable[[#This Row],[FY 2018 Total]]*MemberOrgs_SortedTable[[#This Row],[House % Change]], "No Budget Data"))</f>
        <v/>
      </c>
      <c r="K218" s="19" t="str">
        <f>IF(MemberOrgs_SortedTable[[#This Row],[Unique CFDA]] = "", "", IFERROR(MemberOrgs_SortedTable[[#This Row],[FY 2018 Total]]*MemberOrgs_SortedTable[[#This Row],[Senate Budget]], "No Budget Data"))</f>
        <v/>
      </c>
      <c r="L218" t="str">
        <f>IF(MemberOrgs_SortedTable[[#This Row],[Unique CFDA]] = "", "", IF(ISNUMBER(MemberOrgs_SortedTable[[#This Row],[President $ Change]]), RANK(MemberOrgs_SortedTable[[#This Row],[President $ Change]], $G$4:$G$227)+COUNTIF($G$4:G218, G218)-1, 0))</f>
        <v/>
      </c>
      <c r="M218" t="str">
        <f>IFERROR((IF(MemberOrgs_SortedTable[[#This Row],[Sort 1]] = 0, COUNTIF($L$4:L218, 0), "")+MAX(MemberOrgs_SortedTable[Sort 1])), "")</f>
        <v/>
      </c>
      <c r="N218" t="str">
        <f>IF(MemberOrgs_SortedTable[[#This Row],[Sort 1]]&gt;0, MemberOrgs_SortedTable[[#This Row],[Sort 1]], MemberOrgs_SortedTable[[#This Row],[Sort 2]])</f>
        <v/>
      </c>
    </row>
    <row r="219" spans="1:14" x14ac:dyDescent="0.25">
      <c r="A219" t="str">
        <f>IF(OR(MemberOrgControl!$B222 = "", MemberOrgControl!$B222 &lt;0), "", INDEX(MemberOrgsData[CFDA], MemberOrgControl!$B222))</f>
        <v/>
      </c>
      <c r="C219" t="str">
        <f>IFERROR(INDEX(AllCFDAs[All CFDAs], MATCH(0, INDEX(COUNTIF($C$3:C218, AllCFDAs[All CFDAs]),),0)), "")</f>
        <v/>
      </c>
      <c r="D219" t="str">
        <f t="array" ref="D219">IFERROR(INDEX(MemberOrgsData[FEDERALPROGRAMNAME], MATCH(1, (SelectMemberOrgs = MemberOrgsData[Auditee Name])*(MemberOrgs_SortedTable[[#This Row],[Unique CFDA]]= MemberOrgsData[CFDA]), 0)), "")</f>
        <v/>
      </c>
      <c r="E219" s="20" t="str">
        <f t="array" ref="E219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219" s="21" t="str">
        <f t="array" ref="F219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219" s="19" t="str">
        <f>IF(MemberOrgs_SortedTable[[#This Row],[Unique CFDA]] = "", "", IFERROR(MemberOrgs_SortedTable[[#This Row],[FY 2018 Total]]*MemberOrgs_SortedTable[[#This Row],[President % Change]], "No Budget Data"))</f>
        <v/>
      </c>
      <c r="H219" s="21" t="str">
        <f t="array" ref="H219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219" s="19" t="str">
        <f>IF(MemberOrgs_SortedTable[[#This Row],[Unique CFDA]] = "", "", IFERROR(MemberOrgs_SortedTable[[#This Row],[FY 2018 Total]]*MemberOrgs_SortedTable[[#This Row],[House % Change]], "No Budget Data"))</f>
        <v/>
      </c>
      <c r="K219" s="19" t="str">
        <f>IF(MemberOrgs_SortedTable[[#This Row],[Unique CFDA]] = "", "", IFERROR(MemberOrgs_SortedTable[[#This Row],[FY 2018 Total]]*MemberOrgs_SortedTable[[#This Row],[Senate Budget]], "No Budget Data"))</f>
        <v/>
      </c>
      <c r="L219" t="str">
        <f>IF(MemberOrgs_SortedTable[[#This Row],[Unique CFDA]] = "", "", IF(ISNUMBER(MemberOrgs_SortedTable[[#This Row],[President $ Change]]), RANK(MemberOrgs_SortedTable[[#This Row],[President $ Change]], $G$4:$G$227)+COUNTIF($G$4:G219, G219)-1, 0))</f>
        <v/>
      </c>
      <c r="M219" t="str">
        <f>IFERROR((IF(MemberOrgs_SortedTable[[#This Row],[Sort 1]] = 0, COUNTIF($L$4:L219, 0), "")+MAX(MemberOrgs_SortedTable[Sort 1])), "")</f>
        <v/>
      </c>
      <c r="N219" t="str">
        <f>IF(MemberOrgs_SortedTable[[#This Row],[Sort 1]]&gt;0, MemberOrgs_SortedTable[[#This Row],[Sort 1]], MemberOrgs_SortedTable[[#This Row],[Sort 2]])</f>
        <v/>
      </c>
    </row>
    <row r="220" spans="1:14" x14ac:dyDescent="0.25">
      <c r="A220" t="str">
        <f>IF(OR(MemberOrgControl!$B223 = "", MemberOrgControl!$B223 &lt;0), "", INDEX(MemberOrgsData[CFDA], MemberOrgControl!$B223))</f>
        <v/>
      </c>
      <c r="C220" t="str">
        <f>IFERROR(INDEX(AllCFDAs[All CFDAs], MATCH(0, INDEX(COUNTIF($C$3:C219, AllCFDAs[All CFDAs]),),0)), "")</f>
        <v/>
      </c>
      <c r="D220" t="str">
        <f t="array" ref="D220">IFERROR(INDEX(MemberOrgsData[FEDERALPROGRAMNAME], MATCH(1, (SelectMemberOrgs = MemberOrgsData[Auditee Name])*(MemberOrgs_SortedTable[[#This Row],[Unique CFDA]]= MemberOrgsData[CFDA]), 0)), "")</f>
        <v/>
      </c>
      <c r="E220" s="20" t="str">
        <f t="array" ref="E220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220" s="21" t="str">
        <f t="array" ref="F220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220" s="19" t="str">
        <f>IF(MemberOrgs_SortedTable[[#This Row],[Unique CFDA]] = "", "", IFERROR(MemberOrgs_SortedTable[[#This Row],[FY 2018 Total]]*MemberOrgs_SortedTable[[#This Row],[President % Change]], "No Budget Data"))</f>
        <v/>
      </c>
      <c r="H220" s="21" t="str">
        <f t="array" ref="H220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220" s="19" t="str">
        <f>IF(MemberOrgs_SortedTable[[#This Row],[Unique CFDA]] = "", "", IFERROR(MemberOrgs_SortedTable[[#This Row],[FY 2018 Total]]*MemberOrgs_SortedTable[[#This Row],[House % Change]], "No Budget Data"))</f>
        <v/>
      </c>
      <c r="K220" s="19" t="str">
        <f>IF(MemberOrgs_SortedTable[[#This Row],[Unique CFDA]] = "", "", IFERROR(MemberOrgs_SortedTable[[#This Row],[FY 2018 Total]]*MemberOrgs_SortedTable[[#This Row],[Senate Budget]], "No Budget Data"))</f>
        <v/>
      </c>
      <c r="L220" t="str">
        <f>IF(MemberOrgs_SortedTable[[#This Row],[Unique CFDA]] = "", "", IF(ISNUMBER(MemberOrgs_SortedTable[[#This Row],[President $ Change]]), RANK(MemberOrgs_SortedTable[[#This Row],[President $ Change]], $G$4:$G$227)+COUNTIF($G$4:G220, G220)-1, 0))</f>
        <v/>
      </c>
      <c r="M220" t="str">
        <f>IFERROR((IF(MemberOrgs_SortedTable[[#This Row],[Sort 1]] = 0, COUNTIF($L$4:L220, 0), "")+MAX(MemberOrgs_SortedTable[Sort 1])), "")</f>
        <v/>
      </c>
      <c r="N220" t="str">
        <f>IF(MemberOrgs_SortedTable[[#This Row],[Sort 1]]&gt;0, MemberOrgs_SortedTable[[#This Row],[Sort 1]], MemberOrgs_SortedTable[[#This Row],[Sort 2]])</f>
        <v/>
      </c>
    </row>
    <row r="221" spans="1:14" x14ac:dyDescent="0.25">
      <c r="A221" t="str">
        <f>IF(OR(MemberOrgControl!$B224 = "", MemberOrgControl!$B224 &lt;0), "", INDEX(MemberOrgsData[CFDA], MemberOrgControl!$B224))</f>
        <v/>
      </c>
      <c r="C221" t="str">
        <f>IFERROR(INDEX(AllCFDAs[All CFDAs], MATCH(0, INDEX(COUNTIF($C$3:C220, AllCFDAs[All CFDAs]),),0)), "")</f>
        <v/>
      </c>
      <c r="D221" t="str">
        <f t="array" ref="D221">IFERROR(INDEX(MemberOrgsData[FEDERALPROGRAMNAME], MATCH(1, (SelectMemberOrgs = MemberOrgsData[Auditee Name])*(MemberOrgs_SortedTable[[#This Row],[Unique CFDA]]= MemberOrgsData[CFDA]), 0)), "")</f>
        <v/>
      </c>
      <c r="E221" s="20" t="str">
        <f t="array" ref="E221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221" s="21" t="str">
        <f t="array" ref="F221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221" s="19" t="str">
        <f>IF(MemberOrgs_SortedTable[[#This Row],[Unique CFDA]] = "", "", IFERROR(MemberOrgs_SortedTable[[#This Row],[FY 2018 Total]]*MemberOrgs_SortedTable[[#This Row],[President % Change]], "No Budget Data"))</f>
        <v/>
      </c>
      <c r="H221" s="21" t="str">
        <f t="array" ref="H221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221" s="19" t="str">
        <f>IF(MemberOrgs_SortedTable[[#This Row],[Unique CFDA]] = "", "", IFERROR(MemberOrgs_SortedTable[[#This Row],[FY 2018 Total]]*MemberOrgs_SortedTable[[#This Row],[House % Change]], "No Budget Data"))</f>
        <v/>
      </c>
      <c r="K221" s="19" t="str">
        <f>IF(MemberOrgs_SortedTable[[#This Row],[Unique CFDA]] = "", "", IFERROR(MemberOrgs_SortedTable[[#This Row],[FY 2018 Total]]*MemberOrgs_SortedTable[[#This Row],[Senate Budget]], "No Budget Data"))</f>
        <v/>
      </c>
      <c r="L221" t="str">
        <f>IF(MemberOrgs_SortedTable[[#This Row],[Unique CFDA]] = "", "", IF(ISNUMBER(MemberOrgs_SortedTable[[#This Row],[President $ Change]]), RANK(MemberOrgs_SortedTable[[#This Row],[President $ Change]], $G$4:$G$227)+COUNTIF($G$4:G221, G221)-1, 0))</f>
        <v/>
      </c>
      <c r="M221" t="str">
        <f>IFERROR((IF(MemberOrgs_SortedTable[[#This Row],[Sort 1]] = 0, COUNTIF($L$4:L221, 0), "")+MAX(MemberOrgs_SortedTable[Sort 1])), "")</f>
        <v/>
      </c>
      <c r="N221" t="str">
        <f>IF(MemberOrgs_SortedTable[[#This Row],[Sort 1]]&gt;0, MemberOrgs_SortedTable[[#This Row],[Sort 1]], MemberOrgs_SortedTable[[#This Row],[Sort 2]])</f>
        <v/>
      </c>
    </row>
    <row r="222" spans="1:14" x14ac:dyDescent="0.25">
      <c r="A222" t="str">
        <f>IF(OR(MemberOrgControl!$B225 = "", MemberOrgControl!$B225 &lt;0), "", INDEX(MemberOrgsData[CFDA], MemberOrgControl!$B225))</f>
        <v/>
      </c>
      <c r="C222" t="str">
        <f>IFERROR(INDEX(AllCFDAs[All CFDAs], MATCH(0, INDEX(COUNTIF($C$3:C221, AllCFDAs[All CFDAs]),),0)), "")</f>
        <v/>
      </c>
      <c r="D222" t="str">
        <f t="array" ref="D222">IFERROR(INDEX(MemberOrgsData[FEDERALPROGRAMNAME], MATCH(1, (SelectMemberOrgs = MemberOrgsData[Auditee Name])*(MemberOrgs_SortedTable[[#This Row],[Unique CFDA]]= MemberOrgsData[CFDA]), 0)), "")</f>
        <v/>
      </c>
      <c r="E222" s="20" t="str">
        <f t="array" ref="E222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222" s="21" t="str">
        <f t="array" ref="F222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222" s="19" t="str">
        <f>IF(MemberOrgs_SortedTable[[#This Row],[Unique CFDA]] = "", "", IFERROR(MemberOrgs_SortedTable[[#This Row],[FY 2018 Total]]*MemberOrgs_SortedTable[[#This Row],[President % Change]], "No Budget Data"))</f>
        <v/>
      </c>
      <c r="H222" s="21" t="str">
        <f t="array" ref="H222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222" s="19" t="str">
        <f>IF(MemberOrgs_SortedTable[[#This Row],[Unique CFDA]] = "", "", IFERROR(MemberOrgs_SortedTable[[#This Row],[FY 2018 Total]]*MemberOrgs_SortedTable[[#This Row],[House % Change]], "No Budget Data"))</f>
        <v/>
      </c>
      <c r="K222" s="19" t="str">
        <f>IF(MemberOrgs_SortedTable[[#This Row],[Unique CFDA]] = "", "", IFERROR(MemberOrgs_SortedTable[[#This Row],[FY 2018 Total]]*MemberOrgs_SortedTable[[#This Row],[Senate Budget]], "No Budget Data"))</f>
        <v/>
      </c>
      <c r="L222" t="str">
        <f>IF(MemberOrgs_SortedTable[[#This Row],[Unique CFDA]] = "", "", IF(ISNUMBER(MemberOrgs_SortedTable[[#This Row],[President $ Change]]), RANK(MemberOrgs_SortedTable[[#This Row],[President $ Change]], $G$4:$G$227)+COUNTIF($G$4:G222, G222)-1, 0))</f>
        <v/>
      </c>
      <c r="M222" t="str">
        <f>IFERROR((IF(MemberOrgs_SortedTable[[#This Row],[Sort 1]] = 0, COUNTIF($L$4:L222, 0), "")+MAX(MemberOrgs_SortedTable[Sort 1])), "")</f>
        <v/>
      </c>
      <c r="N222" t="str">
        <f>IF(MemberOrgs_SortedTable[[#This Row],[Sort 1]]&gt;0, MemberOrgs_SortedTable[[#This Row],[Sort 1]], MemberOrgs_SortedTable[[#This Row],[Sort 2]])</f>
        <v/>
      </c>
    </row>
    <row r="223" spans="1:14" x14ac:dyDescent="0.25">
      <c r="A223" t="str">
        <f>IF(OR(MemberOrgControl!$B226 = "", MemberOrgControl!$B226 &lt;0), "", INDEX(MemberOrgsData[CFDA], MemberOrgControl!$B226))</f>
        <v/>
      </c>
      <c r="C223" t="str">
        <f>IFERROR(INDEX(AllCFDAs[All CFDAs], MATCH(0, INDEX(COUNTIF($C$3:C222, AllCFDAs[All CFDAs]),),0)), "")</f>
        <v/>
      </c>
      <c r="D223" t="str">
        <f t="array" ref="D223">IFERROR(INDEX(MemberOrgsData[FEDERALPROGRAMNAME], MATCH(1, (SelectMemberOrgs = MemberOrgsData[Auditee Name])*(MemberOrgs_SortedTable[[#This Row],[Unique CFDA]]= MemberOrgsData[CFDA]), 0)), "")</f>
        <v/>
      </c>
      <c r="E223" s="20" t="str">
        <f t="array" ref="E223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223" s="21" t="str">
        <f t="array" ref="F223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223" s="19" t="str">
        <f>IF(MemberOrgs_SortedTable[[#This Row],[Unique CFDA]] = "", "", IFERROR(MemberOrgs_SortedTable[[#This Row],[FY 2018 Total]]*MemberOrgs_SortedTable[[#This Row],[President % Change]], "No Budget Data"))</f>
        <v/>
      </c>
      <c r="H223" s="21" t="str">
        <f t="array" ref="H223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223" s="19" t="str">
        <f>IF(MemberOrgs_SortedTable[[#This Row],[Unique CFDA]] = "", "", IFERROR(MemberOrgs_SortedTable[[#This Row],[FY 2018 Total]]*MemberOrgs_SortedTable[[#This Row],[House % Change]], "No Budget Data"))</f>
        <v/>
      </c>
      <c r="K223" s="19" t="str">
        <f>IF(MemberOrgs_SortedTable[[#This Row],[Unique CFDA]] = "", "", IFERROR(MemberOrgs_SortedTable[[#This Row],[FY 2018 Total]]*MemberOrgs_SortedTable[[#This Row],[Senate Budget]], "No Budget Data"))</f>
        <v/>
      </c>
      <c r="L223" t="str">
        <f>IF(MemberOrgs_SortedTable[[#This Row],[Unique CFDA]] = "", "", IF(ISNUMBER(MemberOrgs_SortedTable[[#This Row],[President $ Change]]), RANK(MemberOrgs_SortedTable[[#This Row],[President $ Change]], $G$4:$G$227)+COUNTIF($G$4:G223, G223)-1, 0))</f>
        <v/>
      </c>
      <c r="M223" t="str">
        <f>IFERROR((IF(MemberOrgs_SortedTable[[#This Row],[Sort 1]] = 0, COUNTIF($L$4:L223, 0), "")+MAX(MemberOrgs_SortedTable[Sort 1])), "")</f>
        <v/>
      </c>
      <c r="N223" t="str">
        <f>IF(MemberOrgs_SortedTable[[#This Row],[Sort 1]]&gt;0, MemberOrgs_SortedTable[[#This Row],[Sort 1]], MemberOrgs_SortedTable[[#This Row],[Sort 2]])</f>
        <v/>
      </c>
    </row>
    <row r="224" spans="1:14" x14ac:dyDescent="0.25">
      <c r="A224" t="str">
        <f>IF(OR(MemberOrgControl!$B227 = "", MemberOrgControl!$B227 &lt;0), "", INDEX(MemberOrgsData[CFDA], MemberOrgControl!$B227))</f>
        <v/>
      </c>
      <c r="C224" t="str">
        <f>IFERROR(INDEX(AllCFDAs[All CFDAs], MATCH(0, INDEX(COUNTIF($C$3:C223, AllCFDAs[All CFDAs]),),0)), "")</f>
        <v/>
      </c>
      <c r="D224" t="str">
        <f t="array" ref="D224">IFERROR(INDEX(MemberOrgsData[FEDERALPROGRAMNAME], MATCH(1, (SelectMemberOrgs = MemberOrgsData[Auditee Name])*(MemberOrgs_SortedTable[[#This Row],[Unique CFDA]]= MemberOrgsData[CFDA]), 0)), "")</f>
        <v/>
      </c>
      <c r="E224" s="20" t="str">
        <f t="array" ref="E224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224" s="21" t="str">
        <f t="array" ref="F224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224" s="19" t="str">
        <f>IF(MemberOrgs_SortedTable[[#This Row],[Unique CFDA]] = "", "", IFERROR(MemberOrgs_SortedTable[[#This Row],[FY 2018 Total]]*MemberOrgs_SortedTable[[#This Row],[President % Change]], "No Budget Data"))</f>
        <v/>
      </c>
      <c r="H224" s="21" t="str">
        <f t="array" ref="H224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224" s="19" t="str">
        <f>IF(MemberOrgs_SortedTable[[#This Row],[Unique CFDA]] = "", "", IFERROR(MemberOrgs_SortedTable[[#This Row],[FY 2018 Total]]*MemberOrgs_SortedTable[[#This Row],[House % Change]], "No Budget Data"))</f>
        <v/>
      </c>
      <c r="K224" s="19" t="str">
        <f>IF(MemberOrgs_SortedTable[[#This Row],[Unique CFDA]] = "", "", IFERROR(MemberOrgs_SortedTable[[#This Row],[FY 2018 Total]]*MemberOrgs_SortedTable[[#This Row],[Senate Budget]], "No Budget Data"))</f>
        <v/>
      </c>
      <c r="L224" t="str">
        <f>IF(MemberOrgs_SortedTable[[#This Row],[Unique CFDA]] = "", "", IF(ISNUMBER(MemberOrgs_SortedTable[[#This Row],[President $ Change]]), RANK(MemberOrgs_SortedTable[[#This Row],[President $ Change]], $G$4:$G$227)+COUNTIF($G$4:G224, G224)-1, 0))</f>
        <v/>
      </c>
      <c r="M224" t="str">
        <f>IFERROR((IF(MemberOrgs_SortedTable[[#This Row],[Sort 1]] = 0, COUNTIF($L$4:L224, 0), "")+MAX(MemberOrgs_SortedTable[Sort 1])), "")</f>
        <v/>
      </c>
      <c r="N224" t="str">
        <f>IF(MemberOrgs_SortedTable[[#This Row],[Sort 1]]&gt;0, MemberOrgs_SortedTable[[#This Row],[Sort 1]], MemberOrgs_SortedTable[[#This Row],[Sort 2]])</f>
        <v/>
      </c>
    </row>
    <row r="225" spans="1:14" x14ac:dyDescent="0.25">
      <c r="A225" t="str">
        <f>IF(OR(MemberOrgControl!$B228 = "", MemberOrgControl!$B228 &lt;0), "", INDEX(MemberOrgsData[CFDA], MemberOrgControl!$B228))</f>
        <v/>
      </c>
      <c r="C225" t="str">
        <f>IFERROR(INDEX(AllCFDAs[All CFDAs], MATCH(0, INDEX(COUNTIF($C$3:C224, AllCFDAs[All CFDAs]),),0)), "")</f>
        <v/>
      </c>
      <c r="D225" t="str">
        <f t="array" ref="D225">IFERROR(INDEX(MemberOrgsData[FEDERALPROGRAMNAME], MATCH(1, (SelectMemberOrgs = MemberOrgsData[Auditee Name])*(MemberOrgs_SortedTable[[#This Row],[Unique CFDA]]= MemberOrgsData[CFDA]), 0)), "")</f>
        <v/>
      </c>
      <c r="E225" s="20" t="str">
        <f t="array" ref="E225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225" s="21" t="str">
        <f t="array" ref="F225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225" s="19" t="str">
        <f>IF(MemberOrgs_SortedTable[[#This Row],[Unique CFDA]] = "", "", IFERROR(MemberOrgs_SortedTable[[#This Row],[FY 2018 Total]]*MemberOrgs_SortedTable[[#This Row],[President % Change]], "No Budget Data"))</f>
        <v/>
      </c>
      <c r="H225" s="21" t="str">
        <f t="array" ref="H225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225" s="19" t="str">
        <f>IF(MemberOrgs_SortedTable[[#This Row],[Unique CFDA]] = "", "", IFERROR(MemberOrgs_SortedTable[[#This Row],[FY 2018 Total]]*MemberOrgs_SortedTable[[#This Row],[House % Change]], "No Budget Data"))</f>
        <v/>
      </c>
      <c r="K225" s="19" t="str">
        <f>IF(MemberOrgs_SortedTable[[#This Row],[Unique CFDA]] = "", "", IFERROR(MemberOrgs_SortedTable[[#This Row],[FY 2018 Total]]*MemberOrgs_SortedTable[[#This Row],[Senate Budget]], "No Budget Data"))</f>
        <v/>
      </c>
      <c r="L225" t="str">
        <f>IF(MemberOrgs_SortedTable[[#This Row],[Unique CFDA]] = "", "", IF(ISNUMBER(MemberOrgs_SortedTable[[#This Row],[President $ Change]]), RANK(MemberOrgs_SortedTable[[#This Row],[President $ Change]], $G$4:$G$227)+COUNTIF($G$4:G225, G225)-1, 0))</f>
        <v/>
      </c>
      <c r="M225" t="str">
        <f>IFERROR((IF(MemberOrgs_SortedTable[[#This Row],[Sort 1]] = 0, COUNTIF($L$4:L225, 0), "")+MAX(MemberOrgs_SortedTable[Sort 1])), "")</f>
        <v/>
      </c>
      <c r="N225" t="str">
        <f>IF(MemberOrgs_SortedTable[[#This Row],[Sort 1]]&gt;0, MemberOrgs_SortedTable[[#This Row],[Sort 1]], MemberOrgs_SortedTable[[#This Row],[Sort 2]])</f>
        <v/>
      </c>
    </row>
    <row r="226" spans="1:14" x14ac:dyDescent="0.25">
      <c r="A226" t="str">
        <f>IF(OR(MemberOrgControl!$B229 = "", MemberOrgControl!$B229 &lt;0), "", INDEX(MemberOrgsData[CFDA], MemberOrgControl!$B229))</f>
        <v/>
      </c>
      <c r="C226" t="str">
        <f>IFERROR(INDEX(AllCFDAs[All CFDAs], MATCH(0, INDEX(COUNTIF($C$3:C225, AllCFDAs[All CFDAs]),),0)), "")</f>
        <v/>
      </c>
      <c r="D226" t="str">
        <f t="array" ref="D226">IFERROR(INDEX(MemberOrgsData[FEDERALPROGRAMNAME], MATCH(1, (SelectMemberOrgs = MemberOrgsData[Auditee Name])*(MemberOrgs_SortedTable[[#This Row],[Unique CFDA]]= MemberOrgsData[CFDA]), 0)), "")</f>
        <v/>
      </c>
      <c r="E226" s="20" t="str">
        <f t="array" ref="E226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226" s="21" t="str">
        <f t="array" ref="F226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226" s="19" t="str">
        <f>IF(MemberOrgs_SortedTable[[#This Row],[Unique CFDA]] = "", "", IFERROR(MemberOrgs_SortedTable[[#This Row],[FY 2018 Total]]*MemberOrgs_SortedTable[[#This Row],[President % Change]], "No Budget Data"))</f>
        <v/>
      </c>
      <c r="H226" s="21" t="str">
        <f t="array" ref="H226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226" s="19" t="str">
        <f>IF(MemberOrgs_SortedTable[[#This Row],[Unique CFDA]] = "", "", IFERROR(MemberOrgs_SortedTable[[#This Row],[FY 2018 Total]]*MemberOrgs_SortedTable[[#This Row],[House % Change]], "No Budget Data"))</f>
        <v/>
      </c>
      <c r="K226" s="19" t="str">
        <f>IF(MemberOrgs_SortedTable[[#This Row],[Unique CFDA]] = "", "", IFERROR(MemberOrgs_SortedTable[[#This Row],[FY 2018 Total]]*MemberOrgs_SortedTable[[#This Row],[Senate Budget]], "No Budget Data"))</f>
        <v/>
      </c>
      <c r="L226" t="str">
        <f>IF(MemberOrgs_SortedTable[[#This Row],[Unique CFDA]] = "", "", IF(ISNUMBER(MemberOrgs_SortedTable[[#This Row],[President $ Change]]), RANK(MemberOrgs_SortedTable[[#This Row],[President $ Change]], $G$4:$G$227)+COUNTIF($G$4:G226, G226)-1, 0))</f>
        <v/>
      </c>
      <c r="M226" t="str">
        <f>IFERROR((IF(MemberOrgs_SortedTable[[#This Row],[Sort 1]] = 0, COUNTIF($L$4:L226, 0), "")+MAX(MemberOrgs_SortedTable[Sort 1])), "")</f>
        <v/>
      </c>
      <c r="N226" t="str">
        <f>IF(MemberOrgs_SortedTable[[#This Row],[Sort 1]]&gt;0, MemberOrgs_SortedTable[[#This Row],[Sort 1]], MemberOrgs_SortedTable[[#This Row],[Sort 2]])</f>
        <v/>
      </c>
    </row>
    <row r="227" spans="1:14" x14ac:dyDescent="0.25">
      <c r="A227" t="str">
        <f>IF(OR(MemberOrgControl!$B230 = "", MemberOrgControl!$B230 &lt;0), "", INDEX(MemberOrgsData[CFDA], MemberOrgControl!$B230))</f>
        <v/>
      </c>
      <c r="C227" t="str">
        <f>IFERROR(INDEX(AllCFDAs[All CFDAs], MATCH(0, INDEX(COUNTIF($C$3:C226, AllCFDAs[All CFDAs]),),0)), "")</f>
        <v/>
      </c>
      <c r="D227" t="str">
        <f t="array" ref="D227">IFERROR(INDEX(MemberOrgsData[FEDERALPROGRAMNAME], MATCH(1, (SelectMemberOrgs = MemberOrgsData[Auditee Name])*(MemberOrgs_SortedTable[[#This Row],[Unique CFDA]]= MemberOrgsData[CFDA]), 0)), "")</f>
        <v/>
      </c>
      <c r="E227" s="20" t="str">
        <f t="array" ref="E227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227" s="21" t="str">
        <f t="array" ref="F227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227" s="19" t="str">
        <f>IF(MemberOrgs_SortedTable[[#This Row],[Unique CFDA]] = "", "", IFERROR(MemberOrgs_SortedTable[[#This Row],[FY 2018 Total]]*MemberOrgs_SortedTable[[#This Row],[President % Change]], "No Budget Data"))</f>
        <v/>
      </c>
      <c r="H227" s="21" t="str">
        <f t="array" ref="H227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227" s="19" t="str">
        <f>IF(MemberOrgs_SortedTable[[#This Row],[Unique CFDA]] = "", "", IFERROR(MemberOrgs_SortedTable[[#This Row],[FY 2018 Total]]*MemberOrgs_SortedTable[[#This Row],[House % Change]], "No Budget Data"))</f>
        <v/>
      </c>
      <c r="K227" s="19" t="str">
        <f>IF(MemberOrgs_SortedTable[[#This Row],[Unique CFDA]] = "", "", IFERROR(MemberOrgs_SortedTable[[#This Row],[FY 2018 Total]]*MemberOrgs_SortedTable[[#This Row],[Senate Budget]], "No Budget Data"))</f>
        <v/>
      </c>
      <c r="L227" t="str">
        <f>IF(MemberOrgs_SortedTable[[#This Row],[Unique CFDA]] = "", "", IF(ISNUMBER(MemberOrgs_SortedTable[[#This Row],[President $ Change]]), RANK(MemberOrgs_SortedTable[[#This Row],[President $ Change]], $G$4:$G$227)+COUNTIF($G$4:G227, G227)-1, 0))</f>
        <v/>
      </c>
      <c r="M227" t="str">
        <f>IFERROR((IF(MemberOrgs_SortedTable[[#This Row],[Sort 1]] = 0, COUNTIF($L$4:L227, 0), "")+MAX(MemberOrgs_SortedTable[Sort 1])), "")</f>
        <v/>
      </c>
      <c r="N227" t="str">
        <f>IF(MemberOrgs_SortedTable[[#This Row],[Sort 1]]&gt;0, MemberOrgs_SortedTable[[#This Row],[Sort 1]], MemberOrgs_SortedTable[[#This Row],[Sort 2]])</f>
        <v/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6435D-F0FE-430E-AB67-A113439435EC}">
  <sheetPr codeName="Sheet6"/>
  <dimension ref="A1:AB274"/>
  <sheetViews>
    <sheetView zoomScale="90" zoomScaleNormal="90" workbookViewId="0">
      <selection activeCell="H4" sqref="H4"/>
    </sheetView>
  </sheetViews>
  <sheetFormatPr defaultRowHeight="15" x14ac:dyDescent="0.25"/>
  <cols>
    <col min="1" max="1" width="11.5703125" customWidth="1"/>
    <col min="3" max="3" width="14.85546875" customWidth="1"/>
    <col min="4" max="4" width="13.85546875" customWidth="1"/>
    <col min="5" max="5" width="14.5703125" customWidth="1"/>
    <col min="6" max="6" width="18.42578125" customWidth="1"/>
    <col min="7" max="7" width="20.140625" customWidth="1"/>
    <col min="8" max="8" width="15.42578125" customWidth="1"/>
    <col min="9" max="9" width="17.140625" customWidth="1"/>
    <col min="10" max="10" width="16" customWidth="1"/>
    <col min="11" max="11" width="17.7109375" customWidth="1"/>
    <col min="14" max="14" width="15.5703125" customWidth="1"/>
    <col min="17" max="17" width="20.5703125" bestFit="1" customWidth="1"/>
    <col min="18" max="18" width="14.7109375" bestFit="1" customWidth="1"/>
    <col min="19" max="19" width="15.5703125" bestFit="1" customWidth="1"/>
    <col min="20" max="20" width="15.5703125" customWidth="1"/>
    <col min="21" max="21" width="31.85546875" bestFit="1" customWidth="1"/>
    <col min="22" max="22" width="31.28515625" bestFit="1" customWidth="1"/>
  </cols>
  <sheetData>
    <row r="1" spans="1:28" x14ac:dyDescent="0.25">
      <c r="A1" t="s">
        <v>258</v>
      </c>
    </row>
    <row r="3" spans="1:28" ht="18" x14ac:dyDescent="0.25">
      <c r="A3" t="s">
        <v>236</v>
      </c>
      <c r="C3" s="22" t="s">
        <v>234</v>
      </c>
      <c r="D3" s="23" t="s">
        <v>226</v>
      </c>
      <c r="E3" s="23" t="s">
        <v>227</v>
      </c>
      <c r="F3" s="23" t="s">
        <v>239</v>
      </c>
      <c r="G3" s="23" t="s">
        <v>228</v>
      </c>
      <c r="H3" s="23" t="s">
        <v>257</v>
      </c>
      <c r="I3" s="23" t="s">
        <v>229</v>
      </c>
      <c r="J3" s="23" t="s">
        <v>232</v>
      </c>
      <c r="K3" s="23" t="s">
        <v>233</v>
      </c>
      <c r="L3" s="24" t="s">
        <v>241</v>
      </c>
      <c r="N3" t="s">
        <v>235</v>
      </c>
      <c r="O3" t="s">
        <v>4</v>
      </c>
      <c r="P3" t="s">
        <v>226</v>
      </c>
      <c r="Q3" t="s">
        <v>227</v>
      </c>
      <c r="R3" t="s">
        <v>239</v>
      </c>
      <c r="S3" t="s">
        <v>228</v>
      </c>
      <c r="T3" t="s">
        <v>257</v>
      </c>
      <c r="U3" t="s">
        <v>229</v>
      </c>
      <c r="X3" s="28"/>
      <c r="Y3" s="28"/>
      <c r="Z3" s="28"/>
      <c r="AA3" s="28"/>
      <c r="AB3" s="28"/>
    </row>
    <row r="4" spans="1:28" x14ac:dyDescent="0.25">
      <c r="A4" t="str">
        <f>IF(MemberOrgControl!$C7 = "", "", INDEX(MemberOrgsData[CFDA], MemberOrgControl!$C7))</f>
        <v/>
      </c>
      <c r="C4" s="6" t="str">
        <f>IFERROR(INDEX(AllFilteredCFDAs[All CFDAs], MATCH(0, INDEX(COUNTIF($C$3:C3, AllFilteredCFDAs[All CFDAs]),),0)), "")</f>
        <v/>
      </c>
      <c r="D4" s="6" t="str">
        <f t="array" ref="D4">IFERROR(INDEX(MemberOrgsData[FEDERALPROGRAMNAME], MATCH(1, (SelectMemberOrgs = MemberOrgsData[Auditee Name])*(Table11[[#This Row],[Unique CFDA]] = MemberOrgsData[CFDA]), 0)), "")</f>
        <v/>
      </c>
      <c r="E4" s="25" t="str">
        <f t="array" ref="E4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4" s="26" t="str">
        <f t="array" ref="F4">IFERROR(INDEX(BudgetAppropData[President % Change], MATCH(1, (Table11[[#This Row],[Unique CFDA]] = BudgetAppropData[CFDA])*(SelectBudgetYear = BudgetAppropData[Fiscal Year]), 0)), "")</f>
        <v/>
      </c>
      <c r="G4" s="25" t="str">
        <f>IF(Table11[[#This Row],[Unique CFDA]] = "", "", IFERROR(Table11[[#This Row],[FY 2018 Total]]*Table11[[#This Row],[President % Change]], ""))</f>
        <v/>
      </c>
      <c r="H4" s="26" t="str">
        <f t="array" ref="H4">IFERROR(INDEX(BudgetAppropData[House % Change], MATCH(1, (Table11[[#This Row],[Unique CFDA]] = BudgetAppropData[CFDA])*(SelectBudgetYear = BudgetAppropData[Fiscal Year]),0)), "")</f>
        <v/>
      </c>
      <c r="I4" s="25" t="str">
        <f>IF(Table11[[#This Row],[Unique CFDA]] = "", "", IFERROR(Table11[[#This Row],[FY 2018 Total]]*Table11[[#This Row],[House % Change]], ""))</f>
        <v/>
      </c>
      <c r="J4" s="6"/>
      <c r="K4" s="25" t="str">
        <f>IF(Table11[[#This Row],[Unique CFDA]] = "", "", IFERROR(Table11[[#This Row],[FY 2018 Total]]*Table11[[#This Row],[Senate Budget]], ""))</f>
        <v/>
      </c>
      <c r="L4" s="6" t="str">
        <f>IF(Table11[[#This Row],[Unique CFDA]] = "", "", IF(ISNUMBER(Table11[[#This Row],[President $ Change]]), RANK(Table11[[#This Row],[President $ Change]], Table11[President $ Change])+COUNTIF($G4:G4, G4)-1,0))</f>
        <v/>
      </c>
      <c r="N4">
        <v>1</v>
      </c>
      <c r="O4">
        <f>IFERROR(INDEX(Table11[Unique CFDA], MATCH(N4, Table11[Pres. Sort], 0)), "")</f>
        <v>10.558</v>
      </c>
      <c r="P4" s="1" t="str">
        <f>IFERROR(INDEX(Table11[Grant Name], MATCH(MemberOrgFinalSort[[#This Row],[CFDA]], Table11[Unique CFDA], 0)), "")</f>
        <v>CHILD AND ADULT CARE FOOD PROGRAM</v>
      </c>
      <c r="Q4" s="20">
        <f>IFERROR(INDEX(Table11[FY 2018 Total], MATCH(MemberOrgFinalSort[[#This Row],[CFDA]], Table11[Unique CFDA], 0)), "")</f>
        <v>813939</v>
      </c>
      <c r="R4" s="21">
        <f>IFERROR(INDEX(Table11[President % Change], MATCH(MemberOrgFinalSort[[#This Row],[CFDA]], Table11[Unique CFDA], 0)), "")</f>
        <v>6.0000000000000001E-3</v>
      </c>
      <c r="S4" s="20">
        <f>IFERROR(INDEX(Table11[President $ Change], MATCH(MemberOrgFinalSort[[#This Row],[CFDA]], Table11[Unique CFDA], 0)), "")</f>
        <v>4883.634</v>
      </c>
      <c r="T4" s="32" t="str">
        <f>IFERROR(INDEX(Table11[House % Change], MATCH(MemberOrgFinalSort[[#This Row],[CFDA]], Table11[Unique CFDA], 0)), "")</f>
        <v/>
      </c>
      <c r="U4" s="32" t="str">
        <f>IFERROR(INDEX(Table11[House $ Change], MATCH(MemberOrgFinalSort[[#This Row],[CFDA]], Table11[Unique CFDA], 0)), "")</f>
        <v/>
      </c>
      <c r="V4" s="20"/>
      <c r="X4" s="6"/>
      <c r="Y4" s="6"/>
      <c r="Z4" s="6"/>
      <c r="AA4" s="6"/>
      <c r="AB4" s="6"/>
    </row>
    <row r="5" spans="1:28" x14ac:dyDescent="0.25">
      <c r="A5" t="str">
        <f>IF(MemberOrgControl!$C8 = "", "", INDEX(MemberOrgsData[CFDA], MemberOrgControl!$C8))</f>
        <v/>
      </c>
      <c r="C5" s="6">
        <f>IFERROR(INDEX(AllFilteredCFDAs[All CFDAs], MATCH(0, INDEX(COUNTIF($C$3:C4, AllFilteredCFDAs[All CFDAs]),),0)), "")</f>
        <v>10.558</v>
      </c>
      <c r="D5" s="6" t="str">
        <f t="array" ref="D5">IFERROR(INDEX(MemberOrgsData[FEDERALPROGRAMNAME], MATCH(1, (SelectMemberOrgs = MemberOrgsData[Auditee Name])*(Table11[[#This Row],[Unique CFDA]] = MemberOrgsData[CFDA]), 0)), "")</f>
        <v>CHILD AND ADULT CARE FOOD PROGRAM</v>
      </c>
      <c r="E5" s="25">
        <f t="array" ref="E5">IFERROR(IF(Table11[[#This Row],[Unique CFDA]]&lt;&gt;"", SUMIFS(MemberOrgsData[AMOUNT], MemberOrgsData[Auditee Name], SelectMemberOrgs, MemberOrgsData[CFDA], Table11[[#This Row],[Unique CFDA]], MemberOrgsData[AUDITYEAR], SelectFiscalYear), ""), "")</f>
        <v>813939</v>
      </c>
      <c r="F5" s="26">
        <f t="array" ref="F5">IFERROR(INDEX(BudgetAppropData[President % Change], MATCH(1, (Table11[[#This Row],[Unique CFDA]] = BudgetAppropData[CFDA])*(SelectBudgetYear = BudgetAppropData[Fiscal Year]), 0)), "")</f>
        <v>6.0000000000000001E-3</v>
      </c>
      <c r="G5" s="25">
        <f>IF(Table11[[#This Row],[Unique CFDA]] = "", "", IFERROR(Table11[[#This Row],[FY 2018 Total]]*Table11[[#This Row],[President % Change]], ""))</f>
        <v>4883.634</v>
      </c>
      <c r="H5" s="26" t="str">
        <f t="array" ref="H5">IFERROR(INDEX(BudgetAppropData[House % Change], MATCH(1, (Table11[[#This Row],[Unique CFDA]] = BudgetAppropData[CFDA])*(SelectBudgetYear = BudgetAppropData[Fiscal Year]),0)), "")</f>
        <v/>
      </c>
      <c r="I5" s="25" t="str">
        <f>IF(Table11[[#This Row],[Unique CFDA]] = "", "", IFERROR(Table11[[#This Row],[FY 2018 Total]]*Table11[[#This Row],[House % Change]], ""))</f>
        <v/>
      </c>
      <c r="J5" s="6"/>
      <c r="K5" s="25">
        <f>IF(Table11[[#This Row],[Unique CFDA]] = "", "", IFERROR(Table11[[#This Row],[FY 2018 Total]]*Table11[[#This Row],[Senate Budget]], ""))</f>
        <v>0</v>
      </c>
      <c r="L5" s="6">
        <f>IF(Table11[[#This Row],[Unique CFDA]] = "", "", IF(ISNUMBER(Table11[[#This Row],[President $ Change]]), RANK(Table11[[#This Row],[President $ Change]], Table11[President $ Change])+COUNTIF($G5:G5, G5)-1,0))</f>
        <v>1</v>
      </c>
      <c r="N5">
        <v>2</v>
      </c>
      <c r="O5">
        <f>IFERROR(INDEX(Table11[Unique CFDA], MATCH(N5, Table11[Pres. Sort], 0)), "")</f>
        <v>93.052999999999997</v>
      </c>
      <c r="P5" s="1" t="str">
        <f>IFERROR(INDEX(Table11[Grant Name], MATCH(MemberOrgFinalSort[[#This Row],[CFDA]], Table11[Unique CFDA], 0)), "")</f>
        <v>NUTRITION SERVICES INCENTIVE PROGRAM</v>
      </c>
      <c r="Q5" s="20">
        <f>IFERROR(INDEX(Table11[FY 2018 Total], MATCH(MemberOrgFinalSort[[#This Row],[CFDA]], Table11[Unique CFDA], 0)), "")</f>
        <v>27481</v>
      </c>
      <c r="R5" s="21">
        <f>IFERROR(INDEX(Table11[President % Change], MATCH(MemberOrgFinalSort[[#This Row],[CFDA]], Table11[Unique CFDA], 0)), "")</f>
        <v>-6.2473058493524672E-6</v>
      </c>
      <c r="S5" s="20">
        <f>IFERROR(INDEX(Table11[President $ Change], MATCH(MemberOrgFinalSort[[#This Row],[CFDA]], Table11[Unique CFDA], 0)), "")</f>
        <v>-0.17168221204605516</v>
      </c>
      <c r="T5" s="32">
        <f>IFERROR(INDEX(Table11[House % Change], MATCH(MemberOrgFinalSort[[#This Row],[CFDA]], Table11[Unique CFDA], 0)), "")</f>
        <v>6.204199438991935E-2</v>
      </c>
      <c r="U5" s="32">
        <f>IFERROR(INDEX(Table11[House $ Change], MATCH(MemberOrgFinalSort[[#This Row],[CFDA]], Table11[Unique CFDA], 0)), "")</f>
        <v>1704.9760478293736</v>
      </c>
      <c r="V5" s="20"/>
      <c r="X5" s="6"/>
      <c r="Y5" s="6"/>
      <c r="Z5" s="6"/>
      <c r="AA5" s="6"/>
      <c r="AB5" s="6"/>
    </row>
    <row r="6" spans="1:28" x14ac:dyDescent="0.25">
      <c r="A6" t="str">
        <f>IF(MemberOrgControl!$C9 = "", "", INDEX(MemberOrgsData[CFDA], MemberOrgControl!$C9))</f>
        <v/>
      </c>
      <c r="C6" s="6">
        <f>IFERROR(INDEX(AllFilteredCFDAs[All CFDAs], MATCH(0, INDEX(COUNTIF($C$3:C5, AllFilteredCFDAs[All CFDAs]),),0)), "")</f>
        <v>14.228</v>
      </c>
      <c r="D6" s="6" t="str">
        <f t="array" ref="D6">IFERROR(INDEX(MemberOrgsData[FEDERALPROGRAMNAME], MATCH(1, (SelectMemberOrgs = MemberOrgsData[Auditee Name])*(Table11[[#This Row],[Unique CFDA]] = MemberOrgsData[CFDA]), 0)), "")</f>
        <v>COMMUNITY DEVELOPMENT BLOCK GRANT</v>
      </c>
      <c r="E6" s="25">
        <f t="array" ref="E6">IFERROR(IF(Table11[[#This Row],[Unique CFDA]]&lt;&gt;"", SUMIFS(MemberOrgsData[AMOUNT], MemberOrgsData[Auditee Name], SelectMemberOrgs, MemberOrgsData[CFDA], Table11[[#This Row],[Unique CFDA]], MemberOrgsData[AUDITYEAR], SelectFiscalYear), ""), "")</f>
        <v>256789</v>
      </c>
      <c r="F6" s="26">
        <f t="array" ref="F6">IFERROR(INDEX(BudgetAppropData[President % Change], MATCH(1, (Table11[[#This Row],[Unique CFDA]] = BudgetAppropData[CFDA])*(SelectBudgetYear = BudgetAppropData[Fiscal Year]), 0)), "")</f>
        <v>-1</v>
      </c>
      <c r="G6" s="25">
        <f>IF(Table11[[#This Row],[Unique CFDA]] = "", "", IFERROR(Table11[[#This Row],[FY 2018 Total]]*Table11[[#This Row],[President % Change]], ""))</f>
        <v>-256789</v>
      </c>
      <c r="H6" s="26">
        <f t="array" ref="H6">IFERROR(INDEX(BudgetAppropData[House % Change], MATCH(1, (Table11[[#This Row],[Unique CFDA]] = BudgetAppropData[CFDA])*(SelectBudgetYear = BudgetAppropData[Fiscal Year]),0)), "")</f>
        <v>9.1093117408906882E-2</v>
      </c>
      <c r="I6" s="25">
        <f>IF(Table11[[#This Row],[Unique CFDA]] = "", "", IFERROR(Table11[[#This Row],[FY 2018 Total]]*Table11[[#This Row],[House % Change]], ""))</f>
        <v>23391.71052631579</v>
      </c>
      <c r="J6" s="6"/>
      <c r="K6" s="25">
        <f>IF(Table11[[#This Row],[Unique CFDA]] = "", "", IFERROR(Table11[[#This Row],[FY 2018 Total]]*Table11[[#This Row],[Senate Budget]], ""))</f>
        <v>0</v>
      </c>
      <c r="L6" s="6">
        <f>IF(Table11[[#This Row],[Unique CFDA]] = "", "", IF(ISNUMBER(Table11[[#This Row],[President $ Change]]), RANK(Table11[[#This Row],[President $ Change]], Table11[President $ Change])+COUNTIF($G6:G6, G6)-1,0))</f>
        <v>9</v>
      </c>
      <c r="N6">
        <v>3</v>
      </c>
      <c r="O6">
        <f>IFERROR(INDEX(Table11[Unique CFDA], MATCH(N6, Table11[Pres. Sort], 0)), "")</f>
        <v>93.045000000000002</v>
      </c>
      <c r="P6" s="1" t="str">
        <f>IFERROR(INDEX(Table11[Grant Name], MATCH(MemberOrgFinalSort[[#This Row],[CFDA]], Table11[Unique CFDA], 0)), "")</f>
        <v>SPECIAL PROGRAMS FOR THE AGING_TITLE III, PART C_NUTRITION SERVICES</v>
      </c>
      <c r="Q6" s="20">
        <f>IFERROR(INDEX(Table11[FY 2018 Total], MATCH(MemberOrgFinalSort[[#This Row],[CFDA]], Table11[Unique CFDA], 0)), "")</f>
        <v>38752</v>
      </c>
      <c r="R6" s="21">
        <f>IFERROR(INDEX(Table11[President % Change], MATCH(MemberOrgFinalSort[[#This Row],[CFDA]], Table11[Unique CFDA], 0)), "")</f>
        <v>-2.1999999999999999E-2</v>
      </c>
      <c r="S6" s="20">
        <f>IFERROR(INDEX(Table11[President $ Change], MATCH(MemberOrgFinalSort[[#This Row],[CFDA]], Table11[Unique CFDA], 0)), "")</f>
        <v>-852.54399999999998</v>
      </c>
      <c r="T6" s="32">
        <f>IFERROR(INDEX(Table11[House % Change], MATCH(MemberOrgFinalSort[[#This Row],[CFDA]], Table11[Unique CFDA], 0)), "")</f>
        <v>5.9873784173359014E-2</v>
      </c>
      <c r="U6" s="32">
        <f>IFERROR(INDEX(Table11[House $ Change], MATCH(MemberOrgFinalSort[[#This Row],[CFDA]], Table11[Unique CFDA], 0)), "")</f>
        <v>2320.2288842860085</v>
      </c>
      <c r="V6" s="20"/>
      <c r="X6" s="6"/>
      <c r="Y6" s="6"/>
      <c r="Z6" s="6"/>
      <c r="AA6" s="6"/>
      <c r="AB6" s="6"/>
    </row>
    <row r="7" spans="1:28" x14ac:dyDescent="0.25">
      <c r="A7" t="str">
        <f>IF(MemberOrgControl!$C10 = "", "", INDEX(MemberOrgsData[CFDA], MemberOrgControl!$C10))</f>
        <v/>
      </c>
      <c r="C7" s="6">
        <f>IFERROR(INDEX(AllFilteredCFDAs[All CFDAs], MATCH(0, INDEX(COUNTIF($C$3:C6, AllFilteredCFDAs[All CFDAs]),),0)), "")</f>
        <v>84.001999999999995</v>
      </c>
      <c r="D7" s="6" t="str">
        <f t="array" ref="D7">IFERROR(INDEX(MemberOrgsData[FEDERALPROGRAMNAME], MATCH(1, (SelectMemberOrgs = MemberOrgsData[Auditee Name])*(Table11[[#This Row],[Unique CFDA]] = MemberOrgsData[CFDA]), 0)), "")</f>
        <v>ADULT EDUCATION - BASIC GRANTS TO STATES</v>
      </c>
      <c r="E7" s="25">
        <f t="array" ref="E7">IFERROR(IF(Table11[[#This Row],[Unique CFDA]]&lt;&gt;"", SUMIFS(MemberOrgsData[AMOUNT], MemberOrgsData[Auditee Name], SelectMemberOrgs, MemberOrgsData[CFDA], Table11[[#This Row],[Unique CFDA]], MemberOrgsData[AUDITYEAR], SelectFiscalYear), ""), "")</f>
        <v>549687</v>
      </c>
      <c r="F7" s="26">
        <f t="array" ref="F7">IFERROR(INDEX(BudgetAppropData[President % Change], MATCH(1, (Table11[[#This Row],[Unique CFDA]] = BudgetAppropData[CFDA])*(SelectBudgetYear = BudgetAppropData[Fiscal Year]), 0)), "")</f>
        <v>-0.24299065420560748</v>
      </c>
      <c r="G7" s="25">
        <f>IF(Table11[[#This Row],[Unique CFDA]] = "", "", IFERROR(Table11[[#This Row],[FY 2018 Total]]*Table11[[#This Row],[President % Change]], ""))</f>
        <v>-133568.80373831774</v>
      </c>
      <c r="H7" s="26">
        <f t="array" ref="H7">IFERROR(INDEX(BudgetAppropData[House % Change], MATCH(1, (Table11[[#This Row],[Unique CFDA]] = BudgetAppropData[CFDA])*(SelectBudgetYear = BudgetAppropData[Fiscal Year]),0)), "")</f>
        <v>4.6728971962616821E-2</v>
      </c>
      <c r="I7" s="25">
        <f>IF(Table11[[#This Row],[Unique CFDA]] = "", "", IFERROR(Table11[[#This Row],[FY 2018 Total]]*Table11[[#This Row],[House % Change]], ""))</f>
        <v>25686.308411214952</v>
      </c>
      <c r="J7" s="6"/>
      <c r="K7" s="25">
        <f>IF(Table11[[#This Row],[Unique CFDA]] = "", "", IFERROR(Table11[[#This Row],[FY 2018 Total]]*Table11[[#This Row],[Senate Budget]], ""))</f>
        <v>0</v>
      </c>
      <c r="L7" s="6">
        <f>IF(Table11[[#This Row],[Unique CFDA]] = "", "", IF(ISNUMBER(Table11[[#This Row],[President $ Change]]), RANK(Table11[[#This Row],[President $ Change]], Table11[President $ Change])+COUNTIF($G7:G7, G7)-1,0))</f>
        <v>8</v>
      </c>
      <c r="N7">
        <v>4</v>
      </c>
      <c r="O7">
        <f>IFERROR(INDEX(Table11[Unique CFDA], MATCH(N7, Table11[Pres. Sort], 0)), "")</f>
        <v>93.558000000000007</v>
      </c>
      <c r="P7" s="1" t="str">
        <f>IFERROR(INDEX(Table11[Grant Name], MATCH(MemberOrgFinalSort[[#This Row],[CFDA]], Table11[Unique CFDA], 0)), "")</f>
        <v>TEMPORARY ASSISTANCE FOR NEEDY FAMILIES</v>
      </c>
      <c r="Q7" s="20">
        <f>IFERROR(INDEX(Table11[FY 2018 Total], MATCH(MemberOrgFinalSort[[#This Row],[CFDA]], Table11[Unique CFDA], 0)), "")</f>
        <v>64769</v>
      </c>
      <c r="R7" s="21">
        <f>IFERROR(INDEX(Table11[President % Change], MATCH(MemberOrgFinalSort[[#This Row],[CFDA]], Table11[Unique CFDA], 0)), "")</f>
        <v>-0.16</v>
      </c>
      <c r="S7" s="20">
        <f>IFERROR(INDEX(Table11[President $ Change], MATCH(MemberOrgFinalSort[[#This Row],[CFDA]], Table11[Unique CFDA], 0)), "")</f>
        <v>-10363.040000000001</v>
      </c>
      <c r="T7" s="32" t="str">
        <f>IFERROR(INDEX(Table11[House % Change], MATCH(MemberOrgFinalSort[[#This Row],[CFDA]], Table11[Unique CFDA], 0)), "")</f>
        <v/>
      </c>
      <c r="U7" s="32" t="str">
        <f>IFERROR(INDEX(Table11[House $ Change], MATCH(MemberOrgFinalSort[[#This Row],[CFDA]], Table11[Unique CFDA], 0)), "")</f>
        <v/>
      </c>
      <c r="V7" s="20"/>
      <c r="X7" s="6"/>
      <c r="Y7" s="6"/>
      <c r="Z7" s="6"/>
      <c r="AA7" s="6"/>
      <c r="AB7" s="6"/>
    </row>
    <row r="8" spans="1:28" x14ac:dyDescent="0.25">
      <c r="A8">
        <f>IF(MemberOrgControl!$C11 = "", "", INDEX(MemberOrgsData[CFDA], MemberOrgControl!$C11))</f>
        <v>10.558</v>
      </c>
      <c r="C8" s="6">
        <f>IFERROR(INDEX(AllFilteredCFDAs[All CFDAs], MATCH(0, INDEX(COUNTIF($C$3:C7, AllFilteredCFDAs[All CFDAs]),),0)), "")</f>
        <v>93.045000000000002</v>
      </c>
      <c r="D8" s="6" t="str">
        <f t="array" ref="D8">IFERROR(INDEX(MemberOrgsData[FEDERALPROGRAMNAME], MATCH(1, (SelectMemberOrgs = MemberOrgsData[Auditee Name])*(Table11[[#This Row],[Unique CFDA]] = MemberOrgsData[CFDA]), 0)), "")</f>
        <v>SPECIAL PROGRAMS FOR THE AGING_TITLE III, PART C_NUTRITION SERVICES</v>
      </c>
      <c r="E8" s="25">
        <f t="array" ref="E8">IFERROR(IF(Table11[[#This Row],[Unique CFDA]]&lt;&gt;"", SUMIFS(MemberOrgsData[AMOUNT], MemberOrgsData[Auditee Name], SelectMemberOrgs, MemberOrgsData[CFDA], Table11[[#This Row],[Unique CFDA]], MemberOrgsData[AUDITYEAR], SelectFiscalYear), ""), "")</f>
        <v>38752</v>
      </c>
      <c r="F8" s="26">
        <f t="array" ref="F8">IFERROR(INDEX(BudgetAppropData[President % Change], MATCH(1, (Table11[[#This Row],[Unique CFDA]] = BudgetAppropData[CFDA])*(SelectBudgetYear = BudgetAppropData[Fiscal Year]), 0)), "")</f>
        <v>-2.1999999999999999E-2</v>
      </c>
      <c r="G8" s="25">
        <f>IF(Table11[[#This Row],[Unique CFDA]] = "", "", IFERROR(Table11[[#This Row],[FY 2018 Total]]*Table11[[#This Row],[President % Change]], ""))</f>
        <v>-852.54399999999998</v>
      </c>
      <c r="H8" s="26">
        <f t="array" ref="H8">IFERROR(INDEX(BudgetAppropData[House % Change], MATCH(1, (Table11[[#This Row],[Unique CFDA]] = BudgetAppropData[CFDA])*(SelectBudgetYear = BudgetAppropData[Fiscal Year]),0)), "")</f>
        <v>5.9873784173359014E-2</v>
      </c>
      <c r="I8" s="25">
        <f>IF(Table11[[#This Row],[Unique CFDA]] = "", "", IFERROR(Table11[[#This Row],[FY 2018 Total]]*Table11[[#This Row],[House % Change]], ""))</f>
        <v>2320.2288842860085</v>
      </c>
      <c r="J8" s="6"/>
      <c r="K8" s="25">
        <f>IF(Table11[[#This Row],[Unique CFDA]] = "", "", IFERROR(Table11[[#This Row],[FY 2018 Total]]*Table11[[#This Row],[Senate Budget]], ""))</f>
        <v>0</v>
      </c>
      <c r="L8" s="6">
        <f>IF(Table11[[#This Row],[Unique CFDA]] = "", "", IF(ISNUMBER(Table11[[#This Row],[President $ Change]]), RANK(Table11[[#This Row],[President $ Change]], Table11[President $ Change])+COUNTIF($G8:G8, G8)-1,0))</f>
        <v>3</v>
      </c>
      <c r="N8">
        <v>5</v>
      </c>
      <c r="O8">
        <f>IFERROR(INDEX(Table11[Unique CFDA], MATCH(N8, Table11[Pres. Sort], 0)), "")</f>
        <v>97.024000000000001</v>
      </c>
      <c r="P8" s="1" t="str">
        <f>IFERROR(INDEX(Table11[Grant Name], MATCH(MemberOrgFinalSort[[#This Row],[CFDA]], Table11[Unique CFDA], 0)), "")</f>
        <v>EMERGENCY FOOD AND SHELTER NATIONAL BOARD PROGRAM</v>
      </c>
      <c r="Q8" s="20">
        <f>IFERROR(INDEX(Table11[FY 2018 Total], MATCH(MemberOrgFinalSort[[#This Row],[CFDA]], Table11[Unique CFDA], 0)), "")</f>
        <v>29394</v>
      </c>
      <c r="R8" s="21">
        <f>IFERROR(INDEX(Table11[President % Change], MATCH(MemberOrgFinalSort[[#This Row],[CFDA]], Table11[Unique CFDA], 0)), "")</f>
        <v>-1</v>
      </c>
      <c r="S8" s="20">
        <f>IFERROR(INDEX(Table11[President $ Change], MATCH(MemberOrgFinalSort[[#This Row],[CFDA]], Table11[Unique CFDA], 0)), "")</f>
        <v>-29394</v>
      </c>
      <c r="T8" s="32">
        <f>IFERROR(INDEX(Table11[House % Change], MATCH(MemberOrgFinalSort[[#This Row],[CFDA]], Table11[Unique CFDA], 0)), "")</f>
        <v>8.3333333333333329E-2</v>
      </c>
      <c r="U8" s="32">
        <f>IFERROR(INDEX(Table11[House $ Change], MATCH(MemberOrgFinalSort[[#This Row],[CFDA]], Table11[Unique CFDA], 0)), "")</f>
        <v>2449.5</v>
      </c>
      <c r="V8" s="20"/>
      <c r="X8" s="6"/>
      <c r="Y8" s="6"/>
      <c r="Z8" s="6"/>
      <c r="AA8" s="6"/>
      <c r="AB8" s="6"/>
    </row>
    <row r="9" spans="1:28" x14ac:dyDescent="0.25">
      <c r="A9">
        <f>IF(MemberOrgControl!$C12 = "", "", INDEX(MemberOrgsData[CFDA], MemberOrgControl!$C12))</f>
        <v>14.228</v>
      </c>
      <c r="C9" s="6">
        <f>IFERROR(INDEX(AllFilteredCFDAs[All CFDAs], MATCH(0, INDEX(COUNTIF($C$3:C8, AllFilteredCFDAs[All CFDAs]),),0)), "")</f>
        <v>93.052999999999997</v>
      </c>
      <c r="D9" s="6" t="str">
        <f t="array" ref="D9">IFERROR(INDEX(MemberOrgsData[FEDERALPROGRAMNAME], MATCH(1, (SelectMemberOrgs = MemberOrgsData[Auditee Name])*(Table11[[#This Row],[Unique CFDA]] = MemberOrgsData[CFDA]), 0)), "")</f>
        <v>NUTRITION SERVICES INCENTIVE PROGRAM</v>
      </c>
      <c r="E9" s="25">
        <f t="array" ref="E9">IFERROR(IF(Table11[[#This Row],[Unique CFDA]]&lt;&gt;"", SUMIFS(MemberOrgsData[AMOUNT], MemberOrgsData[Auditee Name], SelectMemberOrgs, MemberOrgsData[CFDA], Table11[[#This Row],[Unique CFDA]], MemberOrgsData[AUDITYEAR], SelectFiscalYear), ""), "")</f>
        <v>27481</v>
      </c>
      <c r="F9" s="26">
        <f t="array" ref="F9">IFERROR(INDEX(BudgetAppropData[President % Change], MATCH(1, (Table11[[#This Row],[Unique CFDA]] = BudgetAppropData[CFDA])*(SelectBudgetYear = BudgetAppropData[Fiscal Year]), 0)), "")</f>
        <v>-6.2473058493524672E-6</v>
      </c>
      <c r="G9" s="25">
        <f>IF(Table11[[#This Row],[Unique CFDA]] = "", "", IFERROR(Table11[[#This Row],[FY 2018 Total]]*Table11[[#This Row],[President % Change]], ""))</f>
        <v>-0.17168221204605516</v>
      </c>
      <c r="H9" s="26">
        <f t="array" ref="H9">IFERROR(INDEX(BudgetAppropData[House % Change], MATCH(1, (Table11[[#This Row],[Unique CFDA]] = BudgetAppropData[CFDA])*(SelectBudgetYear = BudgetAppropData[Fiscal Year]),0)), "")</f>
        <v>6.204199438991935E-2</v>
      </c>
      <c r="I9" s="25">
        <f>IF(Table11[[#This Row],[Unique CFDA]] = "", "", IFERROR(Table11[[#This Row],[FY 2018 Total]]*Table11[[#This Row],[House % Change]], ""))</f>
        <v>1704.9760478293736</v>
      </c>
      <c r="J9" s="6"/>
      <c r="K9" s="25">
        <f>IF(Table11[[#This Row],[Unique CFDA]] = "", "", IFERROR(Table11[[#This Row],[FY 2018 Total]]*Table11[[#This Row],[Senate Budget]], ""))</f>
        <v>0</v>
      </c>
      <c r="L9" s="6">
        <f>IF(Table11[[#This Row],[Unique CFDA]] = "", "", IF(ISNUMBER(Table11[[#This Row],[President $ Change]]), RANK(Table11[[#This Row],[President $ Change]], Table11[President $ Change])+COUNTIF($G9:G9, G9)-1,0))</f>
        <v>2</v>
      </c>
      <c r="N9">
        <v>6</v>
      </c>
      <c r="O9">
        <f>IFERROR(INDEX(Table11[Unique CFDA], MATCH(N9, Table11[Pres. Sort], 0)), "")</f>
        <v>93.667000000000002</v>
      </c>
      <c r="P9" s="1" t="str">
        <f>IFERROR(INDEX(Table11[Grant Name], MATCH(MemberOrgFinalSort[[#This Row],[CFDA]], Table11[Unique CFDA], 0)), "")</f>
        <v>SOCIAL SERVICES BLOCK GRANT</v>
      </c>
      <c r="Q9" s="20">
        <f>IFERROR(INDEX(Table11[FY 2018 Total], MATCH(MemberOrgFinalSort[[#This Row],[CFDA]], Table11[Unique CFDA], 0)), "")</f>
        <v>64519</v>
      </c>
      <c r="R9" s="21">
        <f>IFERROR(INDEX(Table11[President % Change], MATCH(MemberOrgFinalSort[[#This Row],[CFDA]], Table11[Unique CFDA], 0)), "")</f>
        <v>-1</v>
      </c>
      <c r="S9" s="20">
        <f>IFERROR(INDEX(Table11[President $ Change], MATCH(MemberOrgFinalSort[[#This Row],[CFDA]], Table11[Unique CFDA], 0)), "")</f>
        <v>-64519</v>
      </c>
      <c r="T9" s="32">
        <f>IFERROR(INDEX(Table11[House % Change], MATCH(MemberOrgFinalSort[[#This Row],[CFDA]], Table11[Unique CFDA], 0)), "")</f>
        <v>3.134796238244514E-3</v>
      </c>
      <c r="U9" s="32">
        <f>IFERROR(INDEX(Table11[House $ Change], MATCH(MemberOrgFinalSort[[#This Row],[CFDA]], Table11[Unique CFDA], 0)), "")</f>
        <v>202.2539184952978</v>
      </c>
      <c r="V9" s="20"/>
      <c r="X9" s="6"/>
      <c r="Y9" s="6"/>
      <c r="Z9" s="6"/>
      <c r="AA9" s="6"/>
      <c r="AB9" s="6"/>
    </row>
    <row r="10" spans="1:28" x14ac:dyDescent="0.25">
      <c r="A10">
        <f>IF(MemberOrgControl!$C13 = "", "", INDEX(MemberOrgsData[CFDA], MemberOrgControl!$C13))</f>
        <v>84.001999999999995</v>
      </c>
      <c r="C10" s="6">
        <f>IFERROR(INDEX(AllFilteredCFDAs[All CFDAs], MATCH(0, INDEX(COUNTIF($C$3:C9, AllFilteredCFDAs[All CFDAs]),),0)), "")</f>
        <v>93.558000000000007</v>
      </c>
      <c r="D10" s="6" t="str">
        <f t="array" ref="D10">IFERROR(INDEX(MemberOrgsData[FEDERALPROGRAMNAME], MATCH(1, (SelectMemberOrgs = MemberOrgsData[Auditee Name])*(Table11[[#This Row],[Unique CFDA]] = MemberOrgsData[CFDA]), 0)), "")</f>
        <v>TEMPORARY ASSISTANCE FOR NEEDY FAMILIES</v>
      </c>
      <c r="E10" s="25">
        <f t="array" ref="E10">IFERROR(IF(Table11[[#This Row],[Unique CFDA]]&lt;&gt;"", SUMIFS(MemberOrgsData[AMOUNT], MemberOrgsData[Auditee Name], SelectMemberOrgs, MemberOrgsData[CFDA], Table11[[#This Row],[Unique CFDA]], MemberOrgsData[AUDITYEAR], SelectFiscalYear), ""), "")</f>
        <v>64769</v>
      </c>
      <c r="F10" s="26">
        <f t="array" ref="F10">IFERROR(INDEX(BudgetAppropData[President % Change], MATCH(1, (Table11[[#This Row],[Unique CFDA]] = BudgetAppropData[CFDA])*(SelectBudgetYear = BudgetAppropData[Fiscal Year]), 0)), "")</f>
        <v>-0.16</v>
      </c>
      <c r="G10" s="25">
        <f>IF(Table11[[#This Row],[Unique CFDA]] = "", "", IFERROR(Table11[[#This Row],[FY 2018 Total]]*Table11[[#This Row],[President % Change]], ""))</f>
        <v>-10363.040000000001</v>
      </c>
      <c r="H10" s="26" t="str">
        <f t="array" ref="H10">IFERROR(INDEX(BudgetAppropData[House % Change], MATCH(1, (Table11[[#This Row],[Unique CFDA]] = BudgetAppropData[CFDA])*(SelectBudgetYear = BudgetAppropData[Fiscal Year]),0)), "")</f>
        <v/>
      </c>
      <c r="I10" s="25" t="str">
        <f>IF(Table11[[#This Row],[Unique CFDA]] = "", "", IFERROR(Table11[[#This Row],[FY 2018 Total]]*Table11[[#This Row],[House % Change]], ""))</f>
        <v/>
      </c>
      <c r="J10" s="6"/>
      <c r="K10" s="25">
        <f>IF(Table11[[#This Row],[Unique CFDA]] = "", "", IFERROR(Table11[[#This Row],[FY 2018 Total]]*Table11[[#This Row],[Senate Budget]], ""))</f>
        <v>0</v>
      </c>
      <c r="L10" s="6">
        <f>IF(Table11[[#This Row],[Unique CFDA]] = "", "", IF(ISNUMBER(Table11[[#This Row],[President $ Change]]), RANK(Table11[[#This Row],[President $ Change]], Table11[President $ Change])+COUNTIF($G10:G10, G10)-1,0))</f>
        <v>4</v>
      </c>
      <c r="N10">
        <v>7</v>
      </c>
      <c r="O10">
        <f>IFERROR(INDEX(Table11[Unique CFDA], MATCH(N10, Table11[Pres. Sort], 0)), "")</f>
        <v>93.569000000000003</v>
      </c>
      <c r="P10" s="1" t="str">
        <f>IFERROR(INDEX(Table11[Grant Name], MATCH(MemberOrgFinalSort[[#This Row],[CFDA]], Table11[Unique CFDA], 0)), "")</f>
        <v>COMMUNITY SERVICES BLOCK GRANT</v>
      </c>
      <c r="Q10" s="20">
        <f>IFERROR(INDEX(Table11[FY 2018 Total], MATCH(MemberOrgFinalSort[[#This Row],[CFDA]], Table11[Unique CFDA], 0)), "")</f>
        <v>130300</v>
      </c>
      <c r="R10" s="21">
        <f>IFERROR(INDEX(Table11[President % Change], MATCH(MemberOrgFinalSort[[#This Row],[CFDA]], Table11[Unique CFDA], 0)), "")</f>
        <v>-1</v>
      </c>
      <c r="S10" s="20">
        <f>IFERROR(INDEX(Table11[President $ Change], MATCH(MemberOrgFinalSort[[#This Row],[CFDA]], Table11[Unique CFDA], 0)), "")</f>
        <v>-130300</v>
      </c>
      <c r="T10" s="32">
        <f>IFERROR(INDEX(Table11[House % Change], MATCH(MemberOrgFinalSort[[#This Row],[CFDA]], Table11[Unique CFDA], 0)), "")</f>
        <v>4.8275862068965517E-2</v>
      </c>
      <c r="U10" s="32">
        <f>IFERROR(INDEX(Table11[House $ Change], MATCH(MemberOrgFinalSort[[#This Row],[CFDA]], Table11[Unique CFDA], 0)), "")</f>
        <v>6290.3448275862065</v>
      </c>
      <c r="V10" s="20"/>
      <c r="X10" s="6"/>
      <c r="Y10" s="6"/>
      <c r="Z10" s="6"/>
      <c r="AA10" s="6"/>
      <c r="AB10" s="6"/>
    </row>
    <row r="11" spans="1:28" x14ac:dyDescent="0.25">
      <c r="A11">
        <f>IF(MemberOrgControl!$C14 = "", "", INDEX(MemberOrgsData[CFDA], MemberOrgControl!$C14))</f>
        <v>93.045000000000002</v>
      </c>
      <c r="C11" s="6">
        <f>IFERROR(INDEX(AllFilteredCFDAs[All CFDAs], MATCH(0, INDEX(COUNTIF($C$3:C10, AllFilteredCFDAs[All CFDAs]),),0)), "")</f>
        <v>93.569000000000003</v>
      </c>
      <c r="D11" s="6" t="str">
        <f t="array" ref="D11">IFERROR(INDEX(MemberOrgsData[FEDERALPROGRAMNAME], MATCH(1, (SelectMemberOrgs = MemberOrgsData[Auditee Name])*(Table11[[#This Row],[Unique CFDA]] = MemberOrgsData[CFDA]), 0)), "")</f>
        <v>COMMUNITY SERVICES BLOCK GRANT</v>
      </c>
      <c r="E11" s="25">
        <f t="array" ref="E11">IFERROR(IF(Table11[[#This Row],[Unique CFDA]]&lt;&gt;"", SUMIFS(MemberOrgsData[AMOUNT], MemberOrgsData[Auditee Name], SelectMemberOrgs, MemberOrgsData[CFDA], Table11[[#This Row],[Unique CFDA]], MemberOrgsData[AUDITYEAR], SelectFiscalYear), ""), "")</f>
        <v>130300</v>
      </c>
      <c r="F11" s="26">
        <f t="array" ref="F11">IFERROR(INDEX(BudgetAppropData[President % Change], MATCH(1, (Table11[[#This Row],[Unique CFDA]] = BudgetAppropData[CFDA])*(SelectBudgetYear = BudgetAppropData[Fiscal Year]), 0)), "")</f>
        <v>-1</v>
      </c>
      <c r="G11" s="25">
        <f>IF(Table11[[#This Row],[Unique CFDA]] = "", "", IFERROR(Table11[[#This Row],[FY 2018 Total]]*Table11[[#This Row],[President % Change]], ""))</f>
        <v>-130300</v>
      </c>
      <c r="H11" s="26">
        <f t="array" ref="H11">IFERROR(INDEX(BudgetAppropData[House % Change], MATCH(1, (Table11[[#This Row],[Unique CFDA]] = BudgetAppropData[CFDA])*(SelectBudgetYear = BudgetAppropData[Fiscal Year]),0)), "")</f>
        <v>4.8275862068965517E-2</v>
      </c>
      <c r="I11" s="25">
        <f>IF(Table11[[#This Row],[Unique CFDA]] = "", "", IFERROR(Table11[[#This Row],[FY 2018 Total]]*Table11[[#This Row],[House % Change]], ""))</f>
        <v>6290.3448275862065</v>
      </c>
      <c r="J11" s="6"/>
      <c r="K11" s="25">
        <f>IF(Table11[[#This Row],[Unique CFDA]] = "", "", IFERROR(Table11[[#This Row],[FY 2018 Total]]*Table11[[#This Row],[Senate Budget]], ""))</f>
        <v>0</v>
      </c>
      <c r="L11" s="6">
        <f>IF(Table11[[#This Row],[Unique CFDA]] = "", "", IF(ISNUMBER(Table11[[#This Row],[President $ Change]]), RANK(Table11[[#This Row],[President $ Change]], Table11[President $ Change])+COUNTIF($G11:G11, G11)-1,0))</f>
        <v>7</v>
      </c>
      <c r="N11">
        <v>8</v>
      </c>
      <c r="O11">
        <f>IFERROR(INDEX(Table11[Unique CFDA], MATCH(N11, Table11[Pres. Sort], 0)), "")</f>
        <v>84.001999999999995</v>
      </c>
      <c r="P11" s="1" t="str">
        <f>IFERROR(INDEX(Table11[Grant Name], MATCH(MemberOrgFinalSort[[#This Row],[CFDA]], Table11[Unique CFDA], 0)), "")</f>
        <v>ADULT EDUCATION - BASIC GRANTS TO STATES</v>
      </c>
      <c r="Q11" s="20">
        <f>IFERROR(INDEX(Table11[FY 2018 Total], MATCH(MemberOrgFinalSort[[#This Row],[CFDA]], Table11[Unique CFDA], 0)), "")</f>
        <v>549687</v>
      </c>
      <c r="R11" s="21">
        <f>IFERROR(INDEX(Table11[President % Change], MATCH(MemberOrgFinalSort[[#This Row],[CFDA]], Table11[Unique CFDA], 0)), "")</f>
        <v>-0.24299065420560748</v>
      </c>
      <c r="S11" s="20">
        <f>IFERROR(INDEX(Table11[President $ Change], MATCH(MemberOrgFinalSort[[#This Row],[CFDA]], Table11[Unique CFDA], 0)), "")</f>
        <v>-133568.80373831774</v>
      </c>
      <c r="T11" s="32">
        <f>IFERROR(INDEX(Table11[House % Change], MATCH(MemberOrgFinalSort[[#This Row],[CFDA]], Table11[Unique CFDA], 0)), "")</f>
        <v>4.6728971962616821E-2</v>
      </c>
      <c r="U11" s="32">
        <f>IFERROR(INDEX(Table11[House $ Change], MATCH(MemberOrgFinalSort[[#This Row],[CFDA]], Table11[Unique CFDA], 0)), "")</f>
        <v>25686.308411214952</v>
      </c>
      <c r="V11" s="20"/>
      <c r="X11" s="6"/>
      <c r="Y11" s="6"/>
      <c r="Z11" s="6"/>
      <c r="AA11" s="6"/>
      <c r="AB11" s="6"/>
    </row>
    <row r="12" spans="1:28" x14ac:dyDescent="0.25">
      <c r="A12">
        <f>IF(MemberOrgControl!$C15 = "", "", INDEX(MemberOrgsData[CFDA], MemberOrgControl!$C15))</f>
        <v>93.052999999999997</v>
      </c>
      <c r="C12" s="6">
        <f>IFERROR(INDEX(AllFilteredCFDAs[All CFDAs], MATCH(0, INDEX(COUNTIF($C$3:C11, AllFilteredCFDAs[All CFDAs]),),0)), "")</f>
        <v>93.667000000000002</v>
      </c>
      <c r="D12" s="6" t="str">
        <f t="array" ref="D12">IFERROR(INDEX(MemberOrgsData[FEDERALPROGRAMNAME], MATCH(1, (SelectMemberOrgs = MemberOrgsData[Auditee Name])*(Table11[[#This Row],[Unique CFDA]] = MemberOrgsData[CFDA]), 0)), "")</f>
        <v>SOCIAL SERVICES BLOCK GRANT</v>
      </c>
      <c r="E12" s="25">
        <f t="array" ref="E12">IFERROR(IF(Table11[[#This Row],[Unique CFDA]]&lt;&gt;"", SUMIFS(MemberOrgsData[AMOUNT], MemberOrgsData[Auditee Name], SelectMemberOrgs, MemberOrgsData[CFDA], Table11[[#This Row],[Unique CFDA]], MemberOrgsData[AUDITYEAR], SelectFiscalYear), ""), "")</f>
        <v>64519</v>
      </c>
      <c r="F12" s="26">
        <f t="array" ref="F12">IFERROR(INDEX(BudgetAppropData[President % Change], MATCH(1, (Table11[[#This Row],[Unique CFDA]] = BudgetAppropData[CFDA])*(SelectBudgetYear = BudgetAppropData[Fiscal Year]), 0)), "")</f>
        <v>-1</v>
      </c>
      <c r="G12" s="25">
        <f>IF(Table11[[#This Row],[Unique CFDA]] = "", "", IFERROR(Table11[[#This Row],[FY 2018 Total]]*Table11[[#This Row],[President % Change]], ""))</f>
        <v>-64519</v>
      </c>
      <c r="H12" s="26">
        <f t="array" ref="H12">IFERROR(INDEX(BudgetAppropData[House % Change], MATCH(1, (Table11[[#This Row],[Unique CFDA]] = BudgetAppropData[CFDA])*(SelectBudgetYear = BudgetAppropData[Fiscal Year]),0)), "")</f>
        <v>3.134796238244514E-3</v>
      </c>
      <c r="I12" s="25">
        <f>IF(Table11[[#This Row],[Unique CFDA]] = "", "", IFERROR(Table11[[#This Row],[FY 2018 Total]]*Table11[[#This Row],[House % Change]], ""))</f>
        <v>202.2539184952978</v>
      </c>
      <c r="J12" s="6"/>
      <c r="K12" s="25">
        <f>IF(Table11[[#This Row],[Unique CFDA]] = "", "", IFERROR(Table11[[#This Row],[FY 2018 Total]]*Table11[[#This Row],[Senate Budget]], ""))</f>
        <v>0</v>
      </c>
      <c r="L12" s="6">
        <f>IF(Table11[[#This Row],[Unique CFDA]] = "", "", IF(ISNUMBER(Table11[[#This Row],[President $ Change]]), RANK(Table11[[#This Row],[President $ Change]], Table11[President $ Change])+COUNTIF($G12:G12, G12)-1,0))</f>
        <v>6</v>
      </c>
      <c r="N12">
        <v>9</v>
      </c>
      <c r="O12">
        <f>IFERROR(INDEX(Table11[Unique CFDA], MATCH(N12, Table11[Pres. Sort], 0)), "")</f>
        <v>14.228</v>
      </c>
      <c r="P12" s="1" t="str">
        <f>IFERROR(INDEX(Table11[Grant Name], MATCH(MemberOrgFinalSort[[#This Row],[CFDA]], Table11[Unique CFDA], 0)), "")</f>
        <v>COMMUNITY DEVELOPMENT BLOCK GRANT</v>
      </c>
      <c r="Q12" s="20">
        <f>IFERROR(INDEX(Table11[FY 2018 Total], MATCH(MemberOrgFinalSort[[#This Row],[CFDA]], Table11[Unique CFDA], 0)), "")</f>
        <v>256789</v>
      </c>
      <c r="R12" s="21">
        <f>IFERROR(INDEX(Table11[President % Change], MATCH(MemberOrgFinalSort[[#This Row],[CFDA]], Table11[Unique CFDA], 0)), "")</f>
        <v>-1</v>
      </c>
      <c r="S12" s="20">
        <f>IFERROR(INDEX(Table11[President $ Change], MATCH(MemberOrgFinalSort[[#This Row],[CFDA]], Table11[Unique CFDA], 0)), "")</f>
        <v>-256789</v>
      </c>
      <c r="T12" s="32">
        <f>IFERROR(INDEX(Table11[House % Change], MATCH(MemberOrgFinalSort[[#This Row],[CFDA]], Table11[Unique CFDA], 0)), "")</f>
        <v>9.1093117408906882E-2</v>
      </c>
      <c r="U12" s="32">
        <f>IFERROR(INDEX(Table11[House $ Change], MATCH(MemberOrgFinalSort[[#This Row],[CFDA]], Table11[Unique CFDA], 0)), "")</f>
        <v>23391.71052631579</v>
      </c>
      <c r="V12" s="20"/>
      <c r="X12" s="6"/>
      <c r="Y12" s="6"/>
      <c r="Z12" s="6"/>
      <c r="AA12" s="6"/>
      <c r="AB12" s="6"/>
    </row>
    <row r="13" spans="1:28" x14ac:dyDescent="0.25">
      <c r="A13">
        <f>IF(MemberOrgControl!$C16 = "", "", INDEX(MemberOrgsData[CFDA], MemberOrgControl!$C16))</f>
        <v>93.558000000000007</v>
      </c>
      <c r="C13" s="6">
        <f>IFERROR(INDEX(AllFilteredCFDAs[All CFDAs], MATCH(0, INDEX(COUNTIF($C$3:C12, AllFilteredCFDAs[All CFDAs]),),0)), "")</f>
        <v>97.024000000000001</v>
      </c>
      <c r="D13" s="6" t="str">
        <f t="array" ref="D13">IFERROR(INDEX(MemberOrgsData[FEDERALPROGRAMNAME], MATCH(1, (SelectMemberOrgs = MemberOrgsData[Auditee Name])*(Table11[[#This Row],[Unique CFDA]] = MemberOrgsData[CFDA]), 0)), "")</f>
        <v>EMERGENCY FOOD AND SHELTER NATIONAL BOARD PROGRAM</v>
      </c>
      <c r="E13" s="25">
        <f t="array" ref="E13">IFERROR(IF(Table11[[#This Row],[Unique CFDA]]&lt;&gt;"", SUMIFS(MemberOrgsData[AMOUNT], MemberOrgsData[Auditee Name], SelectMemberOrgs, MemberOrgsData[CFDA], Table11[[#This Row],[Unique CFDA]], MemberOrgsData[AUDITYEAR], SelectFiscalYear), ""), "")</f>
        <v>29394</v>
      </c>
      <c r="F13" s="26">
        <f t="array" ref="F13">IFERROR(INDEX(BudgetAppropData[President % Change], MATCH(1, (Table11[[#This Row],[Unique CFDA]] = BudgetAppropData[CFDA])*(SelectBudgetYear = BudgetAppropData[Fiscal Year]), 0)), "")</f>
        <v>-1</v>
      </c>
      <c r="G13" s="25">
        <f>IF(Table11[[#This Row],[Unique CFDA]] = "", "", IFERROR(Table11[[#This Row],[FY 2018 Total]]*Table11[[#This Row],[President % Change]], ""))</f>
        <v>-29394</v>
      </c>
      <c r="H13" s="26">
        <f t="array" ref="H13">IFERROR(INDEX(BudgetAppropData[House % Change], MATCH(1, (Table11[[#This Row],[Unique CFDA]] = BudgetAppropData[CFDA])*(SelectBudgetYear = BudgetAppropData[Fiscal Year]),0)), "")</f>
        <v>8.3333333333333329E-2</v>
      </c>
      <c r="I13" s="25">
        <f>IF(Table11[[#This Row],[Unique CFDA]] = "", "", IFERROR(Table11[[#This Row],[FY 2018 Total]]*Table11[[#This Row],[House % Change]], ""))</f>
        <v>2449.5</v>
      </c>
      <c r="J13" s="6"/>
      <c r="K13" s="25">
        <f>IF(Table11[[#This Row],[Unique CFDA]] = "", "", IFERROR(Table11[[#This Row],[FY 2018 Total]]*Table11[[#This Row],[Senate Budget]], ""))</f>
        <v>0</v>
      </c>
      <c r="L13" s="6">
        <f>IF(Table11[[#This Row],[Unique CFDA]] = "", "", IF(ISNUMBER(Table11[[#This Row],[President $ Change]]), RANK(Table11[[#This Row],[President $ Change]], Table11[President $ Change])+COUNTIF($G13:G13, G13)-1,0))</f>
        <v>5</v>
      </c>
      <c r="N13">
        <v>10</v>
      </c>
      <c r="O13" t="str">
        <f>IFERROR(INDEX(Table11[Unique CFDA], MATCH(N13, Table11[Pres. Sort], 0)), "")</f>
        <v/>
      </c>
      <c r="P13" s="1" t="str">
        <f>IFERROR(INDEX(Table11[Grant Name], MATCH(MemberOrgFinalSort[[#This Row],[CFDA]], Table11[Unique CFDA], 0)), "")</f>
        <v/>
      </c>
      <c r="Q13" s="20" t="str">
        <f>IFERROR(INDEX(Table11[FY 2018 Total], MATCH(MemberOrgFinalSort[[#This Row],[CFDA]], Table11[Unique CFDA], 0)), "")</f>
        <v/>
      </c>
      <c r="R13" s="21" t="str">
        <f>IFERROR(INDEX(Table11[President % Change], MATCH(MemberOrgFinalSort[[#This Row],[CFDA]], Table11[Unique CFDA], 0)), "")</f>
        <v/>
      </c>
      <c r="S13" s="20" t="str">
        <f>IFERROR(INDEX(Table11[President $ Change], MATCH(MemberOrgFinalSort[[#This Row],[CFDA]], Table11[Unique CFDA], 0)), "")</f>
        <v/>
      </c>
      <c r="T13" s="32" t="str">
        <f>IFERROR(INDEX(Table11[House % Change], MATCH(MemberOrgFinalSort[[#This Row],[CFDA]], Table11[Unique CFDA], 0)), "")</f>
        <v/>
      </c>
      <c r="U13" s="32" t="str">
        <f>IFERROR(INDEX(Table11[House $ Change], MATCH(MemberOrgFinalSort[[#This Row],[CFDA]], Table11[Unique CFDA], 0)), "")</f>
        <v/>
      </c>
      <c r="V13" s="20"/>
      <c r="X13" s="6"/>
      <c r="Y13" s="6"/>
      <c r="Z13" s="6"/>
      <c r="AA13" s="6"/>
      <c r="AB13" s="6"/>
    </row>
    <row r="14" spans="1:28" x14ac:dyDescent="0.25">
      <c r="A14">
        <f>IF(MemberOrgControl!$C17 = "", "", INDEX(MemberOrgsData[CFDA], MemberOrgControl!$C17))</f>
        <v>93.569000000000003</v>
      </c>
      <c r="C14" s="6" t="str">
        <f>IFERROR(INDEX(AllFilteredCFDAs[All CFDAs], MATCH(0, INDEX(COUNTIF($C$3:C13, AllFilteredCFDAs[All CFDAs]),),0)), "")</f>
        <v/>
      </c>
      <c r="D14" s="6" t="str">
        <f t="array" ref="D14">IFERROR(INDEX(MemberOrgsData[FEDERALPROGRAMNAME], MATCH(1, (SelectMemberOrgs = MemberOrgsData[Auditee Name])*(Table11[[#This Row],[Unique CFDA]] = MemberOrgsData[CFDA]), 0)), "")</f>
        <v/>
      </c>
      <c r="E14" s="25" t="str">
        <f t="array" ref="E14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4" s="26" t="str">
        <f t="array" ref="F14">IFERROR(INDEX(BudgetAppropData[President % Change], MATCH(1, (Table11[[#This Row],[Unique CFDA]] = BudgetAppropData[CFDA])*(SelectBudgetYear = BudgetAppropData[Fiscal Year]), 0)), "")</f>
        <v/>
      </c>
      <c r="G14" s="25" t="str">
        <f>IF(Table11[[#This Row],[Unique CFDA]] = "", "", IFERROR(Table11[[#This Row],[FY 2018 Total]]*Table11[[#This Row],[President % Change]], ""))</f>
        <v/>
      </c>
      <c r="H14" s="26" t="str">
        <f t="array" ref="H14">IFERROR(INDEX(BudgetAppropData[House % Change], MATCH(1, (Table11[[#This Row],[Unique CFDA]] = BudgetAppropData[CFDA])*(SelectBudgetYear = BudgetAppropData[Fiscal Year]),0)), "")</f>
        <v/>
      </c>
      <c r="I14" s="25" t="str">
        <f>IF(Table11[[#This Row],[Unique CFDA]] = "", "", IFERROR(Table11[[#This Row],[FY 2018 Total]]*Table11[[#This Row],[House % Change]], ""))</f>
        <v/>
      </c>
      <c r="J14" s="6"/>
      <c r="K14" s="25" t="str">
        <f>IF(Table11[[#This Row],[Unique CFDA]] = "", "", IFERROR(Table11[[#This Row],[FY 2018 Total]]*Table11[[#This Row],[Senate Budget]], ""))</f>
        <v/>
      </c>
      <c r="L14" s="6" t="str">
        <f>IF(Table11[[#This Row],[Unique CFDA]] = "", "", IF(ISNUMBER(Table11[[#This Row],[President $ Change]]), RANK(Table11[[#This Row],[President $ Change]], Table11[President $ Change])+COUNTIF($G14:G14, G14)-1,0))</f>
        <v/>
      </c>
      <c r="N14">
        <v>11</v>
      </c>
      <c r="O14" t="str">
        <f>IFERROR(INDEX(Table11[Unique CFDA], MATCH(N14, Table11[Pres. Sort], 0)), "")</f>
        <v/>
      </c>
      <c r="P14" s="1" t="str">
        <f>IFERROR(INDEX(Table11[Grant Name], MATCH(MemberOrgFinalSort[[#This Row],[CFDA]], Table11[Unique CFDA], 0)), "")</f>
        <v/>
      </c>
      <c r="Q14" s="20" t="str">
        <f>IFERROR(INDEX(Table11[FY 2018 Total], MATCH(MemberOrgFinalSort[[#This Row],[CFDA]], Table11[Unique CFDA], 0)), "")</f>
        <v/>
      </c>
      <c r="R14" s="21" t="str">
        <f>IFERROR(INDEX(Table11[President % Change], MATCH(MemberOrgFinalSort[[#This Row],[CFDA]], Table11[Unique CFDA], 0)), "")</f>
        <v/>
      </c>
      <c r="S14" s="20" t="str">
        <f>IFERROR(INDEX(Table11[President $ Change], MATCH(MemberOrgFinalSort[[#This Row],[CFDA]], Table11[Unique CFDA], 0)), "")</f>
        <v/>
      </c>
      <c r="T14" s="32" t="str">
        <f>IFERROR(INDEX(Table11[House % Change], MATCH(MemberOrgFinalSort[[#This Row],[CFDA]], Table11[Unique CFDA], 0)), "")</f>
        <v/>
      </c>
      <c r="U14" s="32" t="str">
        <f>IFERROR(INDEX(Table11[House $ Change], MATCH(MemberOrgFinalSort[[#This Row],[CFDA]], Table11[Unique CFDA], 0)), "")</f>
        <v/>
      </c>
      <c r="V14" s="20"/>
      <c r="X14" s="6"/>
      <c r="Y14" s="6"/>
      <c r="Z14" s="6"/>
      <c r="AA14" s="6"/>
      <c r="AB14" s="6"/>
    </row>
    <row r="15" spans="1:28" x14ac:dyDescent="0.25">
      <c r="A15" t="str">
        <f>IF(MemberOrgControl!$C18 = "", "", INDEX(MemberOrgsData[CFDA], MemberOrgControl!$C18))</f>
        <v/>
      </c>
      <c r="C15" s="6" t="str">
        <f>IFERROR(INDEX(AllFilteredCFDAs[All CFDAs], MATCH(0, INDEX(COUNTIF($C$3:C14, AllFilteredCFDAs[All CFDAs]),),0)), "")</f>
        <v/>
      </c>
      <c r="D15" s="6" t="str">
        <f t="array" ref="D15">IFERROR(INDEX(MemberOrgsData[FEDERALPROGRAMNAME], MATCH(1, (SelectMemberOrgs = MemberOrgsData[Auditee Name])*(Table11[[#This Row],[Unique CFDA]] = MemberOrgsData[CFDA]), 0)), "")</f>
        <v/>
      </c>
      <c r="E15" s="25" t="str">
        <f t="array" ref="E15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5" s="26" t="str">
        <f t="array" ref="F15">IFERROR(INDEX(BudgetAppropData[President % Change], MATCH(1, (Table11[[#This Row],[Unique CFDA]] = BudgetAppropData[CFDA])*(SelectBudgetYear = BudgetAppropData[Fiscal Year]), 0)), "")</f>
        <v/>
      </c>
      <c r="G15" s="25" t="str">
        <f>IF(Table11[[#This Row],[Unique CFDA]] = "", "", IFERROR(Table11[[#This Row],[FY 2018 Total]]*Table11[[#This Row],[President % Change]], ""))</f>
        <v/>
      </c>
      <c r="H15" s="26" t="str">
        <f t="array" ref="H15">IFERROR(INDEX(BudgetAppropData[House % Change], MATCH(1, (Table11[[#This Row],[Unique CFDA]] = BudgetAppropData[CFDA])*(SelectBudgetYear = BudgetAppropData[Fiscal Year]),0)), "")</f>
        <v/>
      </c>
      <c r="I15" s="25" t="str">
        <f>IF(Table11[[#This Row],[Unique CFDA]] = "", "", IFERROR(Table11[[#This Row],[FY 2018 Total]]*Table11[[#This Row],[House % Change]], ""))</f>
        <v/>
      </c>
      <c r="J15" s="6"/>
      <c r="K15" s="25" t="str">
        <f>IF(Table11[[#This Row],[Unique CFDA]] = "", "", IFERROR(Table11[[#This Row],[FY 2018 Total]]*Table11[[#This Row],[Senate Budget]], ""))</f>
        <v/>
      </c>
      <c r="L15" s="6" t="str">
        <f>IF(Table11[[#This Row],[Unique CFDA]] = "", "", IF(ISNUMBER(Table11[[#This Row],[President $ Change]]), RANK(Table11[[#This Row],[President $ Change]], Table11[President $ Change])+COUNTIF($G15:G15, G15)-1,0))</f>
        <v/>
      </c>
      <c r="N15">
        <v>12</v>
      </c>
      <c r="O15" t="str">
        <f>IFERROR(INDEX(Table11[Unique CFDA], MATCH(N15, Table11[Pres. Sort], 0)), "")</f>
        <v/>
      </c>
      <c r="P15" s="1" t="str">
        <f>IFERROR(INDEX(Table11[Grant Name], MATCH(MemberOrgFinalSort[[#This Row],[CFDA]], Table11[Unique CFDA], 0)), "")</f>
        <v/>
      </c>
      <c r="Q15" s="20" t="str">
        <f>IFERROR(INDEX(Table11[FY 2018 Total], MATCH(MemberOrgFinalSort[[#This Row],[CFDA]], Table11[Unique CFDA], 0)), "")</f>
        <v/>
      </c>
      <c r="R15" s="21" t="str">
        <f>IFERROR(INDEX(Table11[President % Change], MATCH(MemberOrgFinalSort[[#This Row],[CFDA]], Table11[Unique CFDA], 0)), "")</f>
        <v/>
      </c>
      <c r="S15" s="20" t="str">
        <f>IFERROR(INDEX(Table11[President $ Change], MATCH(MemberOrgFinalSort[[#This Row],[CFDA]], Table11[Unique CFDA], 0)), "")</f>
        <v/>
      </c>
      <c r="T15" s="32" t="str">
        <f>IFERROR(INDEX(Table11[House % Change], MATCH(MemberOrgFinalSort[[#This Row],[CFDA]], Table11[Unique CFDA], 0)), "")</f>
        <v/>
      </c>
      <c r="U15" s="32" t="str">
        <f>IFERROR(INDEX(Table11[House $ Change], MATCH(MemberOrgFinalSort[[#This Row],[CFDA]], Table11[Unique CFDA], 0)), "")</f>
        <v/>
      </c>
      <c r="V15" s="20"/>
      <c r="X15" s="6"/>
      <c r="Y15" s="6"/>
      <c r="Z15" s="6"/>
      <c r="AA15" s="6"/>
      <c r="AB15" s="6"/>
    </row>
    <row r="16" spans="1:28" x14ac:dyDescent="0.25">
      <c r="A16" t="str">
        <f>IF(MemberOrgControl!$C19 = "", "", INDEX(MemberOrgsData[CFDA], MemberOrgControl!$C19))</f>
        <v/>
      </c>
      <c r="C16" s="6" t="str">
        <f>IFERROR(INDEX(AllFilteredCFDAs[All CFDAs], MATCH(0, INDEX(COUNTIF($C$3:C15, AllFilteredCFDAs[All CFDAs]),),0)), "")</f>
        <v/>
      </c>
      <c r="D16" s="6" t="str">
        <f t="array" ref="D16">IFERROR(INDEX(MemberOrgsData[FEDERALPROGRAMNAME], MATCH(1, (SelectMemberOrgs = MemberOrgsData[Auditee Name])*(Table11[[#This Row],[Unique CFDA]] = MemberOrgsData[CFDA]), 0)), "")</f>
        <v/>
      </c>
      <c r="E16" s="25" t="str">
        <f t="array" ref="E16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6" s="26" t="str">
        <f t="array" ref="F16">IFERROR(INDEX(BudgetAppropData[President % Change], MATCH(1, (Table11[[#This Row],[Unique CFDA]] = BudgetAppropData[CFDA])*(SelectBudgetYear = BudgetAppropData[Fiscal Year]), 0)), "")</f>
        <v/>
      </c>
      <c r="G16" s="25" t="str">
        <f>IF(Table11[[#This Row],[Unique CFDA]] = "", "", IFERROR(Table11[[#This Row],[FY 2018 Total]]*Table11[[#This Row],[President % Change]], ""))</f>
        <v/>
      </c>
      <c r="H16" s="26" t="str">
        <f t="array" ref="H16">IFERROR(INDEX(BudgetAppropData[House % Change], MATCH(1, (Table11[[#This Row],[Unique CFDA]] = BudgetAppropData[CFDA])*(SelectBudgetYear = BudgetAppropData[Fiscal Year]),0)), "")</f>
        <v/>
      </c>
      <c r="I16" s="25" t="str">
        <f>IF(Table11[[#This Row],[Unique CFDA]] = "", "", IFERROR(Table11[[#This Row],[FY 2018 Total]]*Table11[[#This Row],[House % Change]], ""))</f>
        <v/>
      </c>
      <c r="J16" s="6"/>
      <c r="K16" s="25" t="str">
        <f>IF(Table11[[#This Row],[Unique CFDA]] = "", "", IFERROR(Table11[[#This Row],[FY 2018 Total]]*Table11[[#This Row],[Senate Budget]], ""))</f>
        <v/>
      </c>
      <c r="L16" s="6" t="str">
        <f>IF(Table11[[#This Row],[Unique CFDA]] = "", "", IF(ISNUMBER(Table11[[#This Row],[President $ Change]]), RANK(Table11[[#This Row],[President $ Change]], Table11[President $ Change])+COUNTIF($G16:G16, G16)-1,0))</f>
        <v/>
      </c>
      <c r="N16">
        <v>13</v>
      </c>
      <c r="O16" t="str">
        <f>IFERROR(INDEX(Table11[Unique CFDA], MATCH(N16, Table11[Pres. Sort], 0)), "")</f>
        <v/>
      </c>
      <c r="P16" s="1" t="str">
        <f>IFERROR(INDEX(Table11[Grant Name], MATCH(MemberOrgFinalSort[[#This Row],[CFDA]], Table11[Unique CFDA], 0)), "")</f>
        <v/>
      </c>
      <c r="Q16" s="20" t="str">
        <f>IFERROR(INDEX(Table11[FY 2018 Total], MATCH(MemberOrgFinalSort[[#This Row],[CFDA]], Table11[Unique CFDA], 0)), "")</f>
        <v/>
      </c>
      <c r="R16" s="21" t="str">
        <f>IFERROR(INDEX(Table11[President % Change], MATCH(MemberOrgFinalSort[[#This Row],[CFDA]], Table11[Unique CFDA], 0)), "")</f>
        <v/>
      </c>
      <c r="S16" s="20" t="str">
        <f>IFERROR(INDEX(Table11[President $ Change], MATCH(MemberOrgFinalSort[[#This Row],[CFDA]], Table11[Unique CFDA], 0)), "")</f>
        <v/>
      </c>
      <c r="T16" s="32" t="str">
        <f>IFERROR(INDEX(Table11[House % Change], MATCH(MemberOrgFinalSort[[#This Row],[CFDA]], Table11[Unique CFDA], 0)), "")</f>
        <v/>
      </c>
      <c r="U16" s="32" t="str">
        <f>IFERROR(INDEX(Table11[House $ Change], MATCH(MemberOrgFinalSort[[#This Row],[CFDA]], Table11[Unique CFDA], 0)), "")</f>
        <v/>
      </c>
      <c r="V16" s="20"/>
      <c r="X16" s="6"/>
      <c r="Y16" s="6"/>
      <c r="Z16" s="6"/>
      <c r="AA16" s="6"/>
      <c r="AB16" s="6"/>
    </row>
    <row r="17" spans="1:28" x14ac:dyDescent="0.25">
      <c r="A17">
        <f>IF(MemberOrgControl!$C20 = "", "", INDEX(MemberOrgsData[CFDA], MemberOrgControl!$C20))</f>
        <v>93.667000000000002</v>
      </c>
      <c r="C17" s="6" t="str">
        <f>IFERROR(INDEX(AllFilteredCFDAs[All CFDAs], MATCH(0, INDEX(COUNTIF($C$3:C16, AllFilteredCFDAs[All CFDAs]),),0)), "")</f>
        <v/>
      </c>
      <c r="D17" s="6" t="str">
        <f t="array" ref="D17">IFERROR(INDEX(MemberOrgsData[FEDERALPROGRAMNAME], MATCH(1, (SelectMemberOrgs = MemberOrgsData[Auditee Name])*(Table11[[#This Row],[Unique CFDA]] = MemberOrgsData[CFDA]), 0)), "")</f>
        <v/>
      </c>
      <c r="E17" s="25" t="str">
        <f t="array" ref="E17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7" s="26" t="str">
        <f t="array" ref="F17">IFERROR(INDEX(BudgetAppropData[President % Change], MATCH(1, (Table11[[#This Row],[Unique CFDA]] = BudgetAppropData[CFDA])*(SelectBudgetYear = BudgetAppropData[Fiscal Year]), 0)), "")</f>
        <v/>
      </c>
      <c r="G17" s="25" t="str">
        <f>IF(Table11[[#This Row],[Unique CFDA]] = "", "", IFERROR(Table11[[#This Row],[FY 2018 Total]]*Table11[[#This Row],[President % Change]], ""))</f>
        <v/>
      </c>
      <c r="H17" s="26" t="str">
        <f t="array" ref="H17">IFERROR(INDEX(BudgetAppropData[House % Change], MATCH(1, (Table11[[#This Row],[Unique CFDA]] = BudgetAppropData[CFDA])*(SelectBudgetYear = BudgetAppropData[Fiscal Year]),0)), "")</f>
        <v/>
      </c>
      <c r="I17" s="25" t="str">
        <f>IF(Table11[[#This Row],[Unique CFDA]] = "", "", IFERROR(Table11[[#This Row],[FY 2018 Total]]*Table11[[#This Row],[House % Change]], ""))</f>
        <v/>
      </c>
      <c r="J17" s="6"/>
      <c r="K17" s="25" t="str">
        <f>IF(Table11[[#This Row],[Unique CFDA]] = "", "", IFERROR(Table11[[#This Row],[FY 2018 Total]]*Table11[[#This Row],[Senate Budget]], ""))</f>
        <v/>
      </c>
      <c r="L17" s="6" t="str">
        <f>IF(Table11[[#This Row],[Unique CFDA]] = "", "", IF(ISNUMBER(Table11[[#This Row],[President $ Change]]), RANK(Table11[[#This Row],[President $ Change]], Table11[President $ Change])+COUNTIF($G17:G17, G17)-1,0))</f>
        <v/>
      </c>
      <c r="N17">
        <v>14</v>
      </c>
      <c r="O17" t="str">
        <f>IFERROR(INDEX(Table11[Unique CFDA], MATCH(N17, Table11[Pres. Sort], 0)), "")</f>
        <v/>
      </c>
      <c r="P17" s="1" t="str">
        <f>IFERROR(INDEX(Table11[Grant Name], MATCH(MemberOrgFinalSort[[#This Row],[CFDA]], Table11[Unique CFDA], 0)), "")</f>
        <v/>
      </c>
      <c r="Q17" s="20" t="str">
        <f>IFERROR(INDEX(Table11[FY 2018 Total], MATCH(MemberOrgFinalSort[[#This Row],[CFDA]], Table11[Unique CFDA], 0)), "")</f>
        <v/>
      </c>
      <c r="R17" s="21" t="str">
        <f>IFERROR(INDEX(Table11[President % Change], MATCH(MemberOrgFinalSort[[#This Row],[CFDA]], Table11[Unique CFDA], 0)), "")</f>
        <v/>
      </c>
      <c r="S17" s="20" t="str">
        <f>IFERROR(INDEX(Table11[President $ Change], MATCH(MemberOrgFinalSort[[#This Row],[CFDA]], Table11[Unique CFDA], 0)), "")</f>
        <v/>
      </c>
      <c r="T17" s="32" t="str">
        <f>IFERROR(INDEX(Table11[House % Change], MATCH(MemberOrgFinalSort[[#This Row],[CFDA]], Table11[Unique CFDA], 0)), "")</f>
        <v/>
      </c>
      <c r="U17" s="32" t="str">
        <f>IFERROR(INDEX(Table11[House $ Change], MATCH(MemberOrgFinalSort[[#This Row],[CFDA]], Table11[Unique CFDA], 0)), "")</f>
        <v/>
      </c>
      <c r="V17" s="20"/>
      <c r="X17" s="6"/>
      <c r="Y17" s="6"/>
      <c r="Z17" s="6"/>
      <c r="AA17" s="6"/>
      <c r="AB17" s="6"/>
    </row>
    <row r="18" spans="1:28" x14ac:dyDescent="0.25">
      <c r="A18">
        <f>IF(MemberOrgControl!$C21 = "", "", INDEX(MemberOrgsData[CFDA], MemberOrgControl!$C21))</f>
        <v>97.024000000000001</v>
      </c>
      <c r="C18" s="6" t="str">
        <f>IFERROR(INDEX(AllFilteredCFDAs[All CFDAs], MATCH(0, INDEX(COUNTIF($C$3:C17, AllFilteredCFDAs[All CFDAs]),),0)), "")</f>
        <v/>
      </c>
      <c r="D18" s="6" t="str">
        <f t="array" ref="D18">IFERROR(INDEX(MemberOrgsData[FEDERALPROGRAMNAME], MATCH(1, (SelectMemberOrgs = MemberOrgsData[Auditee Name])*(Table11[[#This Row],[Unique CFDA]] = MemberOrgsData[CFDA]), 0)), "")</f>
        <v/>
      </c>
      <c r="E18" s="25" t="str">
        <f t="array" ref="E18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8" s="26" t="str">
        <f t="array" ref="F18">IFERROR(INDEX(BudgetAppropData[President % Change], MATCH(1, (Table11[[#This Row],[Unique CFDA]] = BudgetAppropData[CFDA])*(SelectBudgetYear = BudgetAppropData[Fiscal Year]), 0)), "")</f>
        <v/>
      </c>
      <c r="G18" s="25" t="str">
        <f>IF(Table11[[#This Row],[Unique CFDA]] = "", "", IFERROR(Table11[[#This Row],[FY 2018 Total]]*Table11[[#This Row],[President % Change]], ""))</f>
        <v/>
      </c>
      <c r="H18" s="26" t="str">
        <f t="array" ref="H18">IFERROR(INDEX(BudgetAppropData[House % Change], MATCH(1, (Table11[[#This Row],[Unique CFDA]] = BudgetAppropData[CFDA])*(SelectBudgetYear = BudgetAppropData[Fiscal Year]),0)), "")</f>
        <v/>
      </c>
      <c r="I18" s="25" t="str">
        <f>IF(Table11[[#This Row],[Unique CFDA]] = "", "", IFERROR(Table11[[#This Row],[FY 2018 Total]]*Table11[[#This Row],[House % Change]], ""))</f>
        <v/>
      </c>
      <c r="J18" s="6"/>
      <c r="K18" s="25" t="str">
        <f>IF(Table11[[#This Row],[Unique CFDA]] = "", "", IFERROR(Table11[[#This Row],[FY 2018 Total]]*Table11[[#This Row],[Senate Budget]], ""))</f>
        <v/>
      </c>
      <c r="L18" s="6" t="str">
        <f>IF(Table11[[#This Row],[Unique CFDA]] = "", "", IF(ISNUMBER(Table11[[#This Row],[President $ Change]]), RANK(Table11[[#This Row],[President $ Change]], Table11[President $ Change])+COUNTIF($G18:G18, G18)-1,0))</f>
        <v/>
      </c>
      <c r="N18">
        <v>15</v>
      </c>
      <c r="O18" t="str">
        <f>IFERROR(INDEX(Table11[Unique CFDA], MATCH(N18, Table11[Pres. Sort], 0)), "")</f>
        <v/>
      </c>
      <c r="P18" s="1" t="str">
        <f>IFERROR(INDEX(Table11[Grant Name], MATCH(MemberOrgFinalSort[[#This Row],[CFDA]], Table11[Unique CFDA], 0)), "")</f>
        <v/>
      </c>
      <c r="Q18" s="20" t="str">
        <f>IFERROR(INDEX(Table11[FY 2018 Total], MATCH(MemberOrgFinalSort[[#This Row],[CFDA]], Table11[Unique CFDA], 0)), "")</f>
        <v/>
      </c>
      <c r="R18" s="21" t="str">
        <f>IFERROR(INDEX(Table11[President % Change], MATCH(MemberOrgFinalSort[[#This Row],[CFDA]], Table11[Unique CFDA], 0)), "")</f>
        <v/>
      </c>
      <c r="S18" s="20" t="str">
        <f>IFERROR(INDEX(Table11[President $ Change], MATCH(MemberOrgFinalSort[[#This Row],[CFDA]], Table11[Unique CFDA], 0)), "")</f>
        <v/>
      </c>
      <c r="T18" s="32" t="str">
        <f>IFERROR(INDEX(Table11[House % Change], MATCH(MemberOrgFinalSort[[#This Row],[CFDA]], Table11[Unique CFDA], 0)), "")</f>
        <v/>
      </c>
      <c r="U18" s="32" t="str">
        <f>IFERROR(INDEX(Table11[House $ Change], MATCH(MemberOrgFinalSort[[#This Row],[CFDA]], Table11[Unique CFDA], 0)), "")</f>
        <v/>
      </c>
      <c r="V18" s="20"/>
      <c r="X18" s="6"/>
      <c r="Y18" s="6"/>
      <c r="Z18" s="6"/>
      <c r="AA18" s="6"/>
      <c r="AB18" s="6"/>
    </row>
    <row r="19" spans="1:28" x14ac:dyDescent="0.25">
      <c r="A19" t="str">
        <f>IF(MemberOrgControl!$C22 = "", "", INDEX(MemberOrgsData[CFDA], MemberOrgControl!$C22))</f>
        <v/>
      </c>
      <c r="C19" s="6" t="str">
        <f>IFERROR(INDEX(AllFilteredCFDAs[All CFDAs], MATCH(0, INDEX(COUNTIF($C$3:C18, AllFilteredCFDAs[All CFDAs]),),0)), "")</f>
        <v/>
      </c>
      <c r="D19" s="6" t="str">
        <f t="array" ref="D19">IFERROR(INDEX(MemberOrgsData[FEDERALPROGRAMNAME], MATCH(1, (SelectMemberOrgs = MemberOrgsData[Auditee Name])*(Table11[[#This Row],[Unique CFDA]] = MemberOrgsData[CFDA]), 0)), "")</f>
        <v/>
      </c>
      <c r="E19" s="25" t="str">
        <f t="array" ref="E19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9" s="26" t="str">
        <f t="array" ref="F19">IFERROR(INDEX(BudgetAppropData[President % Change], MATCH(1, (Table11[[#This Row],[Unique CFDA]] = BudgetAppropData[CFDA])*(SelectBudgetYear = BudgetAppropData[Fiscal Year]), 0)), "")</f>
        <v/>
      </c>
      <c r="G19" s="25" t="str">
        <f>IF(Table11[[#This Row],[Unique CFDA]] = "", "", IFERROR(Table11[[#This Row],[FY 2018 Total]]*Table11[[#This Row],[President % Change]], ""))</f>
        <v/>
      </c>
      <c r="H19" s="26" t="str">
        <f t="array" ref="H19">IFERROR(INDEX(BudgetAppropData[House % Change], MATCH(1, (Table11[[#This Row],[Unique CFDA]] = BudgetAppropData[CFDA])*(SelectBudgetYear = BudgetAppropData[Fiscal Year]),0)), "")</f>
        <v/>
      </c>
      <c r="I19" s="25" t="str">
        <f>IF(Table11[[#This Row],[Unique CFDA]] = "", "", IFERROR(Table11[[#This Row],[FY 2018 Total]]*Table11[[#This Row],[House % Change]], ""))</f>
        <v/>
      </c>
      <c r="J19" s="6"/>
      <c r="K19" s="25" t="str">
        <f>IF(Table11[[#This Row],[Unique CFDA]] = "", "", IFERROR(Table11[[#This Row],[FY 2018 Total]]*Table11[[#This Row],[Senate Budget]], ""))</f>
        <v/>
      </c>
      <c r="L19" s="6" t="str">
        <f>IF(Table11[[#This Row],[Unique CFDA]] = "", "", IF(ISNUMBER(Table11[[#This Row],[President $ Change]]), RANK(Table11[[#This Row],[President $ Change]], Table11[President $ Change])+COUNTIF($G19:G19, G19)-1,0))</f>
        <v/>
      </c>
      <c r="N19">
        <v>16</v>
      </c>
      <c r="O19" t="str">
        <f>IFERROR(INDEX(Table11[Unique CFDA], MATCH(N19, Table11[Pres. Sort], 0)), "")</f>
        <v/>
      </c>
      <c r="P19" s="1" t="str">
        <f>IFERROR(INDEX(Table11[Grant Name], MATCH(MemberOrgFinalSort[[#This Row],[CFDA]], Table11[Unique CFDA], 0)), "")</f>
        <v/>
      </c>
      <c r="Q19" s="20" t="str">
        <f>IFERROR(INDEX(Table11[FY 2018 Total], MATCH(MemberOrgFinalSort[[#This Row],[CFDA]], Table11[Unique CFDA], 0)), "")</f>
        <v/>
      </c>
      <c r="R19" s="21" t="str">
        <f>IFERROR(INDEX(Table11[President % Change], MATCH(MemberOrgFinalSort[[#This Row],[CFDA]], Table11[Unique CFDA], 0)), "")</f>
        <v/>
      </c>
      <c r="S19" s="20" t="str">
        <f>IFERROR(INDEX(Table11[President $ Change], MATCH(MemberOrgFinalSort[[#This Row],[CFDA]], Table11[Unique CFDA], 0)), "")</f>
        <v/>
      </c>
      <c r="T19" s="32" t="str">
        <f>IFERROR(INDEX(Table11[House % Change], MATCH(MemberOrgFinalSort[[#This Row],[CFDA]], Table11[Unique CFDA], 0)), "")</f>
        <v/>
      </c>
      <c r="U19" s="32" t="str">
        <f>IFERROR(INDEX(Table11[House $ Change], MATCH(MemberOrgFinalSort[[#This Row],[CFDA]], Table11[Unique CFDA], 0)), "")</f>
        <v/>
      </c>
      <c r="V19" s="20"/>
      <c r="X19" s="6"/>
      <c r="Y19" s="6"/>
      <c r="Z19" s="6"/>
      <c r="AA19" s="6"/>
      <c r="AB19" s="6"/>
    </row>
    <row r="20" spans="1:28" x14ac:dyDescent="0.25">
      <c r="A20" t="str">
        <f>IF(MemberOrgControl!$C23 = "", "", INDEX(MemberOrgsData[CFDA], MemberOrgControl!$C23))</f>
        <v/>
      </c>
      <c r="C20" s="6" t="str">
        <f>IFERROR(INDEX(AllFilteredCFDAs[All CFDAs], MATCH(0, INDEX(COUNTIF($C$3:C19, AllFilteredCFDAs[All CFDAs]),),0)), "")</f>
        <v/>
      </c>
      <c r="D20" s="6" t="str">
        <f t="array" ref="D20">IFERROR(INDEX(MemberOrgsData[FEDERALPROGRAMNAME], MATCH(1, (SelectMemberOrgs = MemberOrgsData[Auditee Name])*(Table11[[#This Row],[Unique CFDA]] = MemberOrgsData[CFDA]), 0)), "")</f>
        <v/>
      </c>
      <c r="E20" s="25" t="str">
        <f t="array" ref="E20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0" s="26" t="str">
        <f t="array" ref="F20">IFERROR(INDEX(BudgetAppropData[President % Change], MATCH(1, (Table11[[#This Row],[Unique CFDA]] = BudgetAppropData[CFDA])*(SelectBudgetYear = BudgetAppropData[Fiscal Year]), 0)), "")</f>
        <v/>
      </c>
      <c r="G20" s="25" t="str">
        <f>IF(Table11[[#This Row],[Unique CFDA]] = "", "", IFERROR(Table11[[#This Row],[FY 2018 Total]]*Table11[[#This Row],[President % Change]], ""))</f>
        <v/>
      </c>
      <c r="H20" s="26" t="str">
        <f t="array" ref="H20">IFERROR(INDEX(BudgetAppropData[House % Change], MATCH(1, (Table11[[#This Row],[Unique CFDA]] = BudgetAppropData[CFDA])*(SelectBudgetYear = BudgetAppropData[Fiscal Year]),0)), "")</f>
        <v/>
      </c>
      <c r="I20" s="25" t="str">
        <f>IF(Table11[[#This Row],[Unique CFDA]] = "", "", IFERROR(Table11[[#This Row],[FY 2018 Total]]*Table11[[#This Row],[House % Change]], ""))</f>
        <v/>
      </c>
      <c r="J20" s="6"/>
      <c r="K20" s="25" t="str">
        <f>IF(Table11[[#This Row],[Unique CFDA]] = "", "", IFERROR(Table11[[#This Row],[FY 2018 Total]]*Table11[[#This Row],[Senate Budget]], ""))</f>
        <v/>
      </c>
      <c r="L20" s="6" t="str">
        <f>IF(Table11[[#This Row],[Unique CFDA]] = "", "", IF(ISNUMBER(Table11[[#This Row],[President $ Change]]), RANK(Table11[[#This Row],[President $ Change]], Table11[President $ Change])+COUNTIF($G20:G20, G20)-1,0))</f>
        <v/>
      </c>
      <c r="N20">
        <v>17</v>
      </c>
      <c r="O20" t="str">
        <f>IFERROR(INDEX(Table11[Unique CFDA], MATCH(N20, Table11[Pres. Sort], 0)), "")</f>
        <v/>
      </c>
      <c r="P20" s="1" t="str">
        <f>IFERROR(INDEX(Table11[Grant Name], MATCH(MemberOrgFinalSort[[#This Row],[CFDA]], Table11[Unique CFDA], 0)), "")</f>
        <v/>
      </c>
      <c r="Q20" s="20" t="str">
        <f>IFERROR(INDEX(Table11[FY 2018 Total], MATCH(MemberOrgFinalSort[[#This Row],[CFDA]], Table11[Unique CFDA], 0)), "")</f>
        <v/>
      </c>
      <c r="R20" s="21" t="str">
        <f>IFERROR(INDEX(Table11[President % Change], MATCH(MemberOrgFinalSort[[#This Row],[CFDA]], Table11[Unique CFDA], 0)), "")</f>
        <v/>
      </c>
      <c r="S20" s="20" t="str">
        <f>IFERROR(INDEX(Table11[President $ Change], MATCH(MemberOrgFinalSort[[#This Row],[CFDA]], Table11[Unique CFDA], 0)), "")</f>
        <v/>
      </c>
      <c r="T20" s="32" t="str">
        <f>IFERROR(INDEX(Table11[House % Change], MATCH(MemberOrgFinalSort[[#This Row],[CFDA]], Table11[Unique CFDA], 0)), "")</f>
        <v/>
      </c>
      <c r="U20" s="32" t="str">
        <f>IFERROR(INDEX(Table11[House $ Change], MATCH(MemberOrgFinalSort[[#This Row],[CFDA]], Table11[Unique CFDA], 0)), "")</f>
        <v/>
      </c>
      <c r="V20" s="20"/>
      <c r="X20" s="6"/>
      <c r="Y20" s="6"/>
      <c r="Z20" s="6"/>
      <c r="AA20" s="6"/>
      <c r="AB20" s="6"/>
    </row>
    <row r="21" spans="1:28" x14ac:dyDescent="0.25">
      <c r="A21" t="str">
        <f>IF(MemberOrgControl!$C24 = "", "", INDEX(MemberOrgsData[CFDA], MemberOrgControl!$C24))</f>
        <v/>
      </c>
      <c r="C21" s="6" t="str">
        <f>IFERROR(INDEX(AllFilteredCFDAs[All CFDAs], MATCH(0, INDEX(COUNTIF($C$3:C20, AllFilteredCFDAs[All CFDAs]),),0)), "")</f>
        <v/>
      </c>
      <c r="D21" s="6" t="str">
        <f t="array" ref="D21">IFERROR(INDEX(MemberOrgsData[FEDERALPROGRAMNAME], MATCH(1, (SelectMemberOrgs = MemberOrgsData[Auditee Name])*(Table11[[#This Row],[Unique CFDA]] = MemberOrgsData[CFDA]), 0)), "")</f>
        <v/>
      </c>
      <c r="E21" s="25" t="str">
        <f t="array" ref="E21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1" s="26" t="str">
        <f t="array" ref="F21">IFERROR(INDEX(BudgetAppropData[President % Change], MATCH(1, (Table11[[#This Row],[Unique CFDA]] = BudgetAppropData[CFDA])*(SelectBudgetYear = BudgetAppropData[Fiscal Year]), 0)), "")</f>
        <v/>
      </c>
      <c r="G21" s="25" t="str">
        <f>IF(Table11[[#This Row],[Unique CFDA]] = "", "", IFERROR(Table11[[#This Row],[FY 2018 Total]]*Table11[[#This Row],[President % Change]], ""))</f>
        <v/>
      </c>
      <c r="H21" s="26" t="str">
        <f t="array" ref="H21">IFERROR(INDEX(BudgetAppropData[House % Change], MATCH(1, (Table11[[#This Row],[Unique CFDA]] = BudgetAppropData[CFDA])*(SelectBudgetYear = BudgetAppropData[Fiscal Year]),0)), "")</f>
        <v/>
      </c>
      <c r="I21" s="25" t="str">
        <f>IF(Table11[[#This Row],[Unique CFDA]] = "", "", IFERROR(Table11[[#This Row],[FY 2018 Total]]*Table11[[#This Row],[House % Change]], ""))</f>
        <v/>
      </c>
      <c r="J21" s="6"/>
      <c r="K21" s="25" t="str">
        <f>IF(Table11[[#This Row],[Unique CFDA]] = "", "", IFERROR(Table11[[#This Row],[FY 2018 Total]]*Table11[[#This Row],[Senate Budget]], ""))</f>
        <v/>
      </c>
      <c r="L21" s="6" t="str">
        <f>IF(Table11[[#This Row],[Unique CFDA]] = "", "", IF(ISNUMBER(Table11[[#This Row],[President $ Change]]), RANK(Table11[[#This Row],[President $ Change]], Table11[President $ Change])+COUNTIF($G21:G21, G21)-1,0))</f>
        <v/>
      </c>
      <c r="N21">
        <v>18</v>
      </c>
      <c r="O21" t="str">
        <f>IFERROR(INDEX(Table11[Unique CFDA], MATCH(N21, Table11[Pres. Sort], 0)), "")</f>
        <v/>
      </c>
      <c r="P21" s="1" t="str">
        <f>IFERROR(INDEX(Table11[Grant Name], MATCH(MemberOrgFinalSort[[#This Row],[CFDA]], Table11[Unique CFDA], 0)), "")</f>
        <v/>
      </c>
      <c r="Q21" s="20" t="str">
        <f>IFERROR(INDEX(Table11[FY 2018 Total], MATCH(MemberOrgFinalSort[[#This Row],[CFDA]], Table11[Unique CFDA], 0)), "")</f>
        <v/>
      </c>
      <c r="R21" s="21" t="str">
        <f>IFERROR(INDEX(Table11[President % Change], MATCH(MemberOrgFinalSort[[#This Row],[CFDA]], Table11[Unique CFDA], 0)), "")</f>
        <v/>
      </c>
      <c r="S21" s="20" t="str">
        <f>IFERROR(INDEX(Table11[President $ Change], MATCH(MemberOrgFinalSort[[#This Row],[CFDA]], Table11[Unique CFDA], 0)), "")</f>
        <v/>
      </c>
      <c r="T21" s="32" t="str">
        <f>IFERROR(INDEX(Table11[House % Change], MATCH(MemberOrgFinalSort[[#This Row],[CFDA]], Table11[Unique CFDA], 0)), "")</f>
        <v/>
      </c>
      <c r="U21" s="32" t="str">
        <f>IFERROR(INDEX(Table11[House $ Change], MATCH(MemberOrgFinalSort[[#This Row],[CFDA]], Table11[Unique CFDA], 0)), "")</f>
        <v/>
      </c>
      <c r="V21" s="20"/>
      <c r="X21" s="6"/>
      <c r="Y21" s="6"/>
      <c r="Z21" s="6"/>
      <c r="AA21" s="6"/>
      <c r="AB21" s="6"/>
    </row>
    <row r="22" spans="1:28" x14ac:dyDescent="0.25">
      <c r="A22" t="str">
        <f>IF(MemberOrgControl!$C25 = "", "", INDEX(MemberOrgsData[CFDA], MemberOrgControl!$C25))</f>
        <v/>
      </c>
      <c r="C22" s="6" t="str">
        <f>IFERROR(INDEX(AllFilteredCFDAs[All CFDAs], MATCH(0, INDEX(COUNTIF($C$3:C21, AllFilteredCFDAs[All CFDAs]),),0)), "")</f>
        <v/>
      </c>
      <c r="D22" s="6" t="str">
        <f t="array" ref="D22">IFERROR(INDEX(MemberOrgsData[FEDERALPROGRAMNAME], MATCH(1, (SelectMemberOrgs = MemberOrgsData[Auditee Name])*(Table11[[#This Row],[Unique CFDA]] = MemberOrgsData[CFDA]), 0)), "")</f>
        <v/>
      </c>
      <c r="E22" s="25" t="str">
        <f t="array" ref="E22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2" s="26" t="str">
        <f t="array" ref="F22">IFERROR(INDEX(BudgetAppropData[President % Change], MATCH(1, (Table11[[#This Row],[Unique CFDA]] = BudgetAppropData[CFDA])*(SelectBudgetYear = BudgetAppropData[Fiscal Year]), 0)), "")</f>
        <v/>
      </c>
      <c r="G22" s="25" t="str">
        <f>IF(Table11[[#This Row],[Unique CFDA]] = "", "", IFERROR(Table11[[#This Row],[FY 2018 Total]]*Table11[[#This Row],[President % Change]], ""))</f>
        <v/>
      </c>
      <c r="H22" s="26" t="str">
        <f t="array" ref="H22">IFERROR(INDEX(BudgetAppropData[House % Change], MATCH(1, (Table11[[#This Row],[Unique CFDA]] = BudgetAppropData[CFDA])*(SelectBudgetYear = BudgetAppropData[Fiscal Year]),0)), "")</f>
        <v/>
      </c>
      <c r="I22" s="25" t="str">
        <f>IF(Table11[[#This Row],[Unique CFDA]] = "", "", IFERROR(Table11[[#This Row],[FY 2018 Total]]*Table11[[#This Row],[House % Change]], ""))</f>
        <v/>
      </c>
      <c r="J22" s="6"/>
      <c r="K22" s="25" t="str">
        <f>IF(Table11[[#This Row],[Unique CFDA]] = "", "", IFERROR(Table11[[#This Row],[FY 2018 Total]]*Table11[[#This Row],[Senate Budget]], ""))</f>
        <v/>
      </c>
      <c r="L22" s="6" t="str">
        <f>IF(Table11[[#This Row],[Unique CFDA]] = "", "", IF(ISNUMBER(Table11[[#This Row],[President $ Change]]), RANK(Table11[[#This Row],[President $ Change]], Table11[President $ Change])+COUNTIF($G22:G22, G22)-1,0))</f>
        <v/>
      </c>
      <c r="N22">
        <v>19</v>
      </c>
      <c r="O22" t="str">
        <f>IFERROR(INDEX(Table11[Unique CFDA], MATCH(N22, Table11[Pres. Sort], 0)), "")</f>
        <v/>
      </c>
      <c r="P22" s="1" t="str">
        <f>IFERROR(INDEX(Table11[Grant Name], MATCH(MemberOrgFinalSort[[#This Row],[CFDA]], Table11[Unique CFDA], 0)), "")</f>
        <v/>
      </c>
      <c r="Q22" s="20" t="str">
        <f>IFERROR(INDEX(Table11[FY 2018 Total], MATCH(MemberOrgFinalSort[[#This Row],[CFDA]], Table11[Unique CFDA], 0)), "")</f>
        <v/>
      </c>
      <c r="R22" s="21" t="str">
        <f>IFERROR(INDEX(Table11[President % Change], MATCH(MemberOrgFinalSort[[#This Row],[CFDA]], Table11[Unique CFDA], 0)), "")</f>
        <v/>
      </c>
      <c r="S22" s="20" t="str">
        <f>IFERROR(INDEX(Table11[President $ Change], MATCH(MemberOrgFinalSort[[#This Row],[CFDA]], Table11[Unique CFDA], 0)), "")</f>
        <v/>
      </c>
      <c r="T22" s="32" t="str">
        <f>IFERROR(INDEX(Table11[House % Change], MATCH(MemberOrgFinalSort[[#This Row],[CFDA]], Table11[Unique CFDA], 0)), "")</f>
        <v/>
      </c>
      <c r="U22" s="32" t="str">
        <f>IFERROR(INDEX(Table11[House $ Change], MATCH(MemberOrgFinalSort[[#This Row],[CFDA]], Table11[Unique CFDA], 0)), "")</f>
        <v/>
      </c>
      <c r="V22" s="20"/>
      <c r="X22" s="6"/>
      <c r="Y22" s="6"/>
      <c r="Z22" s="6"/>
      <c r="AA22" s="6"/>
      <c r="AB22" s="6"/>
    </row>
    <row r="23" spans="1:28" x14ac:dyDescent="0.25">
      <c r="A23" t="str">
        <f>IF(MemberOrgControl!$C26 = "", "", INDEX(MemberOrgsData[CFDA], MemberOrgControl!$C26))</f>
        <v/>
      </c>
      <c r="C23" s="6" t="str">
        <f>IFERROR(INDEX(AllFilteredCFDAs[All CFDAs], MATCH(0, INDEX(COUNTIF($C$3:C22, AllFilteredCFDAs[All CFDAs]),),0)), "")</f>
        <v/>
      </c>
      <c r="D23" s="6" t="str">
        <f t="array" ref="D23">IFERROR(INDEX(MemberOrgsData[FEDERALPROGRAMNAME], MATCH(1, (SelectMemberOrgs = MemberOrgsData[Auditee Name])*(Table11[[#This Row],[Unique CFDA]] = MemberOrgsData[CFDA]), 0)), "")</f>
        <v/>
      </c>
      <c r="E23" s="25" t="str">
        <f t="array" ref="E23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3" s="26" t="str">
        <f t="array" ref="F23">IFERROR(INDEX(BudgetAppropData[President % Change], MATCH(1, (Table11[[#This Row],[Unique CFDA]] = BudgetAppropData[CFDA])*(SelectBudgetYear = BudgetAppropData[Fiscal Year]), 0)), "")</f>
        <v/>
      </c>
      <c r="G23" s="25" t="str">
        <f>IF(Table11[[#This Row],[Unique CFDA]] = "", "", IFERROR(Table11[[#This Row],[FY 2018 Total]]*Table11[[#This Row],[President % Change]], ""))</f>
        <v/>
      </c>
      <c r="H23" s="26" t="str">
        <f t="array" ref="H23">IFERROR(INDEX(BudgetAppropData[House % Change], MATCH(1, (Table11[[#This Row],[Unique CFDA]] = BudgetAppropData[CFDA])*(SelectBudgetYear = BudgetAppropData[Fiscal Year]),0)), "")</f>
        <v/>
      </c>
      <c r="I23" s="25" t="str">
        <f>IF(Table11[[#This Row],[Unique CFDA]] = "", "", IFERROR(Table11[[#This Row],[FY 2018 Total]]*Table11[[#This Row],[House % Change]], ""))</f>
        <v/>
      </c>
      <c r="J23" s="6"/>
      <c r="K23" s="25" t="str">
        <f>IF(Table11[[#This Row],[Unique CFDA]] = "", "", IFERROR(Table11[[#This Row],[FY 2018 Total]]*Table11[[#This Row],[Senate Budget]], ""))</f>
        <v/>
      </c>
      <c r="L23" s="6" t="str">
        <f>IF(Table11[[#This Row],[Unique CFDA]] = "", "", IF(ISNUMBER(Table11[[#This Row],[President $ Change]]), RANK(Table11[[#This Row],[President $ Change]], Table11[President $ Change])+COUNTIF($G23:G23, G23)-1,0))</f>
        <v/>
      </c>
      <c r="N23">
        <v>20</v>
      </c>
      <c r="O23" t="str">
        <f>IFERROR(INDEX(Table11[Unique CFDA], MATCH(N23, Table11[Pres. Sort], 0)), "")</f>
        <v/>
      </c>
      <c r="P23" s="1" t="str">
        <f>IFERROR(INDEX(Table11[Grant Name], MATCH(MemberOrgFinalSort[[#This Row],[CFDA]], Table11[Unique CFDA], 0)), "")</f>
        <v/>
      </c>
      <c r="Q23" s="20" t="str">
        <f>IFERROR(INDEX(Table11[FY 2018 Total], MATCH(MemberOrgFinalSort[[#This Row],[CFDA]], Table11[Unique CFDA], 0)), "")</f>
        <v/>
      </c>
      <c r="R23" s="21" t="str">
        <f>IFERROR(INDEX(Table11[President % Change], MATCH(MemberOrgFinalSort[[#This Row],[CFDA]], Table11[Unique CFDA], 0)), "")</f>
        <v/>
      </c>
      <c r="S23" s="20" t="str">
        <f>IFERROR(INDEX(Table11[President $ Change], MATCH(MemberOrgFinalSort[[#This Row],[CFDA]], Table11[Unique CFDA], 0)), "")</f>
        <v/>
      </c>
      <c r="T23" s="32" t="str">
        <f>IFERROR(INDEX(Table11[House % Change], MATCH(MemberOrgFinalSort[[#This Row],[CFDA]], Table11[Unique CFDA], 0)), "")</f>
        <v/>
      </c>
      <c r="U23" s="32" t="str">
        <f>IFERROR(INDEX(Table11[House $ Change], MATCH(MemberOrgFinalSort[[#This Row],[CFDA]], Table11[Unique CFDA], 0)), "")</f>
        <v/>
      </c>
      <c r="V23" s="20"/>
      <c r="X23" s="6"/>
      <c r="Y23" s="6"/>
      <c r="Z23" s="6"/>
      <c r="AA23" s="6"/>
      <c r="AB23" s="6"/>
    </row>
    <row r="24" spans="1:28" x14ac:dyDescent="0.25">
      <c r="A24" t="str">
        <f>IF(MemberOrgControl!$C27 = "", "", INDEX(MemberOrgsData[CFDA], MemberOrgControl!$C27))</f>
        <v/>
      </c>
      <c r="C24" s="6" t="str">
        <f>IFERROR(INDEX(AllFilteredCFDAs[All CFDAs], MATCH(0, INDEX(COUNTIF($C$3:C23, AllFilteredCFDAs[All CFDAs]),),0)), "")</f>
        <v/>
      </c>
      <c r="D24" s="6" t="str">
        <f t="array" ref="D24">IFERROR(INDEX(MemberOrgsData[FEDERALPROGRAMNAME], MATCH(1, (SelectMemberOrgs = MemberOrgsData[Auditee Name])*(Table11[[#This Row],[Unique CFDA]] = MemberOrgsData[CFDA]), 0)), "")</f>
        <v/>
      </c>
      <c r="E24" s="25" t="str">
        <f t="array" ref="E24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4" s="26" t="str">
        <f t="array" ref="F24">IFERROR(INDEX(BudgetAppropData[President % Change], MATCH(1, (Table11[[#This Row],[Unique CFDA]] = BudgetAppropData[CFDA])*(SelectBudgetYear = BudgetAppropData[Fiscal Year]), 0)), "")</f>
        <v/>
      </c>
      <c r="G24" s="25" t="str">
        <f>IF(Table11[[#This Row],[Unique CFDA]] = "", "", IFERROR(Table11[[#This Row],[FY 2018 Total]]*Table11[[#This Row],[President % Change]], ""))</f>
        <v/>
      </c>
      <c r="H24" s="26" t="str">
        <f t="array" ref="H24">IFERROR(INDEX(BudgetAppropData[House % Change], MATCH(1, (Table11[[#This Row],[Unique CFDA]] = BudgetAppropData[CFDA])*(SelectBudgetYear = BudgetAppropData[Fiscal Year]),0)), "")</f>
        <v/>
      </c>
      <c r="I24" s="25" t="str">
        <f>IF(Table11[[#This Row],[Unique CFDA]] = "", "", IFERROR(Table11[[#This Row],[FY 2018 Total]]*Table11[[#This Row],[House % Change]], ""))</f>
        <v/>
      </c>
      <c r="J24" s="6"/>
      <c r="K24" s="25" t="str">
        <f>IF(Table11[[#This Row],[Unique CFDA]] = "", "", IFERROR(Table11[[#This Row],[FY 2018 Total]]*Table11[[#This Row],[Senate Budget]], ""))</f>
        <v/>
      </c>
      <c r="L24" s="6" t="str">
        <f>IF(Table11[[#This Row],[Unique CFDA]] = "", "", IF(ISNUMBER(Table11[[#This Row],[President $ Change]]), RANK(Table11[[#This Row],[President $ Change]], Table11[President $ Change])+COUNTIF($G24:G24, G24)-1,0))</f>
        <v/>
      </c>
      <c r="N24">
        <v>21</v>
      </c>
      <c r="O24" t="str">
        <f>IFERROR(INDEX(Table11[Unique CFDA], MATCH(N24, Table11[Pres. Sort], 0)), "")</f>
        <v/>
      </c>
      <c r="P24" s="1" t="str">
        <f>IFERROR(INDEX(Table11[Grant Name], MATCH(MemberOrgFinalSort[[#This Row],[CFDA]], Table11[Unique CFDA], 0)), "")</f>
        <v/>
      </c>
      <c r="Q24" s="20" t="str">
        <f>IFERROR(INDEX(Table11[FY 2018 Total], MATCH(MemberOrgFinalSort[[#This Row],[CFDA]], Table11[Unique CFDA], 0)), "")</f>
        <v/>
      </c>
      <c r="R24" s="21" t="str">
        <f>IFERROR(INDEX(Table11[President % Change], MATCH(MemberOrgFinalSort[[#This Row],[CFDA]], Table11[Unique CFDA], 0)), "")</f>
        <v/>
      </c>
      <c r="S24" s="20" t="str">
        <f>IFERROR(INDEX(Table11[President $ Change], MATCH(MemberOrgFinalSort[[#This Row],[CFDA]], Table11[Unique CFDA], 0)), "")</f>
        <v/>
      </c>
      <c r="T24" s="32" t="str">
        <f>IFERROR(INDEX(Table11[House % Change], MATCH(MemberOrgFinalSort[[#This Row],[CFDA]], Table11[Unique CFDA], 0)), "")</f>
        <v/>
      </c>
      <c r="U24" s="32" t="str">
        <f>IFERROR(INDEX(Table11[House $ Change], MATCH(MemberOrgFinalSort[[#This Row],[CFDA]], Table11[Unique CFDA], 0)), "")</f>
        <v/>
      </c>
      <c r="V24" s="20"/>
      <c r="X24" s="6"/>
      <c r="Y24" s="6"/>
      <c r="Z24" s="6"/>
      <c r="AA24" s="6"/>
      <c r="AB24" s="6"/>
    </row>
    <row r="25" spans="1:28" x14ac:dyDescent="0.25">
      <c r="A25" t="str">
        <f>IF(MemberOrgControl!$C28 = "", "", INDEX(MemberOrgsData[CFDA], MemberOrgControl!$C28))</f>
        <v/>
      </c>
      <c r="C25" s="6" t="str">
        <f>IFERROR(INDEX(AllFilteredCFDAs[All CFDAs], MATCH(0, INDEX(COUNTIF($C$3:C24, AllFilteredCFDAs[All CFDAs]),),0)), "")</f>
        <v/>
      </c>
      <c r="D25" s="6" t="str">
        <f t="array" ref="D25">IFERROR(INDEX(MemberOrgsData[FEDERALPROGRAMNAME], MATCH(1, (SelectMemberOrgs = MemberOrgsData[Auditee Name])*(Table11[[#This Row],[Unique CFDA]] = MemberOrgsData[CFDA]), 0)), "")</f>
        <v/>
      </c>
      <c r="E25" s="25" t="str">
        <f t="array" ref="E25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5" s="26" t="str">
        <f t="array" ref="F25">IFERROR(INDEX(BudgetAppropData[President % Change], MATCH(1, (Table11[[#This Row],[Unique CFDA]] = BudgetAppropData[CFDA])*(SelectBudgetYear = BudgetAppropData[Fiscal Year]), 0)), "")</f>
        <v/>
      </c>
      <c r="G25" s="25" t="str">
        <f>IF(Table11[[#This Row],[Unique CFDA]] = "", "", IFERROR(Table11[[#This Row],[FY 2018 Total]]*Table11[[#This Row],[President % Change]], ""))</f>
        <v/>
      </c>
      <c r="H25" s="26" t="str">
        <f t="array" ref="H25">IFERROR(INDEX(BudgetAppropData[House % Change], MATCH(1, (Table11[[#This Row],[Unique CFDA]] = BudgetAppropData[CFDA])*(SelectBudgetYear = BudgetAppropData[Fiscal Year]),0)), "")</f>
        <v/>
      </c>
      <c r="I25" s="25" t="str">
        <f>IF(Table11[[#This Row],[Unique CFDA]] = "", "", IFERROR(Table11[[#This Row],[FY 2018 Total]]*Table11[[#This Row],[House % Change]], ""))</f>
        <v/>
      </c>
      <c r="J25" s="6"/>
      <c r="K25" s="25" t="str">
        <f>IF(Table11[[#This Row],[Unique CFDA]] = "", "", IFERROR(Table11[[#This Row],[FY 2018 Total]]*Table11[[#This Row],[Senate Budget]], ""))</f>
        <v/>
      </c>
      <c r="L25" s="6" t="str">
        <f>IF(Table11[[#This Row],[Unique CFDA]] = "", "", IF(ISNUMBER(Table11[[#This Row],[President $ Change]]), RANK(Table11[[#This Row],[President $ Change]], Table11[President $ Change])+COUNTIF($G25:G25, G25)-1,0))</f>
        <v/>
      </c>
      <c r="N25">
        <v>22</v>
      </c>
      <c r="O25" t="str">
        <f>IFERROR(INDEX(Table11[Unique CFDA], MATCH(N25, Table11[Pres. Sort], 0)), "")</f>
        <v/>
      </c>
      <c r="P25" s="1" t="str">
        <f>IFERROR(INDEX(Table11[Grant Name], MATCH(MemberOrgFinalSort[[#This Row],[CFDA]], Table11[Unique CFDA], 0)), "")</f>
        <v/>
      </c>
      <c r="Q25" s="20" t="str">
        <f>IFERROR(INDEX(Table11[FY 2018 Total], MATCH(MemberOrgFinalSort[[#This Row],[CFDA]], Table11[Unique CFDA], 0)), "")</f>
        <v/>
      </c>
      <c r="R25" s="21" t="str">
        <f>IFERROR(INDEX(Table11[President % Change], MATCH(MemberOrgFinalSort[[#This Row],[CFDA]], Table11[Unique CFDA], 0)), "")</f>
        <v/>
      </c>
      <c r="S25" s="20" t="str">
        <f>IFERROR(INDEX(Table11[President $ Change], MATCH(MemberOrgFinalSort[[#This Row],[CFDA]], Table11[Unique CFDA], 0)), "")</f>
        <v/>
      </c>
      <c r="T25" s="32" t="str">
        <f>IFERROR(INDEX(Table11[House % Change], MATCH(MemberOrgFinalSort[[#This Row],[CFDA]], Table11[Unique CFDA], 0)), "")</f>
        <v/>
      </c>
      <c r="U25" s="32" t="str">
        <f>IFERROR(INDEX(Table11[House $ Change], MATCH(MemberOrgFinalSort[[#This Row],[CFDA]], Table11[Unique CFDA], 0)), "")</f>
        <v/>
      </c>
      <c r="V25" s="20"/>
      <c r="X25" s="6"/>
      <c r="Y25" s="6"/>
      <c r="Z25" s="6"/>
      <c r="AA25" s="6"/>
      <c r="AB25" s="6"/>
    </row>
    <row r="26" spans="1:28" x14ac:dyDescent="0.25">
      <c r="A26" t="str">
        <f>IF(MemberOrgControl!$C29 = "", "", INDEX(MemberOrgsData[CFDA], MemberOrgControl!$C29))</f>
        <v/>
      </c>
      <c r="C26" s="6" t="str">
        <f>IFERROR(INDEX(AllFilteredCFDAs[All CFDAs], MATCH(0, INDEX(COUNTIF($C$3:C25, AllFilteredCFDAs[All CFDAs]),),0)), "")</f>
        <v/>
      </c>
      <c r="D26" s="6" t="str">
        <f t="array" ref="D26">IFERROR(INDEX(MemberOrgsData[FEDERALPROGRAMNAME], MATCH(1, (SelectMemberOrgs = MemberOrgsData[Auditee Name])*(Table11[[#This Row],[Unique CFDA]] = MemberOrgsData[CFDA]), 0)), "")</f>
        <v/>
      </c>
      <c r="E26" s="25" t="str">
        <f t="array" ref="E26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6" s="26" t="str">
        <f t="array" ref="F26">IFERROR(INDEX(BudgetAppropData[President % Change], MATCH(1, (Table11[[#This Row],[Unique CFDA]] = BudgetAppropData[CFDA])*(SelectBudgetYear = BudgetAppropData[Fiscal Year]), 0)), "")</f>
        <v/>
      </c>
      <c r="G26" s="25" t="str">
        <f>IF(Table11[[#This Row],[Unique CFDA]] = "", "", IFERROR(Table11[[#This Row],[FY 2018 Total]]*Table11[[#This Row],[President % Change]], ""))</f>
        <v/>
      </c>
      <c r="H26" s="26" t="str">
        <f t="array" ref="H26">IFERROR(INDEX(BudgetAppropData[House % Change], MATCH(1, (Table11[[#This Row],[Unique CFDA]] = BudgetAppropData[CFDA])*(SelectBudgetYear = BudgetAppropData[Fiscal Year]),0)), "")</f>
        <v/>
      </c>
      <c r="I26" s="25" t="str">
        <f>IF(Table11[[#This Row],[Unique CFDA]] = "", "", IFERROR(Table11[[#This Row],[FY 2018 Total]]*Table11[[#This Row],[House % Change]], ""))</f>
        <v/>
      </c>
      <c r="J26" s="6"/>
      <c r="K26" s="25" t="str">
        <f>IF(Table11[[#This Row],[Unique CFDA]] = "", "", IFERROR(Table11[[#This Row],[FY 2018 Total]]*Table11[[#This Row],[Senate Budget]], ""))</f>
        <v/>
      </c>
      <c r="L26" s="6" t="str">
        <f>IF(Table11[[#This Row],[Unique CFDA]] = "", "", IF(ISNUMBER(Table11[[#This Row],[President $ Change]]), RANK(Table11[[#This Row],[President $ Change]], Table11[President $ Change])+COUNTIF($G26:G26, G26)-1,0))</f>
        <v/>
      </c>
      <c r="N26">
        <v>23</v>
      </c>
      <c r="O26" t="str">
        <f>IFERROR(INDEX(Table11[Unique CFDA], MATCH(N26, Table11[Pres. Sort], 0)), "")</f>
        <v/>
      </c>
      <c r="P26" s="1" t="str">
        <f>IFERROR(INDEX(Table11[Grant Name], MATCH(MemberOrgFinalSort[[#This Row],[CFDA]], Table11[Unique CFDA], 0)), "")</f>
        <v/>
      </c>
      <c r="Q26" s="20" t="str">
        <f>IFERROR(INDEX(Table11[FY 2018 Total], MATCH(MemberOrgFinalSort[[#This Row],[CFDA]], Table11[Unique CFDA], 0)), "")</f>
        <v/>
      </c>
      <c r="R26" s="21" t="str">
        <f>IFERROR(INDEX(Table11[President % Change], MATCH(MemberOrgFinalSort[[#This Row],[CFDA]], Table11[Unique CFDA], 0)), "")</f>
        <v/>
      </c>
      <c r="S26" s="20" t="str">
        <f>IFERROR(INDEX(Table11[President $ Change], MATCH(MemberOrgFinalSort[[#This Row],[CFDA]], Table11[Unique CFDA], 0)), "")</f>
        <v/>
      </c>
      <c r="T26" s="32" t="str">
        <f>IFERROR(INDEX(Table11[House % Change], MATCH(MemberOrgFinalSort[[#This Row],[CFDA]], Table11[Unique CFDA], 0)), "")</f>
        <v/>
      </c>
      <c r="U26" s="32" t="str">
        <f>IFERROR(INDEX(Table11[House $ Change], MATCH(MemberOrgFinalSort[[#This Row],[CFDA]], Table11[Unique CFDA], 0)), "")</f>
        <v/>
      </c>
      <c r="V26" s="20"/>
      <c r="X26" s="6"/>
      <c r="Y26" s="6"/>
      <c r="Z26" s="6"/>
      <c r="AA26" s="6"/>
      <c r="AB26" s="6"/>
    </row>
    <row r="27" spans="1:28" x14ac:dyDescent="0.25">
      <c r="A27" t="str">
        <f>IF(MemberOrgControl!$C30 = "", "", INDEX(MemberOrgsData[CFDA], MemberOrgControl!$C30))</f>
        <v/>
      </c>
      <c r="C27" s="6" t="str">
        <f>IFERROR(INDEX(AllFilteredCFDAs[All CFDAs], MATCH(0, INDEX(COUNTIF($C$3:C26, AllFilteredCFDAs[All CFDAs]),),0)), "")</f>
        <v/>
      </c>
      <c r="D27" s="6" t="str">
        <f t="array" ref="D27">IFERROR(INDEX(MemberOrgsData[FEDERALPROGRAMNAME], MATCH(1, (SelectMemberOrgs = MemberOrgsData[Auditee Name])*(Table11[[#This Row],[Unique CFDA]] = MemberOrgsData[CFDA]), 0)), "")</f>
        <v/>
      </c>
      <c r="E27" s="25" t="str">
        <f t="array" ref="E27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7" s="26" t="str">
        <f t="array" ref="F27">IFERROR(INDEX(BudgetAppropData[President % Change], MATCH(1, (Table11[[#This Row],[Unique CFDA]] = BudgetAppropData[CFDA])*(SelectBudgetYear = BudgetAppropData[Fiscal Year]), 0)), "")</f>
        <v/>
      </c>
      <c r="G27" s="25" t="str">
        <f>IF(Table11[[#This Row],[Unique CFDA]] = "", "", IFERROR(Table11[[#This Row],[FY 2018 Total]]*Table11[[#This Row],[President % Change]], ""))</f>
        <v/>
      </c>
      <c r="H27" s="26" t="str">
        <f t="array" ref="H27">IFERROR(INDEX(BudgetAppropData[House % Change], MATCH(1, (Table11[[#This Row],[Unique CFDA]] = BudgetAppropData[CFDA])*(SelectBudgetYear = BudgetAppropData[Fiscal Year]),0)), "")</f>
        <v/>
      </c>
      <c r="I27" s="25" t="str">
        <f>IF(Table11[[#This Row],[Unique CFDA]] = "", "", IFERROR(Table11[[#This Row],[FY 2018 Total]]*Table11[[#This Row],[House % Change]], ""))</f>
        <v/>
      </c>
      <c r="J27" s="6"/>
      <c r="K27" s="25" t="str">
        <f>IF(Table11[[#This Row],[Unique CFDA]] = "", "", IFERROR(Table11[[#This Row],[FY 2018 Total]]*Table11[[#This Row],[Senate Budget]], ""))</f>
        <v/>
      </c>
      <c r="L27" s="6" t="str">
        <f>IF(Table11[[#This Row],[Unique CFDA]] = "", "", IF(ISNUMBER(Table11[[#This Row],[President $ Change]]), RANK(Table11[[#This Row],[President $ Change]], Table11[President $ Change])+COUNTIF($G27:G27, G27)-1,0))</f>
        <v/>
      </c>
      <c r="N27">
        <v>24</v>
      </c>
      <c r="O27" t="str">
        <f>IFERROR(INDEX(Table11[Unique CFDA], MATCH(N27, Table11[Pres. Sort], 0)), "")</f>
        <v/>
      </c>
      <c r="P27" s="1" t="str">
        <f>IFERROR(INDEX(Table11[Grant Name], MATCH(MemberOrgFinalSort[[#This Row],[CFDA]], Table11[Unique CFDA], 0)), "")</f>
        <v/>
      </c>
      <c r="Q27" s="20" t="str">
        <f>IFERROR(INDEX(Table11[FY 2018 Total], MATCH(MemberOrgFinalSort[[#This Row],[CFDA]], Table11[Unique CFDA], 0)), "")</f>
        <v/>
      </c>
      <c r="R27" s="21" t="str">
        <f>IFERROR(INDEX(Table11[President % Change], MATCH(MemberOrgFinalSort[[#This Row],[CFDA]], Table11[Unique CFDA], 0)), "")</f>
        <v/>
      </c>
      <c r="S27" s="20" t="str">
        <f>IFERROR(INDEX(Table11[President $ Change], MATCH(MemberOrgFinalSort[[#This Row],[CFDA]], Table11[Unique CFDA], 0)), "")</f>
        <v/>
      </c>
      <c r="T27" s="32" t="str">
        <f>IFERROR(INDEX(Table11[House % Change], MATCH(MemberOrgFinalSort[[#This Row],[CFDA]], Table11[Unique CFDA], 0)), "")</f>
        <v/>
      </c>
      <c r="U27" s="32" t="str">
        <f>IFERROR(INDEX(Table11[House $ Change], MATCH(MemberOrgFinalSort[[#This Row],[CFDA]], Table11[Unique CFDA], 0)), "")</f>
        <v/>
      </c>
      <c r="V27" s="20"/>
      <c r="X27" s="6"/>
      <c r="Y27" s="6"/>
      <c r="Z27" s="6"/>
      <c r="AA27" s="6"/>
      <c r="AB27" s="6"/>
    </row>
    <row r="28" spans="1:28" x14ac:dyDescent="0.25">
      <c r="A28" t="str">
        <f>IF(MemberOrgControl!$C31 = "", "", INDEX(MemberOrgsData[CFDA], MemberOrgControl!$C31))</f>
        <v/>
      </c>
      <c r="C28" s="6" t="str">
        <f>IFERROR(INDEX(AllFilteredCFDAs[All CFDAs], MATCH(0, INDEX(COUNTIF($C$3:C27, AllFilteredCFDAs[All CFDAs]),),0)), "")</f>
        <v/>
      </c>
      <c r="D28" s="6" t="str">
        <f t="array" ref="D28">IFERROR(INDEX(MemberOrgsData[FEDERALPROGRAMNAME], MATCH(1, (SelectMemberOrgs = MemberOrgsData[Auditee Name])*(Table11[[#This Row],[Unique CFDA]] = MemberOrgsData[CFDA]), 0)), "")</f>
        <v/>
      </c>
      <c r="E28" s="25" t="str">
        <f t="array" ref="E28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8" s="26" t="str">
        <f t="array" ref="F28">IFERROR(INDEX(BudgetAppropData[President % Change], MATCH(1, (Table11[[#This Row],[Unique CFDA]] = BudgetAppropData[CFDA])*(SelectBudgetYear = BudgetAppropData[Fiscal Year]), 0)), "")</f>
        <v/>
      </c>
      <c r="G28" s="25" t="str">
        <f>IF(Table11[[#This Row],[Unique CFDA]] = "", "", IFERROR(Table11[[#This Row],[FY 2018 Total]]*Table11[[#This Row],[President % Change]], ""))</f>
        <v/>
      </c>
      <c r="H28" s="26" t="str">
        <f t="array" ref="H28">IFERROR(INDEX(BudgetAppropData[House % Change], MATCH(1, (Table11[[#This Row],[Unique CFDA]] = BudgetAppropData[CFDA])*(SelectBudgetYear = BudgetAppropData[Fiscal Year]),0)), "")</f>
        <v/>
      </c>
      <c r="I28" s="25" t="str">
        <f>IF(Table11[[#This Row],[Unique CFDA]] = "", "", IFERROR(Table11[[#This Row],[FY 2018 Total]]*Table11[[#This Row],[House % Change]], ""))</f>
        <v/>
      </c>
      <c r="J28" s="6"/>
      <c r="K28" s="25" t="str">
        <f>IF(Table11[[#This Row],[Unique CFDA]] = "", "", IFERROR(Table11[[#This Row],[FY 2018 Total]]*Table11[[#This Row],[Senate Budget]], ""))</f>
        <v/>
      </c>
      <c r="L28" s="6" t="str">
        <f>IF(Table11[[#This Row],[Unique CFDA]] = "", "", IF(ISNUMBER(Table11[[#This Row],[President $ Change]]), RANK(Table11[[#This Row],[President $ Change]], Table11[President $ Change])+COUNTIF($G28:G28, G28)-1,0))</f>
        <v/>
      </c>
      <c r="N28">
        <v>25</v>
      </c>
      <c r="O28" t="str">
        <f>IFERROR(INDEX(Table11[Unique CFDA], MATCH(N28, Table11[Pres. Sort], 0)), "")</f>
        <v/>
      </c>
      <c r="P28" s="1" t="str">
        <f>IFERROR(INDEX(Table11[Grant Name], MATCH(MemberOrgFinalSort[[#This Row],[CFDA]], Table11[Unique CFDA], 0)), "")</f>
        <v/>
      </c>
      <c r="Q28" s="20" t="str">
        <f>IFERROR(INDEX(Table11[FY 2018 Total], MATCH(MemberOrgFinalSort[[#This Row],[CFDA]], Table11[Unique CFDA], 0)), "")</f>
        <v/>
      </c>
      <c r="R28" s="21" t="str">
        <f>IFERROR(INDEX(Table11[President % Change], MATCH(MemberOrgFinalSort[[#This Row],[CFDA]], Table11[Unique CFDA], 0)), "")</f>
        <v/>
      </c>
      <c r="S28" s="20" t="str">
        <f>IFERROR(INDEX(Table11[President $ Change], MATCH(MemberOrgFinalSort[[#This Row],[CFDA]], Table11[Unique CFDA], 0)), "")</f>
        <v/>
      </c>
      <c r="T28" s="32" t="str">
        <f>IFERROR(INDEX(Table11[House % Change], MATCH(MemberOrgFinalSort[[#This Row],[CFDA]], Table11[Unique CFDA], 0)), "")</f>
        <v/>
      </c>
      <c r="U28" s="32" t="str">
        <f>IFERROR(INDEX(Table11[House $ Change], MATCH(MemberOrgFinalSort[[#This Row],[CFDA]], Table11[Unique CFDA], 0)), "")</f>
        <v/>
      </c>
      <c r="V28" s="20"/>
      <c r="X28" s="6"/>
      <c r="Y28" s="6"/>
      <c r="Z28" s="6"/>
      <c r="AA28" s="6"/>
      <c r="AB28" s="6"/>
    </row>
    <row r="29" spans="1:28" x14ac:dyDescent="0.25">
      <c r="A29" t="str">
        <f>IF(MemberOrgControl!$C32 = "", "", INDEX(MemberOrgsData[CFDA], MemberOrgControl!$C32))</f>
        <v/>
      </c>
      <c r="C29" s="6" t="str">
        <f>IFERROR(INDEX(AllFilteredCFDAs[All CFDAs], MATCH(0, INDEX(COUNTIF($C$3:C28, AllFilteredCFDAs[All CFDAs]),),0)), "")</f>
        <v/>
      </c>
      <c r="D29" s="6" t="str">
        <f t="array" ref="D29">IFERROR(INDEX(MemberOrgsData[FEDERALPROGRAMNAME], MATCH(1, (SelectMemberOrgs = MemberOrgsData[Auditee Name])*(Table11[[#This Row],[Unique CFDA]] = MemberOrgsData[CFDA]), 0)), "")</f>
        <v/>
      </c>
      <c r="E29" s="25" t="str">
        <f t="array" ref="E29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9" s="26" t="str">
        <f t="array" ref="F29">IFERROR(INDEX(BudgetAppropData[President % Change], MATCH(1, (Table11[[#This Row],[Unique CFDA]] = BudgetAppropData[CFDA])*(SelectBudgetYear = BudgetAppropData[Fiscal Year]), 0)), "")</f>
        <v/>
      </c>
      <c r="G29" s="25" t="str">
        <f>IF(Table11[[#This Row],[Unique CFDA]] = "", "", IFERROR(Table11[[#This Row],[FY 2018 Total]]*Table11[[#This Row],[President % Change]], ""))</f>
        <v/>
      </c>
      <c r="H29" s="26" t="str">
        <f t="array" ref="H29">IFERROR(INDEX(BudgetAppropData[House % Change], MATCH(1, (Table11[[#This Row],[Unique CFDA]] = BudgetAppropData[CFDA])*(SelectBudgetYear = BudgetAppropData[Fiscal Year]),0)), "")</f>
        <v/>
      </c>
      <c r="I29" s="25" t="str">
        <f>IF(Table11[[#This Row],[Unique CFDA]] = "", "", IFERROR(Table11[[#This Row],[FY 2018 Total]]*Table11[[#This Row],[House % Change]], ""))</f>
        <v/>
      </c>
      <c r="J29" s="6"/>
      <c r="K29" s="25" t="str">
        <f>IF(Table11[[#This Row],[Unique CFDA]] = "", "", IFERROR(Table11[[#This Row],[FY 2018 Total]]*Table11[[#This Row],[Senate Budget]], ""))</f>
        <v/>
      </c>
      <c r="L29" s="6" t="str">
        <f>IF(Table11[[#This Row],[Unique CFDA]] = "", "", IF(ISNUMBER(Table11[[#This Row],[President $ Change]]), RANK(Table11[[#This Row],[President $ Change]], Table11[President $ Change])+COUNTIF($G29:G29, G29)-1,0))</f>
        <v/>
      </c>
      <c r="N29">
        <v>26</v>
      </c>
      <c r="O29" t="str">
        <f>IFERROR(INDEX(Table11[Unique CFDA], MATCH(N29, Table11[Pres. Sort], 0)), "")</f>
        <v/>
      </c>
      <c r="P29" s="1" t="str">
        <f>IFERROR(INDEX(Table11[Grant Name], MATCH(MemberOrgFinalSort[[#This Row],[CFDA]], Table11[Unique CFDA], 0)), "")</f>
        <v/>
      </c>
      <c r="Q29" s="20" t="str">
        <f>IFERROR(INDEX(Table11[FY 2018 Total], MATCH(MemberOrgFinalSort[[#This Row],[CFDA]], Table11[Unique CFDA], 0)), "")</f>
        <v/>
      </c>
      <c r="R29" s="21" t="str">
        <f>IFERROR(INDEX(Table11[President % Change], MATCH(MemberOrgFinalSort[[#This Row],[CFDA]], Table11[Unique CFDA], 0)), "")</f>
        <v/>
      </c>
      <c r="S29" s="20" t="str">
        <f>IFERROR(INDEX(Table11[President $ Change], MATCH(MemberOrgFinalSort[[#This Row],[CFDA]], Table11[Unique CFDA], 0)), "")</f>
        <v/>
      </c>
      <c r="T29" s="32" t="str">
        <f>IFERROR(INDEX(Table11[House % Change], MATCH(MemberOrgFinalSort[[#This Row],[CFDA]], Table11[Unique CFDA], 0)), "")</f>
        <v/>
      </c>
      <c r="U29" s="32" t="str">
        <f>IFERROR(INDEX(Table11[House $ Change], MATCH(MemberOrgFinalSort[[#This Row],[CFDA]], Table11[Unique CFDA], 0)), "")</f>
        <v/>
      </c>
      <c r="V29" s="20"/>
      <c r="X29" s="6"/>
      <c r="Y29" s="6"/>
      <c r="Z29" s="6"/>
      <c r="AA29" s="6"/>
      <c r="AB29" s="6"/>
    </row>
    <row r="30" spans="1:28" x14ac:dyDescent="0.25">
      <c r="A30" t="str">
        <f>IF(MemberOrgControl!$C33 = "", "", INDEX(MemberOrgsData[CFDA], MemberOrgControl!$C33))</f>
        <v/>
      </c>
      <c r="C30" s="6" t="str">
        <f>IFERROR(INDEX(AllFilteredCFDAs[All CFDAs], MATCH(0, INDEX(COUNTIF($C$3:C29, AllFilteredCFDAs[All CFDAs]),),0)), "")</f>
        <v/>
      </c>
      <c r="D30" s="6" t="str">
        <f t="array" ref="D30">IFERROR(INDEX(MemberOrgsData[FEDERALPROGRAMNAME], MATCH(1, (SelectMemberOrgs = MemberOrgsData[Auditee Name])*(Table11[[#This Row],[Unique CFDA]] = MemberOrgsData[CFDA]), 0)), "")</f>
        <v/>
      </c>
      <c r="E30" s="25" t="str">
        <f t="array" ref="E30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30" s="26" t="str">
        <f t="array" ref="F30">IFERROR(INDEX(BudgetAppropData[President % Change], MATCH(1, (Table11[[#This Row],[Unique CFDA]] = BudgetAppropData[CFDA])*(SelectBudgetYear = BudgetAppropData[Fiscal Year]), 0)), "")</f>
        <v/>
      </c>
      <c r="G30" s="25" t="str">
        <f>IF(Table11[[#This Row],[Unique CFDA]] = "", "", IFERROR(Table11[[#This Row],[FY 2018 Total]]*Table11[[#This Row],[President % Change]], ""))</f>
        <v/>
      </c>
      <c r="H30" s="26" t="str">
        <f t="array" ref="H30">IFERROR(INDEX(BudgetAppropData[House % Change], MATCH(1, (Table11[[#This Row],[Unique CFDA]] = BudgetAppropData[CFDA])*(SelectBudgetYear = BudgetAppropData[Fiscal Year]),0)), "")</f>
        <v/>
      </c>
      <c r="I30" s="25" t="str">
        <f>IF(Table11[[#This Row],[Unique CFDA]] = "", "", IFERROR(Table11[[#This Row],[FY 2018 Total]]*Table11[[#This Row],[House % Change]], ""))</f>
        <v/>
      </c>
      <c r="J30" s="6"/>
      <c r="K30" s="25" t="str">
        <f>IF(Table11[[#This Row],[Unique CFDA]] = "", "", IFERROR(Table11[[#This Row],[FY 2018 Total]]*Table11[[#This Row],[Senate Budget]], ""))</f>
        <v/>
      </c>
      <c r="L30" s="6" t="str">
        <f>IF(Table11[[#This Row],[Unique CFDA]] = "", "", IF(ISNUMBER(Table11[[#This Row],[President $ Change]]), RANK(Table11[[#This Row],[President $ Change]], Table11[President $ Change])+COUNTIF($G30:G30, G30)-1,0))</f>
        <v/>
      </c>
      <c r="N30">
        <v>27</v>
      </c>
      <c r="O30" t="str">
        <f>IFERROR(INDEX(Table11[Unique CFDA], MATCH(N30, Table11[Pres. Sort], 0)), "")</f>
        <v/>
      </c>
      <c r="P30" s="1" t="str">
        <f>IFERROR(INDEX(Table11[Grant Name], MATCH(MemberOrgFinalSort[[#This Row],[CFDA]], Table11[Unique CFDA], 0)), "")</f>
        <v/>
      </c>
      <c r="Q30" s="20" t="str">
        <f>IFERROR(INDEX(Table11[FY 2018 Total], MATCH(MemberOrgFinalSort[[#This Row],[CFDA]], Table11[Unique CFDA], 0)), "")</f>
        <v/>
      </c>
      <c r="R30" s="21" t="str">
        <f>IFERROR(INDEX(Table11[President % Change], MATCH(MemberOrgFinalSort[[#This Row],[CFDA]], Table11[Unique CFDA], 0)), "")</f>
        <v/>
      </c>
      <c r="S30" s="20" t="str">
        <f>IFERROR(INDEX(Table11[President $ Change], MATCH(MemberOrgFinalSort[[#This Row],[CFDA]], Table11[Unique CFDA], 0)), "")</f>
        <v/>
      </c>
      <c r="T30" s="32" t="str">
        <f>IFERROR(INDEX(Table11[House % Change], MATCH(MemberOrgFinalSort[[#This Row],[CFDA]], Table11[Unique CFDA], 0)), "")</f>
        <v/>
      </c>
      <c r="U30" s="32" t="str">
        <f>IFERROR(INDEX(Table11[House $ Change], MATCH(MemberOrgFinalSort[[#This Row],[CFDA]], Table11[Unique CFDA], 0)), "")</f>
        <v/>
      </c>
      <c r="V30" s="20"/>
      <c r="X30" s="6"/>
      <c r="Y30" s="6"/>
      <c r="Z30" s="6"/>
      <c r="AA30" s="6"/>
      <c r="AB30" s="6"/>
    </row>
    <row r="31" spans="1:28" x14ac:dyDescent="0.25">
      <c r="A31" t="str">
        <f>IF(MemberOrgControl!$C34 = "", "", INDEX(MemberOrgsData[CFDA], MemberOrgControl!$C34))</f>
        <v/>
      </c>
      <c r="C31" s="6" t="str">
        <f>IFERROR(INDEX(AllFilteredCFDAs[All CFDAs], MATCH(0, INDEX(COUNTIF($C$3:C30, AllFilteredCFDAs[All CFDAs]),),0)), "")</f>
        <v/>
      </c>
      <c r="D31" s="6" t="str">
        <f t="array" ref="D31">IFERROR(INDEX(MemberOrgsData[FEDERALPROGRAMNAME], MATCH(1, (SelectMemberOrgs = MemberOrgsData[Auditee Name])*(Table11[[#This Row],[Unique CFDA]] = MemberOrgsData[CFDA]), 0)), "")</f>
        <v/>
      </c>
      <c r="E31" s="25" t="str">
        <f t="array" ref="E31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31" s="26" t="str">
        <f t="array" ref="F31">IFERROR(INDEX(BudgetAppropData[President % Change], MATCH(1, (Table11[[#This Row],[Unique CFDA]] = BudgetAppropData[CFDA])*(SelectBudgetYear = BudgetAppropData[Fiscal Year]), 0)), "")</f>
        <v/>
      </c>
      <c r="G31" s="25" t="str">
        <f>IF(Table11[[#This Row],[Unique CFDA]] = "", "", IFERROR(Table11[[#This Row],[FY 2018 Total]]*Table11[[#This Row],[President % Change]], ""))</f>
        <v/>
      </c>
      <c r="H31" s="26" t="str">
        <f t="array" ref="H31">IFERROR(INDEX(BudgetAppropData[House % Change], MATCH(1, (Table11[[#This Row],[Unique CFDA]] = BudgetAppropData[CFDA])*(SelectBudgetYear = BudgetAppropData[Fiscal Year]),0)), "")</f>
        <v/>
      </c>
      <c r="I31" s="25" t="str">
        <f>IF(Table11[[#This Row],[Unique CFDA]] = "", "", IFERROR(Table11[[#This Row],[FY 2018 Total]]*Table11[[#This Row],[House % Change]], ""))</f>
        <v/>
      </c>
      <c r="J31" s="6"/>
      <c r="K31" s="25" t="str">
        <f>IF(Table11[[#This Row],[Unique CFDA]] = "", "", IFERROR(Table11[[#This Row],[FY 2018 Total]]*Table11[[#This Row],[Senate Budget]], ""))</f>
        <v/>
      </c>
      <c r="L31" s="6" t="str">
        <f>IF(Table11[[#This Row],[Unique CFDA]] = "", "", IF(ISNUMBER(Table11[[#This Row],[President $ Change]]), RANK(Table11[[#This Row],[President $ Change]], Table11[President $ Change])+COUNTIF($G31:G31, G31)-1,0))</f>
        <v/>
      </c>
      <c r="N31">
        <v>28</v>
      </c>
      <c r="O31" t="str">
        <f>IFERROR(INDEX(Table11[Unique CFDA], MATCH(N31, Table11[Pres. Sort], 0)), "")</f>
        <v/>
      </c>
      <c r="P31" s="1" t="str">
        <f>IFERROR(INDEX(Table11[Grant Name], MATCH(MemberOrgFinalSort[[#This Row],[CFDA]], Table11[Unique CFDA], 0)), "")</f>
        <v/>
      </c>
      <c r="Q31" s="20" t="str">
        <f>IFERROR(INDEX(Table11[FY 2018 Total], MATCH(MemberOrgFinalSort[[#This Row],[CFDA]], Table11[Unique CFDA], 0)), "")</f>
        <v/>
      </c>
      <c r="R31" s="21" t="str">
        <f>IFERROR(INDEX(Table11[President % Change], MATCH(MemberOrgFinalSort[[#This Row],[CFDA]], Table11[Unique CFDA], 0)), "")</f>
        <v/>
      </c>
      <c r="S31" s="20" t="str">
        <f>IFERROR(INDEX(Table11[President $ Change], MATCH(MemberOrgFinalSort[[#This Row],[CFDA]], Table11[Unique CFDA], 0)), "")</f>
        <v/>
      </c>
      <c r="T31" s="32" t="str">
        <f>IFERROR(INDEX(Table11[House % Change], MATCH(MemberOrgFinalSort[[#This Row],[CFDA]], Table11[Unique CFDA], 0)), "")</f>
        <v/>
      </c>
      <c r="U31" s="32" t="str">
        <f>IFERROR(INDEX(Table11[House $ Change], MATCH(MemberOrgFinalSort[[#This Row],[CFDA]], Table11[Unique CFDA], 0)), "")</f>
        <v/>
      </c>
      <c r="V31" s="20"/>
      <c r="X31" s="6"/>
      <c r="Y31" s="6"/>
      <c r="Z31" s="6"/>
      <c r="AA31" s="6"/>
      <c r="AB31" s="6"/>
    </row>
    <row r="32" spans="1:28" x14ac:dyDescent="0.25">
      <c r="A32" t="str">
        <f>IF(MemberOrgControl!$C35 = "", "", INDEX(MemberOrgsData[CFDA], MemberOrgControl!$C35))</f>
        <v/>
      </c>
      <c r="C32" s="6" t="str">
        <f>IFERROR(INDEX(AllFilteredCFDAs[All CFDAs], MATCH(0, INDEX(COUNTIF($C$3:C31, AllFilteredCFDAs[All CFDAs]),),0)), "")</f>
        <v/>
      </c>
      <c r="D32" s="6" t="str">
        <f t="array" ref="D32">IFERROR(INDEX(MemberOrgsData[FEDERALPROGRAMNAME], MATCH(1, (SelectMemberOrgs = MemberOrgsData[Auditee Name])*(Table11[[#This Row],[Unique CFDA]] = MemberOrgsData[CFDA]), 0)), "")</f>
        <v/>
      </c>
      <c r="E32" s="25" t="str">
        <f t="array" ref="E32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32" s="26" t="str">
        <f t="array" ref="F32">IFERROR(INDEX(BudgetAppropData[President % Change], MATCH(1, (Table11[[#This Row],[Unique CFDA]] = BudgetAppropData[CFDA])*(SelectBudgetYear = BudgetAppropData[Fiscal Year]), 0)), "")</f>
        <v/>
      </c>
      <c r="G32" s="25" t="str">
        <f>IF(Table11[[#This Row],[Unique CFDA]] = "", "", IFERROR(Table11[[#This Row],[FY 2018 Total]]*Table11[[#This Row],[President % Change]], ""))</f>
        <v/>
      </c>
      <c r="H32" s="26" t="str">
        <f t="array" ref="H32">IFERROR(INDEX(BudgetAppropData[House % Change], MATCH(1, (Table11[[#This Row],[Unique CFDA]] = BudgetAppropData[CFDA])*(SelectBudgetYear = BudgetAppropData[Fiscal Year]),0)), "")</f>
        <v/>
      </c>
      <c r="I32" s="25" t="str">
        <f>IF(Table11[[#This Row],[Unique CFDA]] = "", "", IFERROR(Table11[[#This Row],[FY 2018 Total]]*Table11[[#This Row],[House % Change]], ""))</f>
        <v/>
      </c>
      <c r="J32" s="6"/>
      <c r="K32" s="25" t="str">
        <f>IF(Table11[[#This Row],[Unique CFDA]] = "", "", IFERROR(Table11[[#This Row],[FY 2018 Total]]*Table11[[#This Row],[Senate Budget]], ""))</f>
        <v/>
      </c>
      <c r="L32" s="6" t="str">
        <f>IF(Table11[[#This Row],[Unique CFDA]] = "", "", IF(ISNUMBER(Table11[[#This Row],[President $ Change]]), RANK(Table11[[#This Row],[President $ Change]], Table11[President $ Change])+COUNTIF($G32:G32, G32)-1,0))</f>
        <v/>
      </c>
      <c r="N32">
        <v>29</v>
      </c>
      <c r="O32" t="str">
        <f>IFERROR(INDEX(Table11[Unique CFDA], MATCH(N32, Table11[Pres. Sort], 0)), "")</f>
        <v/>
      </c>
      <c r="P32" s="1" t="str">
        <f>IFERROR(INDEX(Table11[Grant Name], MATCH(MemberOrgFinalSort[[#This Row],[CFDA]], Table11[Unique CFDA], 0)), "")</f>
        <v/>
      </c>
      <c r="Q32" s="20" t="str">
        <f>IFERROR(INDEX(Table11[FY 2018 Total], MATCH(MemberOrgFinalSort[[#This Row],[CFDA]], Table11[Unique CFDA], 0)), "")</f>
        <v/>
      </c>
      <c r="R32" s="21" t="str">
        <f>IFERROR(INDEX(Table11[President % Change], MATCH(MemberOrgFinalSort[[#This Row],[CFDA]], Table11[Unique CFDA], 0)), "")</f>
        <v/>
      </c>
      <c r="S32" s="20" t="str">
        <f>IFERROR(INDEX(Table11[President $ Change], MATCH(MemberOrgFinalSort[[#This Row],[CFDA]], Table11[Unique CFDA], 0)), "")</f>
        <v/>
      </c>
      <c r="T32" s="32" t="str">
        <f>IFERROR(INDEX(Table11[House % Change], MATCH(MemberOrgFinalSort[[#This Row],[CFDA]], Table11[Unique CFDA], 0)), "")</f>
        <v/>
      </c>
      <c r="U32" s="32" t="str">
        <f>IFERROR(INDEX(Table11[House $ Change], MATCH(MemberOrgFinalSort[[#This Row],[CFDA]], Table11[Unique CFDA], 0)), "")</f>
        <v/>
      </c>
      <c r="V32" s="20"/>
      <c r="X32" s="6"/>
      <c r="Y32" s="6"/>
      <c r="Z32" s="6"/>
      <c r="AA32" s="6"/>
      <c r="AB32" s="6"/>
    </row>
    <row r="33" spans="1:28" x14ac:dyDescent="0.25">
      <c r="A33" t="str">
        <f>IF(MemberOrgControl!$C36 = "", "", INDEX(MemberOrgsData[CFDA], MemberOrgControl!$C36))</f>
        <v/>
      </c>
      <c r="C33" s="6" t="str">
        <f>IFERROR(INDEX(AllFilteredCFDAs[All CFDAs], MATCH(0, INDEX(COUNTIF($C$3:C32, AllFilteredCFDAs[All CFDAs]),),0)), "")</f>
        <v/>
      </c>
      <c r="D33" s="6" t="str">
        <f t="array" ref="D33">IFERROR(INDEX(MemberOrgsData[FEDERALPROGRAMNAME], MATCH(1, (SelectMemberOrgs = MemberOrgsData[Auditee Name])*(Table11[[#This Row],[Unique CFDA]] = MemberOrgsData[CFDA]), 0)), "")</f>
        <v/>
      </c>
      <c r="E33" s="25" t="str">
        <f t="array" ref="E33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33" s="26" t="str">
        <f t="array" ref="F33">IFERROR(INDEX(BudgetAppropData[President % Change], MATCH(1, (Table11[[#This Row],[Unique CFDA]] = BudgetAppropData[CFDA])*(SelectBudgetYear = BudgetAppropData[Fiscal Year]), 0)), "")</f>
        <v/>
      </c>
      <c r="G33" s="25" t="str">
        <f>IF(Table11[[#This Row],[Unique CFDA]] = "", "", IFERROR(Table11[[#This Row],[FY 2018 Total]]*Table11[[#This Row],[President % Change]], ""))</f>
        <v/>
      </c>
      <c r="H33" s="26" t="str">
        <f t="array" ref="H33">IFERROR(INDEX(BudgetAppropData[House % Change], MATCH(1, (Table11[[#This Row],[Unique CFDA]] = BudgetAppropData[CFDA])*(SelectBudgetYear = BudgetAppropData[Fiscal Year]),0)), "")</f>
        <v/>
      </c>
      <c r="I33" s="25" t="str">
        <f>IF(Table11[[#This Row],[Unique CFDA]] = "", "", IFERROR(Table11[[#This Row],[FY 2018 Total]]*Table11[[#This Row],[House % Change]], ""))</f>
        <v/>
      </c>
      <c r="J33" s="6"/>
      <c r="K33" s="25" t="str">
        <f>IF(Table11[[#This Row],[Unique CFDA]] = "", "", IFERROR(Table11[[#This Row],[FY 2018 Total]]*Table11[[#This Row],[Senate Budget]], ""))</f>
        <v/>
      </c>
      <c r="L33" s="6" t="str">
        <f>IF(Table11[[#This Row],[Unique CFDA]] = "", "", IF(ISNUMBER(Table11[[#This Row],[President $ Change]]), RANK(Table11[[#This Row],[President $ Change]], Table11[President $ Change])+COUNTIF($G33:G33, G33)-1,0))</f>
        <v/>
      </c>
      <c r="N33">
        <v>30</v>
      </c>
      <c r="O33" t="str">
        <f>IFERROR(INDEX(Table11[Unique CFDA], MATCH(N33, Table11[Pres. Sort], 0)), "")</f>
        <v/>
      </c>
      <c r="P33" s="1" t="str">
        <f>IFERROR(INDEX(Table11[Grant Name], MATCH(MemberOrgFinalSort[[#This Row],[CFDA]], Table11[Unique CFDA], 0)), "")</f>
        <v/>
      </c>
      <c r="Q33" s="20" t="str">
        <f>IFERROR(INDEX(Table11[FY 2018 Total], MATCH(MemberOrgFinalSort[[#This Row],[CFDA]], Table11[Unique CFDA], 0)), "")</f>
        <v/>
      </c>
      <c r="R33" s="21" t="str">
        <f>IFERROR(INDEX(Table11[President % Change], MATCH(MemberOrgFinalSort[[#This Row],[CFDA]], Table11[Unique CFDA], 0)), "")</f>
        <v/>
      </c>
      <c r="S33" s="20" t="str">
        <f>IFERROR(INDEX(Table11[President $ Change], MATCH(MemberOrgFinalSort[[#This Row],[CFDA]], Table11[Unique CFDA], 0)), "")</f>
        <v/>
      </c>
      <c r="T33" s="32" t="str">
        <f>IFERROR(INDEX(Table11[House % Change], MATCH(MemberOrgFinalSort[[#This Row],[CFDA]], Table11[Unique CFDA], 0)), "")</f>
        <v/>
      </c>
      <c r="U33" s="32" t="str">
        <f>IFERROR(INDEX(Table11[House $ Change], MATCH(MemberOrgFinalSort[[#This Row],[CFDA]], Table11[Unique CFDA], 0)), "")</f>
        <v/>
      </c>
      <c r="V33" s="20"/>
      <c r="X33" s="6"/>
      <c r="Y33" s="6"/>
      <c r="Z33" s="6"/>
      <c r="AA33" s="6"/>
      <c r="AB33" s="6"/>
    </row>
    <row r="34" spans="1:28" x14ac:dyDescent="0.25">
      <c r="A34" t="str">
        <f>IF(MemberOrgControl!$C37 = "", "", INDEX(MemberOrgsData[CFDA], MemberOrgControl!$C37))</f>
        <v/>
      </c>
      <c r="C34" s="6" t="str">
        <f>IFERROR(INDEX(AllFilteredCFDAs[All CFDAs], MATCH(0, INDEX(COUNTIF($C$3:C33, AllFilteredCFDAs[All CFDAs]),),0)), "")</f>
        <v/>
      </c>
      <c r="D34" s="6" t="str">
        <f t="array" ref="D34">IFERROR(INDEX(MemberOrgsData[FEDERALPROGRAMNAME], MATCH(1, (SelectMemberOrgs = MemberOrgsData[Auditee Name])*(Table11[[#This Row],[Unique CFDA]] = MemberOrgsData[CFDA]), 0)), "")</f>
        <v/>
      </c>
      <c r="E34" s="25" t="str">
        <f t="array" ref="E34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34" s="26" t="str">
        <f t="array" ref="F34">IFERROR(INDEX(BudgetAppropData[President % Change], MATCH(1, (Table11[[#This Row],[Unique CFDA]] = BudgetAppropData[CFDA])*(SelectBudgetYear = BudgetAppropData[Fiscal Year]), 0)), "")</f>
        <v/>
      </c>
      <c r="G34" s="25" t="str">
        <f>IF(Table11[[#This Row],[Unique CFDA]] = "", "", IFERROR(Table11[[#This Row],[FY 2018 Total]]*Table11[[#This Row],[President % Change]], ""))</f>
        <v/>
      </c>
      <c r="H34" s="26" t="str">
        <f t="array" ref="H34">IFERROR(INDEX(BudgetAppropData[House % Change], MATCH(1, (Table11[[#This Row],[Unique CFDA]] = BudgetAppropData[CFDA])*(SelectBudgetYear = BudgetAppropData[Fiscal Year]),0)), "")</f>
        <v/>
      </c>
      <c r="I34" s="25" t="str">
        <f>IF(Table11[[#This Row],[Unique CFDA]] = "", "", IFERROR(Table11[[#This Row],[FY 2018 Total]]*Table11[[#This Row],[House % Change]], ""))</f>
        <v/>
      </c>
      <c r="J34" s="6"/>
      <c r="K34" s="25" t="str">
        <f>IF(Table11[[#This Row],[Unique CFDA]] = "", "", IFERROR(Table11[[#This Row],[FY 2018 Total]]*Table11[[#This Row],[Senate Budget]], ""))</f>
        <v/>
      </c>
      <c r="L34" s="6" t="str">
        <f>IF(Table11[[#This Row],[Unique CFDA]] = "", "", IF(ISNUMBER(Table11[[#This Row],[President $ Change]]), RANK(Table11[[#This Row],[President $ Change]], Table11[President $ Change])+COUNTIF($G34:G34, G34)-1,0))</f>
        <v/>
      </c>
      <c r="N34">
        <v>31</v>
      </c>
      <c r="O34" t="str">
        <f>IFERROR(INDEX(Table11[Unique CFDA], MATCH(N34, Table11[Pres. Sort], 0)), "")</f>
        <v/>
      </c>
      <c r="P34" s="1" t="str">
        <f>IFERROR(INDEX(Table11[Grant Name], MATCH(MemberOrgFinalSort[[#This Row],[CFDA]], Table11[Unique CFDA], 0)), "")</f>
        <v/>
      </c>
      <c r="Q34" s="20" t="str">
        <f>IFERROR(INDEX(Table11[FY 2018 Total], MATCH(MemberOrgFinalSort[[#This Row],[CFDA]], Table11[Unique CFDA], 0)), "")</f>
        <v/>
      </c>
      <c r="R34" s="21" t="str">
        <f>IFERROR(INDEX(Table11[President % Change], MATCH(MemberOrgFinalSort[[#This Row],[CFDA]], Table11[Unique CFDA], 0)), "")</f>
        <v/>
      </c>
      <c r="S34" s="20" t="str">
        <f>IFERROR(INDEX(Table11[President $ Change], MATCH(MemberOrgFinalSort[[#This Row],[CFDA]], Table11[Unique CFDA], 0)), "")</f>
        <v/>
      </c>
      <c r="T34" s="32" t="str">
        <f>IFERROR(INDEX(Table11[House % Change], MATCH(MemberOrgFinalSort[[#This Row],[CFDA]], Table11[Unique CFDA], 0)), "")</f>
        <v/>
      </c>
      <c r="U34" s="32" t="str">
        <f>IFERROR(INDEX(Table11[House $ Change], MATCH(MemberOrgFinalSort[[#This Row],[CFDA]], Table11[Unique CFDA], 0)), "")</f>
        <v/>
      </c>
      <c r="V34" s="20"/>
      <c r="X34" s="6"/>
      <c r="Y34" s="6"/>
      <c r="Z34" s="6"/>
      <c r="AA34" s="6"/>
      <c r="AB34" s="6"/>
    </row>
    <row r="35" spans="1:28" x14ac:dyDescent="0.25">
      <c r="A35" t="str">
        <f>IF(MemberOrgControl!$C38 = "", "", INDEX(MemberOrgsData[CFDA], MemberOrgControl!$C38))</f>
        <v/>
      </c>
      <c r="C35" s="6" t="str">
        <f>IFERROR(INDEX(AllFilteredCFDAs[All CFDAs], MATCH(0, INDEX(COUNTIF($C$3:C34, AllFilteredCFDAs[All CFDAs]),),0)), "")</f>
        <v/>
      </c>
      <c r="D35" s="6" t="str">
        <f t="array" ref="D35">IFERROR(INDEX(MemberOrgsData[FEDERALPROGRAMNAME], MATCH(1, (SelectMemberOrgs = MemberOrgsData[Auditee Name])*(Table11[[#This Row],[Unique CFDA]] = MemberOrgsData[CFDA]), 0)), "")</f>
        <v/>
      </c>
      <c r="E35" s="25" t="str">
        <f t="array" ref="E35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35" s="26" t="str">
        <f t="array" ref="F35">IFERROR(INDEX(BudgetAppropData[President % Change], MATCH(1, (Table11[[#This Row],[Unique CFDA]] = BudgetAppropData[CFDA])*(SelectBudgetYear = BudgetAppropData[Fiscal Year]), 0)), "")</f>
        <v/>
      </c>
      <c r="G35" s="25" t="str">
        <f>IF(Table11[[#This Row],[Unique CFDA]] = "", "", IFERROR(Table11[[#This Row],[FY 2018 Total]]*Table11[[#This Row],[President % Change]], ""))</f>
        <v/>
      </c>
      <c r="H35" s="26" t="str">
        <f t="array" ref="H35">IFERROR(INDEX(BudgetAppropData[House % Change], MATCH(1, (Table11[[#This Row],[Unique CFDA]] = BudgetAppropData[CFDA])*(SelectBudgetYear = BudgetAppropData[Fiscal Year]),0)), "")</f>
        <v/>
      </c>
      <c r="I35" s="25" t="str">
        <f>IF(Table11[[#This Row],[Unique CFDA]] = "", "", IFERROR(Table11[[#This Row],[FY 2018 Total]]*Table11[[#This Row],[House % Change]], ""))</f>
        <v/>
      </c>
      <c r="J35" s="6"/>
      <c r="K35" s="25" t="str">
        <f>IF(Table11[[#This Row],[Unique CFDA]] = "", "", IFERROR(Table11[[#This Row],[FY 2018 Total]]*Table11[[#This Row],[Senate Budget]], ""))</f>
        <v/>
      </c>
      <c r="L35" s="6" t="str">
        <f>IF(Table11[[#This Row],[Unique CFDA]] = "", "", IF(ISNUMBER(Table11[[#This Row],[President $ Change]]), RANK(Table11[[#This Row],[President $ Change]], Table11[President $ Change])+COUNTIF($G35:G35, G35)-1,0))</f>
        <v/>
      </c>
      <c r="N35">
        <v>32</v>
      </c>
      <c r="O35" t="str">
        <f>IFERROR(INDEX(Table11[Unique CFDA], MATCH(N35, Table11[Pres. Sort], 0)), "")</f>
        <v/>
      </c>
      <c r="P35" s="1" t="str">
        <f>IFERROR(INDEX(Table11[Grant Name], MATCH(MemberOrgFinalSort[[#This Row],[CFDA]], Table11[Unique CFDA], 0)), "")</f>
        <v/>
      </c>
      <c r="Q35" s="20" t="str">
        <f>IFERROR(INDEX(Table11[FY 2018 Total], MATCH(MemberOrgFinalSort[[#This Row],[CFDA]], Table11[Unique CFDA], 0)), "")</f>
        <v/>
      </c>
      <c r="R35" s="21" t="str">
        <f>IFERROR(INDEX(Table11[President % Change], MATCH(MemberOrgFinalSort[[#This Row],[CFDA]], Table11[Unique CFDA], 0)), "")</f>
        <v/>
      </c>
      <c r="S35" s="20" t="str">
        <f>IFERROR(INDEX(Table11[President $ Change], MATCH(MemberOrgFinalSort[[#This Row],[CFDA]], Table11[Unique CFDA], 0)), "")</f>
        <v/>
      </c>
      <c r="T35" s="32" t="str">
        <f>IFERROR(INDEX(Table11[House % Change], MATCH(MemberOrgFinalSort[[#This Row],[CFDA]], Table11[Unique CFDA], 0)), "")</f>
        <v/>
      </c>
      <c r="U35" s="32" t="str">
        <f>IFERROR(INDEX(Table11[House $ Change], MATCH(MemberOrgFinalSort[[#This Row],[CFDA]], Table11[Unique CFDA], 0)), "")</f>
        <v/>
      </c>
      <c r="V35" s="20"/>
      <c r="X35" s="6"/>
      <c r="Y35" s="6"/>
      <c r="Z35" s="6"/>
      <c r="AA35" s="6"/>
      <c r="AB35" s="6"/>
    </row>
    <row r="36" spans="1:28" x14ac:dyDescent="0.25">
      <c r="A36" t="str">
        <f>IF(MemberOrgControl!$C39 = "", "", INDEX(MemberOrgsData[CFDA], MemberOrgControl!$C39))</f>
        <v/>
      </c>
      <c r="C36" s="6" t="str">
        <f>IFERROR(INDEX(AllFilteredCFDAs[All CFDAs], MATCH(0, INDEX(COUNTIF($C$3:C35, AllFilteredCFDAs[All CFDAs]),),0)), "")</f>
        <v/>
      </c>
      <c r="D36" s="6" t="str">
        <f t="array" ref="D36">IFERROR(INDEX(MemberOrgsData[FEDERALPROGRAMNAME], MATCH(1, (SelectMemberOrgs = MemberOrgsData[Auditee Name])*(Table11[[#This Row],[Unique CFDA]] = MemberOrgsData[CFDA]), 0)), "")</f>
        <v/>
      </c>
      <c r="E36" s="25" t="str">
        <f t="array" ref="E36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36" s="26" t="str">
        <f t="array" ref="F36">IFERROR(INDEX(BudgetAppropData[President % Change], MATCH(1, (Table11[[#This Row],[Unique CFDA]] = BudgetAppropData[CFDA])*(SelectBudgetYear = BudgetAppropData[Fiscal Year]), 0)), "")</f>
        <v/>
      </c>
      <c r="G36" s="25" t="str">
        <f>IF(Table11[[#This Row],[Unique CFDA]] = "", "", IFERROR(Table11[[#This Row],[FY 2018 Total]]*Table11[[#This Row],[President % Change]], ""))</f>
        <v/>
      </c>
      <c r="H36" s="26" t="str">
        <f t="array" ref="H36">IFERROR(INDEX(BudgetAppropData[House % Change], MATCH(1, (Table11[[#This Row],[Unique CFDA]] = BudgetAppropData[CFDA])*(SelectBudgetYear = BudgetAppropData[Fiscal Year]),0)), "")</f>
        <v/>
      </c>
      <c r="I36" s="25" t="str">
        <f>IF(Table11[[#This Row],[Unique CFDA]] = "", "", IFERROR(Table11[[#This Row],[FY 2018 Total]]*Table11[[#This Row],[House % Change]], ""))</f>
        <v/>
      </c>
      <c r="J36" s="6"/>
      <c r="K36" s="25" t="str">
        <f>IF(Table11[[#This Row],[Unique CFDA]] = "", "", IFERROR(Table11[[#This Row],[FY 2018 Total]]*Table11[[#This Row],[Senate Budget]], ""))</f>
        <v/>
      </c>
      <c r="L36" s="6" t="str">
        <f>IF(Table11[[#This Row],[Unique CFDA]] = "", "", IF(ISNUMBER(Table11[[#This Row],[President $ Change]]), RANK(Table11[[#This Row],[President $ Change]], Table11[President $ Change])+COUNTIF($G36:G36, G36)-1,0))</f>
        <v/>
      </c>
      <c r="N36">
        <v>33</v>
      </c>
      <c r="O36" t="str">
        <f>IFERROR(INDEX(Table11[Unique CFDA], MATCH(N36, Table11[Pres. Sort], 0)), "")</f>
        <v/>
      </c>
      <c r="P36" s="1" t="str">
        <f>IFERROR(INDEX(Table11[Grant Name], MATCH(MemberOrgFinalSort[[#This Row],[CFDA]], Table11[Unique CFDA], 0)), "")</f>
        <v/>
      </c>
      <c r="Q36" s="20" t="str">
        <f>IFERROR(INDEX(Table11[FY 2018 Total], MATCH(MemberOrgFinalSort[[#This Row],[CFDA]], Table11[Unique CFDA], 0)), "")</f>
        <v/>
      </c>
      <c r="R36" s="21" t="str">
        <f>IFERROR(INDEX(Table11[President % Change], MATCH(MemberOrgFinalSort[[#This Row],[CFDA]], Table11[Unique CFDA], 0)), "")</f>
        <v/>
      </c>
      <c r="S36" s="20" t="str">
        <f>IFERROR(INDEX(Table11[President $ Change], MATCH(MemberOrgFinalSort[[#This Row],[CFDA]], Table11[Unique CFDA], 0)), "")</f>
        <v/>
      </c>
      <c r="T36" s="32" t="str">
        <f>IFERROR(INDEX(Table11[House % Change], MATCH(MemberOrgFinalSort[[#This Row],[CFDA]], Table11[Unique CFDA], 0)), "")</f>
        <v/>
      </c>
      <c r="U36" s="32" t="str">
        <f>IFERROR(INDEX(Table11[House $ Change], MATCH(MemberOrgFinalSort[[#This Row],[CFDA]], Table11[Unique CFDA], 0)), "")</f>
        <v/>
      </c>
      <c r="V36" s="20"/>
      <c r="X36" s="6"/>
      <c r="Y36" s="6"/>
      <c r="Z36" s="6"/>
      <c r="AA36" s="6"/>
      <c r="AB36" s="6"/>
    </row>
    <row r="37" spans="1:28" x14ac:dyDescent="0.25">
      <c r="A37" t="str">
        <f>IF(MemberOrgControl!$C40 = "", "", INDEX(MemberOrgsData[CFDA], MemberOrgControl!$C40))</f>
        <v/>
      </c>
      <c r="C37" s="6" t="str">
        <f>IFERROR(INDEX(AllFilteredCFDAs[All CFDAs], MATCH(0, INDEX(COUNTIF($C$3:C36, AllFilteredCFDAs[All CFDAs]),),0)), "")</f>
        <v/>
      </c>
      <c r="D37" s="6" t="str">
        <f t="array" ref="D37">IFERROR(INDEX(MemberOrgsData[FEDERALPROGRAMNAME], MATCH(1, (SelectMemberOrgs = MemberOrgsData[Auditee Name])*(Table11[[#This Row],[Unique CFDA]] = MemberOrgsData[CFDA]), 0)), "")</f>
        <v/>
      </c>
      <c r="E37" s="25" t="str">
        <f t="array" ref="E37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37" s="26" t="str">
        <f t="array" ref="F37">IFERROR(INDEX(BudgetAppropData[President % Change], MATCH(1, (Table11[[#This Row],[Unique CFDA]] = BudgetAppropData[CFDA])*(SelectBudgetYear = BudgetAppropData[Fiscal Year]), 0)), "")</f>
        <v/>
      </c>
      <c r="G37" s="25" t="str">
        <f>IF(Table11[[#This Row],[Unique CFDA]] = "", "", IFERROR(Table11[[#This Row],[FY 2018 Total]]*Table11[[#This Row],[President % Change]], ""))</f>
        <v/>
      </c>
      <c r="H37" s="26" t="str">
        <f t="array" ref="H37">IFERROR(INDEX(BudgetAppropData[House % Change], MATCH(1, (Table11[[#This Row],[Unique CFDA]] = BudgetAppropData[CFDA])*(SelectBudgetYear = BudgetAppropData[Fiscal Year]),0)), "")</f>
        <v/>
      </c>
      <c r="I37" s="25" t="str">
        <f>IF(Table11[[#This Row],[Unique CFDA]] = "", "", IFERROR(Table11[[#This Row],[FY 2018 Total]]*Table11[[#This Row],[House % Change]], ""))</f>
        <v/>
      </c>
      <c r="J37" s="6"/>
      <c r="K37" s="25" t="str">
        <f>IF(Table11[[#This Row],[Unique CFDA]] = "", "", IFERROR(Table11[[#This Row],[FY 2018 Total]]*Table11[[#This Row],[Senate Budget]], ""))</f>
        <v/>
      </c>
      <c r="L37" s="6" t="str">
        <f>IF(Table11[[#This Row],[Unique CFDA]] = "", "", IF(ISNUMBER(Table11[[#This Row],[President $ Change]]), RANK(Table11[[#This Row],[President $ Change]], Table11[President $ Change])+COUNTIF($G37:G37, G37)-1,0))</f>
        <v/>
      </c>
      <c r="N37">
        <v>34</v>
      </c>
      <c r="O37" t="str">
        <f>IFERROR(INDEX(Table11[Unique CFDA], MATCH(N37, Table11[Pres. Sort], 0)), "")</f>
        <v/>
      </c>
      <c r="P37" s="1" t="str">
        <f>IFERROR(INDEX(Table11[Grant Name], MATCH(MemberOrgFinalSort[[#This Row],[CFDA]], Table11[Unique CFDA], 0)), "")</f>
        <v/>
      </c>
      <c r="Q37" s="20" t="str">
        <f>IFERROR(INDEX(Table11[FY 2018 Total], MATCH(MemberOrgFinalSort[[#This Row],[CFDA]], Table11[Unique CFDA], 0)), "")</f>
        <v/>
      </c>
      <c r="R37" s="21" t="str">
        <f>IFERROR(INDEX(Table11[President % Change], MATCH(MemberOrgFinalSort[[#This Row],[CFDA]], Table11[Unique CFDA], 0)), "")</f>
        <v/>
      </c>
      <c r="S37" s="20" t="str">
        <f>IFERROR(INDEX(Table11[President $ Change], MATCH(MemberOrgFinalSort[[#This Row],[CFDA]], Table11[Unique CFDA], 0)), "")</f>
        <v/>
      </c>
      <c r="T37" s="32" t="str">
        <f>IFERROR(INDEX(Table11[House % Change], MATCH(MemberOrgFinalSort[[#This Row],[CFDA]], Table11[Unique CFDA], 0)), "")</f>
        <v/>
      </c>
      <c r="U37" s="32" t="str">
        <f>IFERROR(INDEX(Table11[House $ Change], MATCH(MemberOrgFinalSort[[#This Row],[CFDA]], Table11[Unique CFDA], 0)), "")</f>
        <v/>
      </c>
      <c r="V37" s="20"/>
      <c r="X37" s="6"/>
      <c r="Y37" s="6"/>
      <c r="Z37" s="6"/>
      <c r="AA37" s="6"/>
      <c r="AB37" s="6"/>
    </row>
    <row r="38" spans="1:28" x14ac:dyDescent="0.25">
      <c r="A38" t="str">
        <f>IF(MemberOrgControl!$C41 = "", "", INDEX(MemberOrgsData[CFDA], MemberOrgControl!$C41))</f>
        <v/>
      </c>
      <c r="C38" s="6" t="str">
        <f>IFERROR(INDEX(AllFilteredCFDAs[All CFDAs], MATCH(0, INDEX(COUNTIF($C$3:C37, AllFilteredCFDAs[All CFDAs]),),0)), "")</f>
        <v/>
      </c>
      <c r="D38" s="6" t="str">
        <f t="array" ref="D38">IFERROR(INDEX(MemberOrgsData[FEDERALPROGRAMNAME], MATCH(1, (SelectMemberOrgs = MemberOrgsData[Auditee Name])*(Table11[[#This Row],[Unique CFDA]] = MemberOrgsData[CFDA]), 0)), "")</f>
        <v/>
      </c>
      <c r="E38" s="25" t="str">
        <f t="array" ref="E38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38" s="26" t="str">
        <f t="array" ref="F38">IFERROR(INDEX(BudgetAppropData[President % Change], MATCH(1, (Table11[[#This Row],[Unique CFDA]] = BudgetAppropData[CFDA])*(SelectBudgetYear = BudgetAppropData[Fiscal Year]), 0)), "")</f>
        <v/>
      </c>
      <c r="G38" s="25" t="str">
        <f>IF(Table11[[#This Row],[Unique CFDA]] = "", "", IFERROR(Table11[[#This Row],[FY 2018 Total]]*Table11[[#This Row],[President % Change]], ""))</f>
        <v/>
      </c>
      <c r="H38" s="26" t="str">
        <f t="array" ref="H38">IFERROR(INDEX(BudgetAppropData[House % Change], MATCH(1, (Table11[[#This Row],[Unique CFDA]] = BudgetAppropData[CFDA])*(SelectBudgetYear = BudgetAppropData[Fiscal Year]),0)), "")</f>
        <v/>
      </c>
      <c r="I38" s="25" t="str">
        <f>IF(Table11[[#This Row],[Unique CFDA]] = "", "", IFERROR(Table11[[#This Row],[FY 2018 Total]]*Table11[[#This Row],[House % Change]], ""))</f>
        <v/>
      </c>
      <c r="J38" s="6"/>
      <c r="K38" s="25" t="str">
        <f>IF(Table11[[#This Row],[Unique CFDA]] = "", "", IFERROR(Table11[[#This Row],[FY 2018 Total]]*Table11[[#This Row],[Senate Budget]], ""))</f>
        <v/>
      </c>
      <c r="L38" s="6" t="str">
        <f>IF(Table11[[#This Row],[Unique CFDA]] = "", "", IF(ISNUMBER(Table11[[#This Row],[President $ Change]]), RANK(Table11[[#This Row],[President $ Change]], Table11[President $ Change])+COUNTIF($G38:G38, G38)-1,0))</f>
        <v/>
      </c>
      <c r="N38">
        <v>35</v>
      </c>
      <c r="O38" t="str">
        <f>IFERROR(INDEX(Table11[Unique CFDA], MATCH(N38, Table11[Pres. Sort], 0)), "")</f>
        <v/>
      </c>
      <c r="P38" s="1" t="str">
        <f>IFERROR(INDEX(Table11[Grant Name], MATCH(MemberOrgFinalSort[[#This Row],[CFDA]], Table11[Unique CFDA], 0)), "")</f>
        <v/>
      </c>
      <c r="Q38" s="20" t="str">
        <f>IFERROR(INDEX(Table11[FY 2018 Total], MATCH(MemberOrgFinalSort[[#This Row],[CFDA]], Table11[Unique CFDA], 0)), "")</f>
        <v/>
      </c>
      <c r="R38" s="21" t="str">
        <f>IFERROR(INDEX(Table11[President % Change], MATCH(MemberOrgFinalSort[[#This Row],[CFDA]], Table11[Unique CFDA], 0)), "")</f>
        <v/>
      </c>
      <c r="S38" s="20" t="str">
        <f>IFERROR(INDEX(Table11[President $ Change], MATCH(MemberOrgFinalSort[[#This Row],[CFDA]], Table11[Unique CFDA], 0)), "")</f>
        <v/>
      </c>
      <c r="T38" s="32" t="str">
        <f>IFERROR(INDEX(Table11[House % Change], MATCH(MemberOrgFinalSort[[#This Row],[CFDA]], Table11[Unique CFDA], 0)), "")</f>
        <v/>
      </c>
      <c r="U38" s="32" t="str">
        <f>IFERROR(INDEX(Table11[House $ Change], MATCH(MemberOrgFinalSort[[#This Row],[CFDA]], Table11[Unique CFDA], 0)), "")</f>
        <v/>
      </c>
      <c r="V38" s="20"/>
      <c r="X38" s="6"/>
      <c r="Y38" s="6"/>
      <c r="Z38" s="6"/>
      <c r="AA38" s="6"/>
      <c r="AB38" s="6"/>
    </row>
    <row r="39" spans="1:28" x14ac:dyDescent="0.25">
      <c r="A39" t="str">
        <f>IF(MemberOrgControl!$C42 = "", "", INDEX(MemberOrgsData[CFDA], MemberOrgControl!$C42))</f>
        <v/>
      </c>
      <c r="C39" s="6" t="str">
        <f>IFERROR(INDEX(AllFilteredCFDAs[All CFDAs], MATCH(0, INDEX(COUNTIF($C$3:C38, AllFilteredCFDAs[All CFDAs]),),0)), "")</f>
        <v/>
      </c>
      <c r="D39" s="6" t="str">
        <f t="array" ref="D39">IFERROR(INDEX(MemberOrgsData[FEDERALPROGRAMNAME], MATCH(1, (SelectMemberOrgs = MemberOrgsData[Auditee Name])*(Table11[[#This Row],[Unique CFDA]] = MemberOrgsData[CFDA]), 0)), "")</f>
        <v/>
      </c>
      <c r="E39" s="25" t="str">
        <f t="array" ref="E39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39" s="26" t="str">
        <f t="array" ref="F39">IFERROR(INDEX(BudgetAppropData[President % Change], MATCH(1, (Table11[[#This Row],[Unique CFDA]] = BudgetAppropData[CFDA])*(SelectBudgetYear = BudgetAppropData[Fiscal Year]), 0)), "")</f>
        <v/>
      </c>
      <c r="G39" s="25" t="str">
        <f>IF(Table11[[#This Row],[Unique CFDA]] = "", "", IFERROR(Table11[[#This Row],[FY 2018 Total]]*Table11[[#This Row],[President % Change]], ""))</f>
        <v/>
      </c>
      <c r="H39" s="26" t="str">
        <f t="array" ref="H39">IFERROR(INDEX(BudgetAppropData[House % Change], MATCH(1, (Table11[[#This Row],[Unique CFDA]] = BudgetAppropData[CFDA])*(SelectBudgetYear = BudgetAppropData[Fiscal Year]),0)), "")</f>
        <v/>
      </c>
      <c r="I39" s="25" t="str">
        <f>IF(Table11[[#This Row],[Unique CFDA]] = "", "", IFERROR(Table11[[#This Row],[FY 2018 Total]]*Table11[[#This Row],[House % Change]], ""))</f>
        <v/>
      </c>
      <c r="J39" s="6"/>
      <c r="K39" s="25" t="str">
        <f>IF(Table11[[#This Row],[Unique CFDA]] = "", "", IFERROR(Table11[[#This Row],[FY 2018 Total]]*Table11[[#This Row],[Senate Budget]], ""))</f>
        <v/>
      </c>
      <c r="L39" s="6" t="str">
        <f>IF(Table11[[#This Row],[Unique CFDA]] = "", "", IF(ISNUMBER(Table11[[#This Row],[President $ Change]]), RANK(Table11[[#This Row],[President $ Change]], Table11[President $ Change])+COUNTIF($G39:G39, G39)-1,0))</f>
        <v/>
      </c>
      <c r="N39">
        <v>36</v>
      </c>
      <c r="O39" t="str">
        <f>IFERROR(INDEX(Table11[Unique CFDA], MATCH(N39, Table11[Pres. Sort], 0)), "")</f>
        <v/>
      </c>
      <c r="P39" s="1" t="str">
        <f>IFERROR(INDEX(Table11[Grant Name], MATCH(MemberOrgFinalSort[[#This Row],[CFDA]], Table11[Unique CFDA], 0)), "")</f>
        <v/>
      </c>
      <c r="Q39" s="20" t="str">
        <f>IFERROR(INDEX(Table11[FY 2018 Total], MATCH(MemberOrgFinalSort[[#This Row],[CFDA]], Table11[Unique CFDA], 0)), "")</f>
        <v/>
      </c>
      <c r="R39" s="21" t="str">
        <f>IFERROR(INDEX(Table11[President % Change], MATCH(MemberOrgFinalSort[[#This Row],[CFDA]], Table11[Unique CFDA], 0)), "")</f>
        <v/>
      </c>
      <c r="S39" s="20" t="str">
        <f>IFERROR(INDEX(Table11[President $ Change], MATCH(MemberOrgFinalSort[[#This Row],[CFDA]], Table11[Unique CFDA], 0)), "")</f>
        <v/>
      </c>
      <c r="T39" s="32" t="str">
        <f>IFERROR(INDEX(Table11[House % Change], MATCH(MemberOrgFinalSort[[#This Row],[CFDA]], Table11[Unique CFDA], 0)), "")</f>
        <v/>
      </c>
      <c r="U39" s="32" t="str">
        <f>IFERROR(INDEX(Table11[House $ Change], MATCH(MemberOrgFinalSort[[#This Row],[CFDA]], Table11[Unique CFDA], 0)), "")</f>
        <v/>
      </c>
      <c r="V39" s="20"/>
      <c r="X39" s="6"/>
      <c r="Y39" s="6"/>
      <c r="Z39" s="6"/>
      <c r="AA39" s="6"/>
      <c r="AB39" s="6"/>
    </row>
    <row r="40" spans="1:28" x14ac:dyDescent="0.25">
      <c r="A40" t="str">
        <f>IF(MemberOrgControl!$C43 = "", "", INDEX(MemberOrgsData[CFDA], MemberOrgControl!$C43))</f>
        <v/>
      </c>
      <c r="C40" s="6" t="str">
        <f>IFERROR(INDEX(AllFilteredCFDAs[All CFDAs], MATCH(0, INDEX(COUNTIF($C$3:C39, AllFilteredCFDAs[All CFDAs]),),0)), "")</f>
        <v/>
      </c>
      <c r="D40" s="6" t="str">
        <f t="array" ref="D40">IFERROR(INDEX(MemberOrgsData[FEDERALPROGRAMNAME], MATCH(1, (SelectMemberOrgs = MemberOrgsData[Auditee Name])*(Table11[[#This Row],[Unique CFDA]] = MemberOrgsData[CFDA]), 0)), "")</f>
        <v/>
      </c>
      <c r="E40" s="25" t="str">
        <f t="array" ref="E40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40" s="26" t="str">
        <f t="array" ref="F40">IFERROR(INDEX(BudgetAppropData[President % Change], MATCH(1, (Table11[[#This Row],[Unique CFDA]] = BudgetAppropData[CFDA])*(SelectBudgetYear = BudgetAppropData[Fiscal Year]), 0)), "")</f>
        <v/>
      </c>
      <c r="G40" s="25" t="str">
        <f>IF(Table11[[#This Row],[Unique CFDA]] = "", "", IFERROR(Table11[[#This Row],[FY 2018 Total]]*Table11[[#This Row],[President % Change]], ""))</f>
        <v/>
      </c>
      <c r="H40" s="26" t="str">
        <f t="array" ref="H40">IFERROR(INDEX(BudgetAppropData[House % Change], MATCH(1, (Table11[[#This Row],[Unique CFDA]] = BudgetAppropData[CFDA])*(SelectBudgetYear = BudgetAppropData[Fiscal Year]),0)), "")</f>
        <v/>
      </c>
      <c r="I40" s="25" t="str">
        <f>IF(Table11[[#This Row],[Unique CFDA]] = "", "", IFERROR(Table11[[#This Row],[FY 2018 Total]]*Table11[[#This Row],[House % Change]], ""))</f>
        <v/>
      </c>
      <c r="J40" s="6"/>
      <c r="K40" s="25" t="str">
        <f>IF(Table11[[#This Row],[Unique CFDA]] = "", "", IFERROR(Table11[[#This Row],[FY 2018 Total]]*Table11[[#This Row],[Senate Budget]], ""))</f>
        <v/>
      </c>
      <c r="L40" s="6" t="str">
        <f>IF(Table11[[#This Row],[Unique CFDA]] = "", "", IF(ISNUMBER(Table11[[#This Row],[President $ Change]]), RANK(Table11[[#This Row],[President $ Change]], Table11[President $ Change])+COUNTIF($G40:G40, G40)-1,0))</f>
        <v/>
      </c>
      <c r="N40">
        <v>37</v>
      </c>
      <c r="O40" t="str">
        <f>IFERROR(INDEX(Table11[Unique CFDA], MATCH(N40, Table11[Pres. Sort], 0)), "")</f>
        <v/>
      </c>
      <c r="P40" s="1" t="str">
        <f>IFERROR(INDEX(Table11[Grant Name], MATCH(MemberOrgFinalSort[[#This Row],[CFDA]], Table11[Unique CFDA], 0)), "")</f>
        <v/>
      </c>
      <c r="Q40" s="20" t="str">
        <f>IFERROR(INDEX(Table11[FY 2018 Total], MATCH(MemberOrgFinalSort[[#This Row],[CFDA]], Table11[Unique CFDA], 0)), "")</f>
        <v/>
      </c>
      <c r="R40" s="21" t="str">
        <f>IFERROR(INDEX(Table11[President % Change], MATCH(MemberOrgFinalSort[[#This Row],[CFDA]], Table11[Unique CFDA], 0)), "")</f>
        <v/>
      </c>
      <c r="S40" s="20" t="str">
        <f>IFERROR(INDEX(Table11[President $ Change], MATCH(MemberOrgFinalSort[[#This Row],[CFDA]], Table11[Unique CFDA], 0)), "")</f>
        <v/>
      </c>
      <c r="T40" s="32" t="str">
        <f>IFERROR(INDEX(Table11[House % Change], MATCH(MemberOrgFinalSort[[#This Row],[CFDA]], Table11[Unique CFDA], 0)), "")</f>
        <v/>
      </c>
      <c r="U40" s="32" t="str">
        <f>IFERROR(INDEX(Table11[House $ Change], MATCH(MemberOrgFinalSort[[#This Row],[CFDA]], Table11[Unique CFDA], 0)), "")</f>
        <v/>
      </c>
      <c r="V40" s="20"/>
      <c r="X40" s="6"/>
      <c r="Y40" s="6"/>
      <c r="Z40" s="6"/>
      <c r="AA40" s="6"/>
      <c r="AB40" s="6"/>
    </row>
    <row r="41" spans="1:28" x14ac:dyDescent="0.25">
      <c r="A41" t="str">
        <f>IF(MemberOrgControl!$C44 = "", "", INDEX(MemberOrgsData[CFDA], MemberOrgControl!$C44))</f>
        <v/>
      </c>
      <c r="C41" s="6" t="str">
        <f>IFERROR(INDEX(AllFilteredCFDAs[All CFDAs], MATCH(0, INDEX(COUNTIF($C$3:C40, AllFilteredCFDAs[All CFDAs]),),0)), "")</f>
        <v/>
      </c>
      <c r="D41" s="6" t="str">
        <f t="array" ref="D41">IFERROR(INDEX(MemberOrgsData[FEDERALPROGRAMNAME], MATCH(1, (SelectMemberOrgs = MemberOrgsData[Auditee Name])*(Table11[[#This Row],[Unique CFDA]] = MemberOrgsData[CFDA]), 0)), "")</f>
        <v/>
      </c>
      <c r="E41" s="25" t="str">
        <f t="array" ref="E41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41" s="26" t="str">
        <f t="array" ref="F41">IFERROR(INDEX(BudgetAppropData[President % Change], MATCH(1, (Table11[[#This Row],[Unique CFDA]] = BudgetAppropData[CFDA])*(SelectBudgetYear = BudgetAppropData[Fiscal Year]), 0)), "")</f>
        <v/>
      </c>
      <c r="G41" s="25" t="str">
        <f>IF(Table11[[#This Row],[Unique CFDA]] = "", "", IFERROR(Table11[[#This Row],[FY 2018 Total]]*Table11[[#This Row],[President % Change]], ""))</f>
        <v/>
      </c>
      <c r="H41" s="26" t="str">
        <f t="array" ref="H41">IFERROR(INDEX(BudgetAppropData[House % Change], MATCH(1, (Table11[[#This Row],[Unique CFDA]] = BudgetAppropData[CFDA])*(SelectBudgetYear = BudgetAppropData[Fiscal Year]),0)), "")</f>
        <v/>
      </c>
      <c r="I41" s="25" t="str">
        <f>IF(Table11[[#This Row],[Unique CFDA]] = "", "", IFERROR(Table11[[#This Row],[FY 2018 Total]]*Table11[[#This Row],[House % Change]], ""))</f>
        <v/>
      </c>
      <c r="J41" s="6"/>
      <c r="K41" s="25" t="str">
        <f>IF(Table11[[#This Row],[Unique CFDA]] = "", "", IFERROR(Table11[[#This Row],[FY 2018 Total]]*Table11[[#This Row],[Senate Budget]], ""))</f>
        <v/>
      </c>
      <c r="L41" s="6" t="str">
        <f>IF(Table11[[#This Row],[Unique CFDA]] = "", "", IF(ISNUMBER(Table11[[#This Row],[President $ Change]]), RANK(Table11[[#This Row],[President $ Change]], Table11[President $ Change])+COUNTIF($G41:G41, G41)-1,0))</f>
        <v/>
      </c>
      <c r="N41">
        <v>38</v>
      </c>
      <c r="O41" t="str">
        <f>IFERROR(INDEX(Table11[Unique CFDA], MATCH(N41, Table11[Pres. Sort], 0)), "")</f>
        <v/>
      </c>
      <c r="P41" s="1" t="str">
        <f>IFERROR(INDEX(Table11[Grant Name], MATCH(MemberOrgFinalSort[[#This Row],[CFDA]], Table11[Unique CFDA], 0)), "")</f>
        <v/>
      </c>
      <c r="Q41" s="20" t="str">
        <f>IFERROR(INDEX(Table11[FY 2018 Total], MATCH(MemberOrgFinalSort[[#This Row],[CFDA]], Table11[Unique CFDA], 0)), "")</f>
        <v/>
      </c>
      <c r="R41" s="21" t="str">
        <f>IFERROR(INDEX(Table11[President % Change], MATCH(MemberOrgFinalSort[[#This Row],[CFDA]], Table11[Unique CFDA], 0)), "")</f>
        <v/>
      </c>
      <c r="S41" s="20" t="str">
        <f>IFERROR(INDEX(Table11[President $ Change], MATCH(MemberOrgFinalSort[[#This Row],[CFDA]], Table11[Unique CFDA], 0)), "")</f>
        <v/>
      </c>
      <c r="T41" s="32" t="str">
        <f>IFERROR(INDEX(Table11[House % Change], MATCH(MemberOrgFinalSort[[#This Row],[CFDA]], Table11[Unique CFDA], 0)), "")</f>
        <v/>
      </c>
      <c r="U41" s="32" t="str">
        <f>IFERROR(INDEX(Table11[House $ Change], MATCH(MemberOrgFinalSort[[#This Row],[CFDA]], Table11[Unique CFDA], 0)), "")</f>
        <v/>
      </c>
      <c r="V41" s="20"/>
      <c r="X41" s="6"/>
      <c r="Y41" s="6"/>
      <c r="Z41" s="6"/>
      <c r="AA41" s="6"/>
      <c r="AB41" s="6"/>
    </row>
    <row r="42" spans="1:28" x14ac:dyDescent="0.25">
      <c r="A42" t="str">
        <f>IF(MemberOrgControl!$C45 = "", "", INDEX(MemberOrgsData[CFDA], MemberOrgControl!$C45))</f>
        <v/>
      </c>
      <c r="C42" s="6" t="str">
        <f>IFERROR(INDEX(AllFilteredCFDAs[All CFDAs], MATCH(0, INDEX(COUNTIF($C$3:C41, AllFilteredCFDAs[All CFDAs]),),0)), "")</f>
        <v/>
      </c>
      <c r="D42" s="6" t="str">
        <f t="array" ref="D42">IFERROR(INDEX(MemberOrgsData[FEDERALPROGRAMNAME], MATCH(1, (SelectMemberOrgs = MemberOrgsData[Auditee Name])*(Table11[[#This Row],[Unique CFDA]] = MemberOrgsData[CFDA]), 0)), "")</f>
        <v/>
      </c>
      <c r="E42" s="25" t="str">
        <f t="array" ref="E42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42" s="26" t="str">
        <f t="array" ref="F42">IFERROR(INDEX(BudgetAppropData[President % Change], MATCH(1, (Table11[[#This Row],[Unique CFDA]] = BudgetAppropData[CFDA])*(SelectBudgetYear = BudgetAppropData[Fiscal Year]), 0)), "")</f>
        <v/>
      </c>
      <c r="G42" s="25" t="str">
        <f>IF(Table11[[#This Row],[Unique CFDA]] = "", "", IFERROR(Table11[[#This Row],[FY 2018 Total]]*Table11[[#This Row],[President % Change]], ""))</f>
        <v/>
      </c>
      <c r="H42" s="26" t="str">
        <f t="array" ref="H42">IFERROR(INDEX(BudgetAppropData[House % Change], MATCH(1, (Table11[[#This Row],[Unique CFDA]] = BudgetAppropData[CFDA])*(SelectBudgetYear = BudgetAppropData[Fiscal Year]),0)), "")</f>
        <v/>
      </c>
      <c r="I42" s="25" t="str">
        <f>IF(Table11[[#This Row],[Unique CFDA]] = "", "", IFERROR(Table11[[#This Row],[FY 2018 Total]]*Table11[[#This Row],[House % Change]], ""))</f>
        <v/>
      </c>
      <c r="J42" s="6"/>
      <c r="K42" s="25" t="str">
        <f>IF(Table11[[#This Row],[Unique CFDA]] = "", "", IFERROR(Table11[[#This Row],[FY 2018 Total]]*Table11[[#This Row],[Senate Budget]], ""))</f>
        <v/>
      </c>
      <c r="L42" s="6" t="str">
        <f>IF(Table11[[#This Row],[Unique CFDA]] = "", "", IF(ISNUMBER(Table11[[#This Row],[President $ Change]]), RANK(Table11[[#This Row],[President $ Change]], Table11[President $ Change])+COUNTIF($G42:G42, G42)-1,0))</f>
        <v/>
      </c>
      <c r="N42">
        <v>39</v>
      </c>
      <c r="O42" t="str">
        <f>IFERROR(INDEX(Table11[Unique CFDA], MATCH(N42, Table11[Pres. Sort], 0)), "")</f>
        <v/>
      </c>
      <c r="P42" s="1" t="str">
        <f>IFERROR(INDEX(Table11[Grant Name], MATCH(MemberOrgFinalSort[[#This Row],[CFDA]], Table11[Unique CFDA], 0)), "")</f>
        <v/>
      </c>
      <c r="Q42" s="20" t="str">
        <f>IFERROR(INDEX(Table11[FY 2018 Total], MATCH(MemberOrgFinalSort[[#This Row],[CFDA]], Table11[Unique CFDA], 0)), "")</f>
        <v/>
      </c>
      <c r="R42" s="21" t="str">
        <f>IFERROR(INDEX(Table11[President % Change], MATCH(MemberOrgFinalSort[[#This Row],[CFDA]], Table11[Unique CFDA], 0)), "")</f>
        <v/>
      </c>
      <c r="S42" s="20" t="str">
        <f>IFERROR(INDEX(Table11[President $ Change], MATCH(MemberOrgFinalSort[[#This Row],[CFDA]], Table11[Unique CFDA], 0)), "")</f>
        <v/>
      </c>
      <c r="T42" s="32" t="str">
        <f>IFERROR(INDEX(Table11[House % Change], MATCH(MemberOrgFinalSort[[#This Row],[CFDA]], Table11[Unique CFDA], 0)), "")</f>
        <v/>
      </c>
      <c r="U42" s="32" t="str">
        <f>IFERROR(INDEX(Table11[House $ Change], MATCH(MemberOrgFinalSort[[#This Row],[CFDA]], Table11[Unique CFDA], 0)), "")</f>
        <v/>
      </c>
      <c r="V42" s="20"/>
      <c r="X42" s="6"/>
      <c r="Y42" s="6"/>
      <c r="Z42" s="6"/>
      <c r="AA42" s="6"/>
      <c r="AB42" s="6"/>
    </row>
    <row r="43" spans="1:28" x14ac:dyDescent="0.25">
      <c r="A43" t="str">
        <f>IF(MemberOrgControl!$C46 = "", "", INDEX(MemberOrgsData[CFDA], MemberOrgControl!$C46))</f>
        <v/>
      </c>
      <c r="C43" s="6" t="str">
        <f>IFERROR(INDEX(AllFilteredCFDAs[All CFDAs], MATCH(0, INDEX(COUNTIF($C$3:C42, AllFilteredCFDAs[All CFDAs]),),0)), "")</f>
        <v/>
      </c>
      <c r="D43" s="6" t="str">
        <f t="array" ref="D43">IFERROR(INDEX(MemberOrgsData[FEDERALPROGRAMNAME], MATCH(1, (SelectMemberOrgs = MemberOrgsData[Auditee Name])*(Table11[[#This Row],[Unique CFDA]] = MemberOrgsData[CFDA]), 0)), "")</f>
        <v/>
      </c>
      <c r="E43" s="25" t="str">
        <f t="array" ref="E43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43" s="26" t="str">
        <f t="array" ref="F43">IFERROR(INDEX(BudgetAppropData[President % Change], MATCH(1, (Table11[[#This Row],[Unique CFDA]] = BudgetAppropData[CFDA])*(SelectBudgetYear = BudgetAppropData[Fiscal Year]), 0)), "")</f>
        <v/>
      </c>
      <c r="G43" s="25" t="str">
        <f>IF(Table11[[#This Row],[Unique CFDA]] = "", "", IFERROR(Table11[[#This Row],[FY 2018 Total]]*Table11[[#This Row],[President % Change]], ""))</f>
        <v/>
      </c>
      <c r="H43" s="26" t="str">
        <f t="array" ref="H43">IFERROR(INDEX(BudgetAppropData[House % Change], MATCH(1, (Table11[[#This Row],[Unique CFDA]] = BudgetAppropData[CFDA])*(SelectBudgetYear = BudgetAppropData[Fiscal Year]),0)), "")</f>
        <v/>
      </c>
      <c r="I43" s="25" t="str">
        <f>IF(Table11[[#This Row],[Unique CFDA]] = "", "", IFERROR(Table11[[#This Row],[FY 2018 Total]]*Table11[[#This Row],[House % Change]], ""))</f>
        <v/>
      </c>
      <c r="J43" s="6"/>
      <c r="K43" s="25" t="str">
        <f>IF(Table11[[#This Row],[Unique CFDA]] = "", "", IFERROR(Table11[[#This Row],[FY 2018 Total]]*Table11[[#This Row],[Senate Budget]], ""))</f>
        <v/>
      </c>
      <c r="L43" s="6" t="str">
        <f>IF(Table11[[#This Row],[Unique CFDA]] = "", "", IF(ISNUMBER(Table11[[#This Row],[President $ Change]]), RANK(Table11[[#This Row],[President $ Change]], Table11[President $ Change])+COUNTIF($G43:G43, G43)-1,0))</f>
        <v/>
      </c>
      <c r="N43">
        <v>40</v>
      </c>
      <c r="O43" t="str">
        <f>IFERROR(INDEX(Table11[Unique CFDA], MATCH(N43, Table11[Pres. Sort], 0)), "")</f>
        <v/>
      </c>
      <c r="P43" s="1" t="str">
        <f>IFERROR(INDEX(Table11[Grant Name], MATCH(MemberOrgFinalSort[[#This Row],[CFDA]], Table11[Unique CFDA], 0)), "")</f>
        <v/>
      </c>
      <c r="Q43" s="20" t="str">
        <f>IFERROR(INDEX(Table11[FY 2018 Total], MATCH(MemberOrgFinalSort[[#This Row],[CFDA]], Table11[Unique CFDA], 0)), "")</f>
        <v/>
      </c>
      <c r="R43" s="21" t="str">
        <f>IFERROR(INDEX(Table11[President % Change], MATCH(MemberOrgFinalSort[[#This Row],[CFDA]], Table11[Unique CFDA], 0)), "")</f>
        <v/>
      </c>
      <c r="S43" s="20" t="str">
        <f>IFERROR(INDEX(Table11[President $ Change], MATCH(MemberOrgFinalSort[[#This Row],[CFDA]], Table11[Unique CFDA], 0)), "")</f>
        <v/>
      </c>
      <c r="T43" s="32" t="str">
        <f>IFERROR(INDEX(Table11[House % Change], MATCH(MemberOrgFinalSort[[#This Row],[CFDA]], Table11[Unique CFDA], 0)), "")</f>
        <v/>
      </c>
      <c r="U43" s="32" t="str">
        <f>IFERROR(INDEX(Table11[House $ Change], MATCH(MemberOrgFinalSort[[#This Row],[CFDA]], Table11[Unique CFDA], 0)), "")</f>
        <v/>
      </c>
      <c r="V43" s="20"/>
      <c r="X43" s="6"/>
      <c r="Y43" s="6"/>
      <c r="Z43" s="6"/>
      <c r="AA43" s="6"/>
      <c r="AB43" s="6"/>
    </row>
    <row r="44" spans="1:28" x14ac:dyDescent="0.25">
      <c r="A44" t="str">
        <f>IF(MemberOrgControl!$C47 = "", "", INDEX(MemberOrgsData[CFDA], MemberOrgControl!$C47))</f>
        <v/>
      </c>
      <c r="C44" s="6" t="str">
        <f>IFERROR(INDEX(AllFilteredCFDAs[All CFDAs], MATCH(0, INDEX(COUNTIF($C$3:C43, AllFilteredCFDAs[All CFDAs]),),0)), "")</f>
        <v/>
      </c>
      <c r="D44" s="6" t="str">
        <f t="array" ref="D44">IFERROR(INDEX(MemberOrgsData[FEDERALPROGRAMNAME], MATCH(1, (SelectMemberOrgs = MemberOrgsData[Auditee Name])*(Table11[[#This Row],[Unique CFDA]] = MemberOrgsData[CFDA]), 0)), "")</f>
        <v/>
      </c>
      <c r="E44" s="25" t="str">
        <f t="array" ref="E44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44" s="26" t="str">
        <f t="array" ref="F44">IFERROR(INDEX(BudgetAppropData[President % Change], MATCH(1, (Table11[[#This Row],[Unique CFDA]] = BudgetAppropData[CFDA])*(SelectBudgetYear = BudgetAppropData[Fiscal Year]), 0)), "")</f>
        <v/>
      </c>
      <c r="G44" s="25" t="str">
        <f>IF(Table11[[#This Row],[Unique CFDA]] = "", "", IFERROR(Table11[[#This Row],[FY 2018 Total]]*Table11[[#This Row],[President % Change]], ""))</f>
        <v/>
      </c>
      <c r="H44" s="26" t="str">
        <f t="array" ref="H44">IFERROR(INDEX(BudgetAppropData[House % Change], MATCH(1, (Table11[[#This Row],[Unique CFDA]] = BudgetAppropData[CFDA])*(SelectBudgetYear = BudgetAppropData[Fiscal Year]),0)), "")</f>
        <v/>
      </c>
      <c r="I44" s="25" t="str">
        <f>IF(Table11[[#This Row],[Unique CFDA]] = "", "", IFERROR(Table11[[#This Row],[FY 2018 Total]]*Table11[[#This Row],[House % Change]], ""))</f>
        <v/>
      </c>
      <c r="J44" s="6"/>
      <c r="K44" s="25" t="str">
        <f>IF(Table11[[#This Row],[Unique CFDA]] = "", "", IFERROR(Table11[[#This Row],[FY 2018 Total]]*Table11[[#This Row],[Senate Budget]], ""))</f>
        <v/>
      </c>
      <c r="L44" s="6" t="str">
        <f>IF(Table11[[#This Row],[Unique CFDA]] = "", "", IF(ISNUMBER(Table11[[#This Row],[President $ Change]]), RANK(Table11[[#This Row],[President $ Change]], Table11[President $ Change])+COUNTIF($G44:G44, G44)-1,0))</f>
        <v/>
      </c>
      <c r="N44">
        <v>41</v>
      </c>
      <c r="O44" t="str">
        <f>IFERROR(INDEX(Table11[Unique CFDA], MATCH(N44, Table11[Pres. Sort], 0)), "")</f>
        <v/>
      </c>
      <c r="P44" s="1" t="str">
        <f>IFERROR(INDEX(Table11[Grant Name], MATCH(MemberOrgFinalSort[[#This Row],[CFDA]], Table11[Unique CFDA], 0)), "")</f>
        <v/>
      </c>
      <c r="Q44" s="20" t="str">
        <f>IFERROR(INDEX(Table11[FY 2018 Total], MATCH(MemberOrgFinalSort[[#This Row],[CFDA]], Table11[Unique CFDA], 0)), "")</f>
        <v/>
      </c>
      <c r="R44" s="21" t="str">
        <f>IFERROR(INDEX(Table11[President % Change], MATCH(MemberOrgFinalSort[[#This Row],[CFDA]], Table11[Unique CFDA], 0)), "")</f>
        <v/>
      </c>
      <c r="S44" s="20" t="str">
        <f>IFERROR(INDEX(Table11[President $ Change], MATCH(MemberOrgFinalSort[[#This Row],[CFDA]], Table11[Unique CFDA], 0)), "")</f>
        <v/>
      </c>
      <c r="T44" s="32" t="str">
        <f>IFERROR(INDEX(Table11[House % Change], MATCH(MemberOrgFinalSort[[#This Row],[CFDA]], Table11[Unique CFDA], 0)), "")</f>
        <v/>
      </c>
      <c r="U44" s="32" t="str">
        <f>IFERROR(INDEX(Table11[House $ Change], MATCH(MemberOrgFinalSort[[#This Row],[CFDA]], Table11[Unique CFDA], 0)), "")</f>
        <v/>
      </c>
      <c r="V44" s="20"/>
      <c r="X44" s="6"/>
      <c r="Y44" s="6"/>
      <c r="Z44" s="6"/>
      <c r="AA44" s="6"/>
      <c r="AB44" s="6"/>
    </row>
    <row r="45" spans="1:28" x14ac:dyDescent="0.25">
      <c r="A45" t="str">
        <f>IF(MemberOrgControl!$C48 = "", "", INDEX(MemberOrgsData[CFDA], MemberOrgControl!$C48))</f>
        <v/>
      </c>
      <c r="C45" s="6" t="str">
        <f>IFERROR(INDEX(AllFilteredCFDAs[All CFDAs], MATCH(0, INDEX(COUNTIF($C$3:C44, AllFilteredCFDAs[All CFDAs]),),0)), "")</f>
        <v/>
      </c>
      <c r="D45" s="6" t="str">
        <f t="array" ref="D45">IFERROR(INDEX(MemberOrgsData[FEDERALPROGRAMNAME], MATCH(1, (SelectMemberOrgs = MemberOrgsData[Auditee Name])*(Table11[[#This Row],[Unique CFDA]] = MemberOrgsData[CFDA]), 0)), "")</f>
        <v/>
      </c>
      <c r="E45" s="25" t="str">
        <f t="array" ref="E45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45" s="26" t="str">
        <f t="array" ref="F45">IFERROR(INDEX(BudgetAppropData[President % Change], MATCH(1, (Table11[[#This Row],[Unique CFDA]] = BudgetAppropData[CFDA])*(SelectBudgetYear = BudgetAppropData[Fiscal Year]), 0)), "")</f>
        <v/>
      </c>
      <c r="G45" s="25" t="str">
        <f>IF(Table11[[#This Row],[Unique CFDA]] = "", "", IFERROR(Table11[[#This Row],[FY 2018 Total]]*Table11[[#This Row],[President % Change]], ""))</f>
        <v/>
      </c>
      <c r="H45" s="26" t="str">
        <f t="array" ref="H45">IFERROR(INDEX(BudgetAppropData[House % Change], MATCH(1, (Table11[[#This Row],[Unique CFDA]] = BudgetAppropData[CFDA])*(SelectBudgetYear = BudgetAppropData[Fiscal Year]),0)), "")</f>
        <v/>
      </c>
      <c r="I45" s="25" t="str">
        <f>IF(Table11[[#This Row],[Unique CFDA]] = "", "", IFERROR(Table11[[#This Row],[FY 2018 Total]]*Table11[[#This Row],[House % Change]], ""))</f>
        <v/>
      </c>
      <c r="J45" s="6"/>
      <c r="K45" s="25" t="str">
        <f>IF(Table11[[#This Row],[Unique CFDA]] = "", "", IFERROR(Table11[[#This Row],[FY 2018 Total]]*Table11[[#This Row],[Senate Budget]], ""))</f>
        <v/>
      </c>
      <c r="L45" s="6" t="str">
        <f>IF(Table11[[#This Row],[Unique CFDA]] = "", "", IF(ISNUMBER(Table11[[#This Row],[President $ Change]]), RANK(Table11[[#This Row],[President $ Change]], Table11[President $ Change])+COUNTIF($G45:G45, G45)-1,0))</f>
        <v/>
      </c>
      <c r="N45">
        <v>42</v>
      </c>
      <c r="O45" t="str">
        <f>IFERROR(INDEX(Table11[Unique CFDA], MATCH(N45, Table11[Pres. Sort], 0)), "")</f>
        <v/>
      </c>
      <c r="P45" s="1" t="str">
        <f>IFERROR(INDEX(Table11[Grant Name], MATCH(MemberOrgFinalSort[[#This Row],[CFDA]], Table11[Unique CFDA], 0)), "")</f>
        <v/>
      </c>
      <c r="Q45" s="20" t="str">
        <f>IFERROR(INDEX(Table11[FY 2018 Total], MATCH(MemberOrgFinalSort[[#This Row],[CFDA]], Table11[Unique CFDA], 0)), "")</f>
        <v/>
      </c>
      <c r="R45" s="21" t="str">
        <f>IFERROR(INDEX(Table11[President % Change], MATCH(MemberOrgFinalSort[[#This Row],[CFDA]], Table11[Unique CFDA], 0)), "")</f>
        <v/>
      </c>
      <c r="S45" s="20" t="str">
        <f>IFERROR(INDEX(Table11[President $ Change], MATCH(MemberOrgFinalSort[[#This Row],[CFDA]], Table11[Unique CFDA], 0)), "")</f>
        <v/>
      </c>
      <c r="T45" s="32" t="str">
        <f>IFERROR(INDEX(Table11[House % Change], MATCH(MemberOrgFinalSort[[#This Row],[CFDA]], Table11[Unique CFDA], 0)), "")</f>
        <v/>
      </c>
      <c r="U45" s="32" t="str">
        <f>IFERROR(INDEX(Table11[House $ Change], MATCH(MemberOrgFinalSort[[#This Row],[CFDA]], Table11[Unique CFDA], 0)), "")</f>
        <v/>
      </c>
      <c r="V45" s="20"/>
      <c r="X45" s="6"/>
      <c r="Y45" s="6"/>
      <c r="Z45" s="6"/>
      <c r="AA45" s="6"/>
      <c r="AB45" s="6"/>
    </row>
    <row r="46" spans="1:28" x14ac:dyDescent="0.25">
      <c r="A46" t="str">
        <f>IF(MemberOrgControl!$C49 = "", "", INDEX(MemberOrgsData[CFDA], MemberOrgControl!$C49))</f>
        <v/>
      </c>
      <c r="C46" s="6" t="str">
        <f>IFERROR(INDEX(AllFilteredCFDAs[All CFDAs], MATCH(0, INDEX(COUNTIF($C$3:C45, AllFilteredCFDAs[All CFDAs]),),0)), "")</f>
        <v/>
      </c>
      <c r="D46" s="6" t="str">
        <f t="array" ref="D46">IFERROR(INDEX(MemberOrgsData[FEDERALPROGRAMNAME], MATCH(1, (SelectMemberOrgs = MemberOrgsData[Auditee Name])*(Table11[[#This Row],[Unique CFDA]] = MemberOrgsData[CFDA]), 0)), "")</f>
        <v/>
      </c>
      <c r="E46" s="25" t="str">
        <f t="array" ref="E46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46" s="26" t="str">
        <f t="array" ref="F46">IFERROR(INDEX(BudgetAppropData[President % Change], MATCH(1, (Table11[[#This Row],[Unique CFDA]] = BudgetAppropData[CFDA])*(SelectBudgetYear = BudgetAppropData[Fiscal Year]), 0)), "")</f>
        <v/>
      </c>
      <c r="G46" s="25" t="str">
        <f>IF(Table11[[#This Row],[Unique CFDA]] = "", "", IFERROR(Table11[[#This Row],[FY 2018 Total]]*Table11[[#This Row],[President % Change]], ""))</f>
        <v/>
      </c>
      <c r="H46" s="26" t="str">
        <f t="array" ref="H46">IFERROR(INDEX(BudgetAppropData[House % Change], MATCH(1, (Table11[[#This Row],[Unique CFDA]] = BudgetAppropData[CFDA])*(SelectBudgetYear = BudgetAppropData[Fiscal Year]),0)), "")</f>
        <v/>
      </c>
      <c r="I46" s="25" t="str">
        <f>IF(Table11[[#This Row],[Unique CFDA]] = "", "", IFERROR(Table11[[#This Row],[FY 2018 Total]]*Table11[[#This Row],[House % Change]], ""))</f>
        <v/>
      </c>
      <c r="J46" s="6"/>
      <c r="K46" s="25" t="str">
        <f>IF(Table11[[#This Row],[Unique CFDA]] = "", "", IFERROR(Table11[[#This Row],[FY 2018 Total]]*Table11[[#This Row],[Senate Budget]], ""))</f>
        <v/>
      </c>
      <c r="L46" s="6" t="str">
        <f>IF(Table11[[#This Row],[Unique CFDA]] = "", "", IF(ISNUMBER(Table11[[#This Row],[President $ Change]]), RANK(Table11[[#This Row],[President $ Change]], Table11[President $ Change])+COUNTIF($G46:G46, G46)-1,0))</f>
        <v/>
      </c>
      <c r="N46">
        <v>43</v>
      </c>
      <c r="O46" t="str">
        <f>IFERROR(INDEX(Table11[Unique CFDA], MATCH(N46, Table11[Pres. Sort], 0)), "")</f>
        <v/>
      </c>
      <c r="P46" s="1" t="str">
        <f>IFERROR(INDEX(Table11[Grant Name], MATCH(MemberOrgFinalSort[[#This Row],[CFDA]], Table11[Unique CFDA], 0)), "")</f>
        <v/>
      </c>
      <c r="Q46" s="20" t="str">
        <f>IFERROR(INDEX(Table11[FY 2018 Total], MATCH(MemberOrgFinalSort[[#This Row],[CFDA]], Table11[Unique CFDA], 0)), "")</f>
        <v/>
      </c>
      <c r="R46" s="21" t="str">
        <f>IFERROR(INDEX(Table11[President % Change], MATCH(MemberOrgFinalSort[[#This Row],[CFDA]], Table11[Unique CFDA], 0)), "")</f>
        <v/>
      </c>
      <c r="S46" s="20" t="str">
        <f>IFERROR(INDEX(Table11[President $ Change], MATCH(MemberOrgFinalSort[[#This Row],[CFDA]], Table11[Unique CFDA], 0)), "")</f>
        <v/>
      </c>
      <c r="T46" s="32" t="str">
        <f>IFERROR(INDEX(Table11[House % Change], MATCH(MemberOrgFinalSort[[#This Row],[CFDA]], Table11[Unique CFDA], 0)), "")</f>
        <v/>
      </c>
      <c r="U46" s="32" t="str">
        <f>IFERROR(INDEX(Table11[House $ Change], MATCH(MemberOrgFinalSort[[#This Row],[CFDA]], Table11[Unique CFDA], 0)), "")</f>
        <v/>
      </c>
      <c r="V46" s="20"/>
      <c r="X46" s="6"/>
      <c r="Y46" s="6"/>
      <c r="Z46" s="6"/>
      <c r="AA46" s="6"/>
      <c r="AB46" s="6"/>
    </row>
    <row r="47" spans="1:28" x14ac:dyDescent="0.25">
      <c r="A47" t="str">
        <f>IF(MemberOrgControl!$C50 = "", "", INDEX(MemberOrgsData[CFDA], MemberOrgControl!$C50))</f>
        <v/>
      </c>
      <c r="C47" s="6" t="str">
        <f>IFERROR(INDEX(AllFilteredCFDAs[All CFDAs], MATCH(0, INDEX(COUNTIF($C$3:C46, AllFilteredCFDAs[All CFDAs]),),0)), "")</f>
        <v/>
      </c>
      <c r="D47" s="6" t="str">
        <f t="array" ref="D47">IFERROR(INDEX(MemberOrgsData[FEDERALPROGRAMNAME], MATCH(1, (SelectMemberOrgs = MemberOrgsData[Auditee Name])*(Table11[[#This Row],[Unique CFDA]] = MemberOrgsData[CFDA]), 0)), "")</f>
        <v/>
      </c>
      <c r="E47" s="25" t="str">
        <f t="array" ref="E47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47" s="26" t="str">
        <f t="array" ref="F47">IFERROR(INDEX(BudgetAppropData[President % Change], MATCH(1, (Table11[[#This Row],[Unique CFDA]] = BudgetAppropData[CFDA])*(SelectBudgetYear = BudgetAppropData[Fiscal Year]), 0)), "")</f>
        <v/>
      </c>
      <c r="G47" s="25" t="str">
        <f>IF(Table11[[#This Row],[Unique CFDA]] = "", "", IFERROR(Table11[[#This Row],[FY 2018 Total]]*Table11[[#This Row],[President % Change]], ""))</f>
        <v/>
      </c>
      <c r="H47" s="26" t="str">
        <f t="array" ref="H47">IFERROR(INDEX(BudgetAppropData[House % Change], MATCH(1, (Table11[[#This Row],[Unique CFDA]] = BudgetAppropData[CFDA])*(SelectBudgetYear = BudgetAppropData[Fiscal Year]),0)), "")</f>
        <v/>
      </c>
      <c r="I47" s="25" t="str">
        <f>IF(Table11[[#This Row],[Unique CFDA]] = "", "", IFERROR(Table11[[#This Row],[FY 2018 Total]]*Table11[[#This Row],[House % Change]], ""))</f>
        <v/>
      </c>
      <c r="J47" s="6"/>
      <c r="K47" s="25" t="str">
        <f>IF(Table11[[#This Row],[Unique CFDA]] = "", "", IFERROR(Table11[[#This Row],[FY 2018 Total]]*Table11[[#This Row],[Senate Budget]], ""))</f>
        <v/>
      </c>
      <c r="L47" s="6" t="str">
        <f>IF(Table11[[#This Row],[Unique CFDA]] = "", "", IF(ISNUMBER(Table11[[#This Row],[President $ Change]]), RANK(Table11[[#This Row],[President $ Change]], Table11[President $ Change])+COUNTIF($G47:G47, G47)-1,0))</f>
        <v/>
      </c>
      <c r="N47">
        <v>44</v>
      </c>
      <c r="O47" t="str">
        <f>IFERROR(INDEX(Table11[Unique CFDA], MATCH(N47, Table11[Pres. Sort], 0)), "")</f>
        <v/>
      </c>
      <c r="P47" s="1" t="str">
        <f>IFERROR(INDEX(Table11[Grant Name], MATCH(MemberOrgFinalSort[[#This Row],[CFDA]], Table11[Unique CFDA], 0)), "")</f>
        <v/>
      </c>
      <c r="Q47" s="20" t="str">
        <f>IFERROR(INDEX(Table11[FY 2018 Total], MATCH(MemberOrgFinalSort[[#This Row],[CFDA]], Table11[Unique CFDA], 0)), "")</f>
        <v/>
      </c>
      <c r="R47" s="21" t="str">
        <f>IFERROR(INDEX(Table11[President % Change], MATCH(MemberOrgFinalSort[[#This Row],[CFDA]], Table11[Unique CFDA], 0)), "")</f>
        <v/>
      </c>
      <c r="S47" s="20" t="str">
        <f>IFERROR(INDEX(Table11[President $ Change], MATCH(MemberOrgFinalSort[[#This Row],[CFDA]], Table11[Unique CFDA], 0)), "")</f>
        <v/>
      </c>
      <c r="T47" s="32" t="str">
        <f>IFERROR(INDEX(Table11[House % Change], MATCH(MemberOrgFinalSort[[#This Row],[CFDA]], Table11[Unique CFDA], 0)), "")</f>
        <v/>
      </c>
      <c r="U47" s="32" t="str">
        <f>IFERROR(INDEX(Table11[House $ Change], MATCH(MemberOrgFinalSort[[#This Row],[CFDA]], Table11[Unique CFDA], 0)), "")</f>
        <v/>
      </c>
      <c r="V47" s="20"/>
      <c r="X47" s="6"/>
      <c r="Y47" s="6"/>
      <c r="Z47" s="6"/>
      <c r="AA47" s="6"/>
      <c r="AB47" s="6"/>
    </row>
    <row r="48" spans="1:28" x14ac:dyDescent="0.25">
      <c r="A48" t="str">
        <f>IF(MemberOrgControl!$C51 = "", "", INDEX(MemberOrgsData[CFDA], MemberOrgControl!$C51))</f>
        <v/>
      </c>
      <c r="C48" s="6" t="str">
        <f>IFERROR(INDEX(AllFilteredCFDAs[All CFDAs], MATCH(0, INDEX(COUNTIF($C$3:C47, AllFilteredCFDAs[All CFDAs]),),0)), "")</f>
        <v/>
      </c>
      <c r="D48" s="6" t="str">
        <f t="array" ref="D48">IFERROR(INDEX(MemberOrgsData[FEDERALPROGRAMNAME], MATCH(1, (SelectMemberOrgs = MemberOrgsData[Auditee Name])*(Table11[[#This Row],[Unique CFDA]] = MemberOrgsData[CFDA]), 0)), "")</f>
        <v/>
      </c>
      <c r="E48" s="25" t="str">
        <f t="array" ref="E48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48" s="26" t="str">
        <f t="array" ref="F48">IFERROR(INDEX(BudgetAppropData[President % Change], MATCH(1, (Table11[[#This Row],[Unique CFDA]] = BudgetAppropData[CFDA])*(SelectBudgetYear = BudgetAppropData[Fiscal Year]), 0)), "")</f>
        <v/>
      </c>
      <c r="G48" s="25" t="str">
        <f>IF(Table11[[#This Row],[Unique CFDA]] = "", "", IFERROR(Table11[[#This Row],[FY 2018 Total]]*Table11[[#This Row],[President % Change]], ""))</f>
        <v/>
      </c>
      <c r="H48" s="26" t="str">
        <f t="array" ref="H48">IFERROR(INDEX(BudgetAppropData[House % Change], MATCH(1, (Table11[[#This Row],[Unique CFDA]] = BudgetAppropData[CFDA])*(SelectBudgetYear = BudgetAppropData[Fiscal Year]),0)), "")</f>
        <v/>
      </c>
      <c r="I48" s="25" t="str">
        <f>IF(Table11[[#This Row],[Unique CFDA]] = "", "", IFERROR(Table11[[#This Row],[FY 2018 Total]]*Table11[[#This Row],[House % Change]], ""))</f>
        <v/>
      </c>
      <c r="J48" s="6"/>
      <c r="K48" s="25" t="str">
        <f>IF(Table11[[#This Row],[Unique CFDA]] = "", "", IFERROR(Table11[[#This Row],[FY 2018 Total]]*Table11[[#This Row],[Senate Budget]], ""))</f>
        <v/>
      </c>
      <c r="L48" s="6" t="str">
        <f>IF(Table11[[#This Row],[Unique CFDA]] = "", "", IF(ISNUMBER(Table11[[#This Row],[President $ Change]]), RANK(Table11[[#This Row],[President $ Change]], Table11[President $ Change])+COUNTIF($G48:G48, G48)-1,0))</f>
        <v/>
      </c>
      <c r="N48">
        <v>45</v>
      </c>
      <c r="O48" t="str">
        <f>IFERROR(INDEX(Table11[Unique CFDA], MATCH(N48, Table11[Pres. Sort], 0)), "")</f>
        <v/>
      </c>
      <c r="P48" s="1" t="str">
        <f>IFERROR(INDEX(Table11[Grant Name], MATCH(MemberOrgFinalSort[[#This Row],[CFDA]], Table11[Unique CFDA], 0)), "")</f>
        <v/>
      </c>
      <c r="Q48" s="20" t="str">
        <f>IFERROR(INDEX(Table11[FY 2018 Total], MATCH(MemberOrgFinalSort[[#This Row],[CFDA]], Table11[Unique CFDA], 0)), "")</f>
        <v/>
      </c>
      <c r="R48" s="21" t="str">
        <f>IFERROR(INDEX(Table11[President % Change], MATCH(MemberOrgFinalSort[[#This Row],[CFDA]], Table11[Unique CFDA], 0)), "")</f>
        <v/>
      </c>
      <c r="S48" s="20" t="str">
        <f>IFERROR(INDEX(Table11[President $ Change], MATCH(MemberOrgFinalSort[[#This Row],[CFDA]], Table11[Unique CFDA], 0)), "")</f>
        <v/>
      </c>
      <c r="T48" s="32" t="str">
        <f>IFERROR(INDEX(Table11[House % Change], MATCH(MemberOrgFinalSort[[#This Row],[CFDA]], Table11[Unique CFDA], 0)), "")</f>
        <v/>
      </c>
      <c r="U48" s="32" t="str">
        <f>IFERROR(INDEX(Table11[House $ Change], MATCH(MemberOrgFinalSort[[#This Row],[CFDA]], Table11[Unique CFDA], 0)), "")</f>
        <v/>
      </c>
      <c r="V48" s="20"/>
      <c r="X48" s="6"/>
      <c r="Y48" s="6"/>
      <c r="Z48" s="6"/>
      <c r="AA48" s="6"/>
      <c r="AB48" s="6"/>
    </row>
    <row r="49" spans="1:28" x14ac:dyDescent="0.25">
      <c r="A49" t="str">
        <f>IF(MemberOrgControl!$C52 = "", "", INDEX(MemberOrgsData[CFDA], MemberOrgControl!$C52))</f>
        <v/>
      </c>
      <c r="C49" s="6" t="str">
        <f>IFERROR(INDEX(AllFilteredCFDAs[All CFDAs], MATCH(0, INDEX(COUNTIF($C$3:C48, AllFilteredCFDAs[All CFDAs]),),0)), "")</f>
        <v/>
      </c>
      <c r="D49" s="6" t="str">
        <f t="array" ref="D49">IFERROR(INDEX(MemberOrgsData[FEDERALPROGRAMNAME], MATCH(1, (SelectMemberOrgs = MemberOrgsData[Auditee Name])*(Table11[[#This Row],[Unique CFDA]] = MemberOrgsData[CFDA]), 0)), "")</f>
        <v/>
      </c>
      <c r="E49" s="25" t="str">
        <f t="array" ref="E49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49" s="26" t="str">
        <f t="array" ref="F49">IFERROR(INDEX(BudgetAppropData[President % Change], MATCH(1, (Table11[[#This Row],[Unique CFDA]] = BudgetAppropData[CFDA])*(SelectBudgetYear = BudgetAppropData[Fiscal Year]), 0)), "")</f>
        <v/>
      </c>
      <c r="G49" s="25" t="str">
        <f>IF(Table11[[#This Row],[Unique CFDA]] = "", "", IFERROR(Table11[[#This Row],[FY 2018 Total]]*Table11[[#This Row],[President % Change]], ""))</f>
        <v/>
      </c>
      <c r="H49" s="26" t="str">
        <f t="array" ref="H49">IFERROR(INDEX(BudgetAppropData[House % Change], MATCH(1, (Table11[[#This Row],[Unique CFDA]] = BudgetAppropData[CFDA])*(SelectBudgetYear = BudgetAppropData[Fiscal Year]),0)), "")</f>
        <v/>
      </c>
      <c r="I49" s="25" t="str">
        <f>IF(Table11[[#This Row],[Unique CFDA]] = "", "", IFERROR(Table11[[#This Row],[FY 2018 Total]]*Table11[[#This Row],[House % Change]], ""))</f>
        <v/>
      </c>
      <c r="J49" s="6"/>
      <c r="K49" s="25" t="str">
        <f>IF(Table11[[#This Row],[Unique CFDA]] = "", "", IFERROR(Table11[[#This Row],[FY 2018 Total]]*Table11[[#This Row],[Senate Budget]], ""))</f>
        <v/>
      </c>
      <c r="L49" s="6" t="str">
        <f>IF(Table11[[#This Row],[Unique CFDA]] = "", "", IF(ISNUMBER(Table11[[#This Row],[President $ Change]]), RANK(Table11[[#This Row],[President $ Change]], Table11[President $ Change])+COUNTIF($G49:G49, G49)-1,0))</f>
        <v/>
      </c>
      <c r="N49">
        <v>46</v>
      </c>
      <c r="O49" t="str">
        <f>IFERROR(INDEX(Table11[Unique CFDA], MATCH(N49, Table11[Pres. Sort], 0)), "")</f>
        <v/>
      </c>
      <c r="P49" s="1" t="str">
        <f>IFERROR(INDEX(Table11[Grant Name], MATCH(MemberOrgFinalSort[[#This Row],[CFDA]], Table11[Unique CFDA], 0)), "")</f>
        <v/>
      </c>
      <c r="Q49" s="20" t="str">
        <f>IFERROR(INDEX(Table11[FY 2018 Total], MATCH(MemberOrgFinalSort[[#This Row],[CFDA]], Table11[Unique CFDA], 0)), "")</f>
        <v/>
      </c>
      <c r="R49" s="21" t="str">
        <f>IFERROR(INDEX(Table11[President % Change], MATCH(MemberOrgFinalSort[[#This Row],[CFDA]], Table11[Unique CFDA], 0)), "")</f>
        <v/>
      </c>
      <c r="S49" s="20" t="str">
        <f>IFERROR(INDEX(Table11[President $ Change], MATCH(MemberOrgFinalSort[[#This Row],[CFDA]], Table11[Unique CFDA], 0)), "")</f>
        <v/>
      </c>
      <c r="T49" s="32" t="str">
        <f>IFERROR(INDEX(Table11[House % Change], MATCH(MemberOrgFinalSort[[#This Row],[CFDA]], Table11[Unique CFDA], 0)), "")</f>
        <v/>
      </c>
      <c r="U49" s="32" t="str">
        <f>IFERROR(INDEX(Table11[House $ Change], MATCH(MemberOrgFinalSort[[#This Row],[CFDA]], Table11[Unique CFDA], 0)), "")</f>
        <v/>
      </c>
      <c r="V49" s="20"/>
      <c r="X49" s="6"/>
      <c r="Y49" s="6"/>
      <c r="Z49" s="6"/>
      <c r="AA49" s="6"/>
      <c r="AB49" s="6"/>
    </row>
    <row r="50" spans="1:28" x14ac:dyDescent="0.25">
      <c r="A50" t="str">
        <f>IF(MemberOrgControl!$C53 = "", "", INDEX(MemberOrgsData[CFDA], MemberOrgControl!$C53))</f>
        <v/>
      </c>
      <c r="C50" s="6" t="str">
        <f>IFERROR(INDEX(AllFilteredCFDAs[All CFDAs], MATCH(0, INDEX(COUNTIF($C$3:C49, AllFilteredCFDAs[All CFDAs]),),0)), "")</f>
        <v/>
      </c>
      <c r="D50" s="6" t="str">
        <f t="array" ref="D50">IFERROR(INDEX(MemberOrgsData[FEDERALPROGRAMNAME], MATCH(1, (SelectMemberOrgs = MemberOrgsData[Auditee Name])*(Table11[[#This Row],[Unique CFDA]] = MemberOrgsData[CFDA]), 0)), "")</f>
        <v/>
      </c>
      <c r="E50" s="25" t="str">
        <f t="array" ref="E50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50" s="26" t="str">
        <f t="array" ref="F50">IFERROR(INDEX(BudgetAppropData[President % Change], MATCH(1, (Table11[[#This Row],[Unique CFDA]] = BudgetAppropData[CFDA])*(SelectBudgetYear = BudgetAppropData[Fiscal Year]), 0)), "")</f>
        <v/>
      </c>
      <c r="G50" s="25" t="str">
        <f>IF(Table11[[#This Row],[Unique CFDA]] = "", "", IFERROR(Table11[[#This Row],[FY 2018 Total]]*Table11[[#This Row],[President % Change]], ""))</f>
        <v/>
      </c>
      <c r="H50" s="26" t="str">
        <f t="array" ref="H50">IFERROR(INDEX(BudgetAppropData[House % Change], MATCH(1, (Table11[[#This Row],[Unique CFDA]] = BudgetAppropData[CFDA])*(SelectBudgetYear = BudgetAppropData[Fiscal Year]),0)), "")</f>
        <v/>
      </c>
      <c r="I50" s="25" t="str">
        <f>IF(Table11[[#This Row],[Unique CFDA]] = "", "", IFERROR(Table11[[#This Row],[FY 2018 Total]]*Table11[[#This Row],[House % Change]], ""))</f>
        <v/>
      </c>
      <c r="J50" s="6"/>
      <c r="K50" s="25" t="str">
        <f>IF(Table11[[#This Row],[Unique CFDA]] = "", "", IFERROR(Table11[[#This Row],[FY 2018 Total]]*Table11[[#This Row],[Senate Budget]], ""))</f>
        <v/>
      </c>
      <c r="L50" s="6" t="str">
        <f>IF(Table11[[#This Row],[Unique CFDA]] = "", "", IF(ISNUMBER(Table11[[#This Row],[President $ Change]]), RANK(Table11[[#This Row],[President $ Change]], Table11[President $ Change])+COUNTIF($G50:G50, G50)-1,0))</f>
        <v/>
      </c>
      <c r="N50">
        <v>47</v>
      </c>
      <c r="O50" t="str">
        <f>IFERROR(INDEX(Table11[Unique CFDA], MATCH(N50, Table11[Pres. Sort], 0)), "")</f>
        <v/>
      </c>
      <c r="P50" s="1" t="str">
        <f>IFERROR(INDEX(Table11[Grant Name], MATCH(MemberOrgFinalSort[[#This Row],[CFDA]], Table11[Unique CFDA], 0)), "")</f>
        <v/>
      </c>
      <c r="Q50" s="20" t="str">
        <f>IFERROR(INDEX(Table11[FY 2018 Total], MATCH(MemberOrgFinalSort[[#This Row],[CFDA]], Table11[Unique CFDA], 0)), "")</f>
        <v/>
      </c>
      <c r="R50" s="21" t="str">
        <f>IFERROR(INDEX(Table11[President % Change], MATCH(MemberOrgFinalSort[[#This Row],[CFDA]], Table11[Unique CFDA], 0)), "")</f>
        <v/>
      </c>
      <c r="S50" s="20" t="str">
        <f>IFERROR(INDEX(Table11[President $ Change], MATCH(MemberOrgFinalSort[[#This Row],[CFDA]], Table11[Unique CFDA], 0)), "")</f>
        <v/>
      </c>
      <c r="T50" s="32" t="str">
        <f>IFERROR(INDEX(Table11[House % Change], MATCH(MemberOrgFinalSort[[#This Row],[CFDA]], Table11[Unique CFDA], 0)), "")</f>
        <v/>
      </c>
      <c r="U50" s="32" t="str">
        <f>IFERROR(INDEX(Table11[House $ Change], MATCH(MemberOrgFinalSort[[#This Row],[CFDA]], Table11[Unique CFDA], 0)), "")</f>
        <v/>
      </c>
      <c r="V50" s="20"/>
      <c r="X50" s="6"/>
      <c r="Y50" s="6"/>
      <c r="Z50" s="6"/>
      <c r="AA50" s="6"/>
      <c r="AB50" s="6"/>
    </row>
    <row r="51" spans="1:28" x14ac:dyDescent="0.25">
      <c r="A51" t="str">
        <f>IF(MemberOrgControl!$C54 = "", "", INDEX(MemberOrgsData[CFDA], MemberOrgControl!$C54))</f>
        <v/>
      </c>
      <c r="C51" s="6" t="str">
        <f>IFERROR(INDEX(AllFilteredCFDAs[All CFDAs], MATCH(0, INDEX(COUNTIF($C$3:C50, AllFilteredCFDAs[All CFDAs]),),0)), "")</f>
        <v/>
      </c>
      <c r="D51" s="6" t="str">
        <f t="array" ref="D51">IFERROR(INDEX(MemberOrgsData[FEDERALPROGRAMNAME], MATCH(1, (SelectMemberOrgs = MemberOrgsData[Auditee Name])*(Table11[[#This Row],[Unique CFDA]] = MemberOrgsData[CFDA]), 0)), "")</f>
        <v/>
      </c>
      <c r="E51" s="25" t="str">
        <f t="array" ref="E51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51" s="26" t="str">
        <f t="array" ref="F51">IFERROR(INDEX(BudgetAppropData[President % Change], MATCH(1, (Table11[[#This Row],[Unique CFDA]] = BudgetAppropData[CFDA])*(SelectBudgetYear = BudgetAppropData[Fiscal Year]), 0)), "")</f>
        <v/>
      </c>
      <c r="G51" s="25" t="str">
        <f>IF(Table11[[#This Row],[Unique CFDA]] = "", "", IFERROR(Table11[[#This Row],[FY 2018 Total]]*Table11[[#This Row],[President % Change]], ""))</f>
        <v/>
      </c>
      <c r="H51" s="26" t="str">
        <f t="array" ref="H51">IFERROR(INDEX(BudgetAppropData[House % Change], MATCH(1, (Table11[[#This Row],[Unique CFDA]] = BudgetAppropData[CFDA])*(SelectBudgetYear = BudgetAppropData[Fiscal Year]),0)), "")</f>
        <v/>
      </c>
      <c r="I51" s="25" t="str">
        <f>IF(Table11[[#This Row],[Unique CFDA]] = "", "", IFERROR(Table11[[#This Row],[FY 2018 Total]]*Table11[[#This Row],[House % Change]], ""))</f>
        <v/>
      </c>
      <c r="J51" s="6"/>
      <c r="K51" s="25" t="str">
        <f>IF(Table11[[#This Row],[Unique CFDA]] = "", "", IFERROR(Table11[[#This Row],[FY 2018 Total]]*Table11[[#This Row],[Senate Budget]], ""))</f>
        <v/>
      </c>
      <c r="L51" s="6" t="str">
        <f>IF(Table11[[#This Row],[Unique CFDA]] = "", "", IF(ISNUMBER(Table11[[#This Row],[President $ Change]]), RANK(Table11[[#This Row],[President $ Change]], Table11[President $ Change])+COUNTIF($G51:G51, G51)-1,0))</f>
        <v/>
      </c>
      <c r="N51">
        <v>48</v>
      </c>
      <c r="O51" t="str">
        <f>IFERROR(INDEX(Table11[Unique CFDA], MATCH(N51, Table11[Pres. Sort], 0)), "")</f>
        <v/>
      </c>
      <c r="P51" s="1" t="str">
        <f>IFERROR(INDEX(Table11[Grant Name], MATCH(MemberOrgFinalSort[[#This Row],[CFDA]], Table11[Unique CFDA], 0)), "")</f>
        <v/>
      </c>
      <c r="Q51" s="20" t="str">
        <f>IFERROR(INDEX(Table11[FY 2018 Total], MATCH(MemberOrgFinalSort[[#This Row],[CFDA]], Table11[Unique CFDA], 0)), "")</f>
        <v/>
      </c>
      <c r="R51" s="21" t="str">
        <f>IFERROR(INDEX(Table11[President % Change], MATCH(MemberOrgFinalSort[[#This Row],[CFDA]], Table11[Unique CFDA], 0)), "")</f>
        <v/>
      </c>
      <c r="S51" s="20" t="str">
        <f>IFERROR(INDEX(Table11[President $ Change], MATCH(MemberOrgFinalSort[[#This Row],[CFDA]], Table11[Unique CFDA], 0)), "")</f>
        <v/>
      </c>
      <c r="T51" s="32" t="str">
        <f>IFERROR(INDEX(Table11[House % Change], MATCH(MemberOrgFinalSort[[#This Row],[CFDA]], Table11[Unique CFDA], 0)), "")</f>
        <v/>
      </c>
      <c r="U51" s="32" t="str">
        <f>IFERROR(INDEX(Table11[House $ Change], MATCH(MemberOrgFinalSort[[#This Row],[CFDA]], Table11[Unique CFDA], 0)), "")</f>
        <v/>
      </c>
      <c r="V51" s="20"/>
      <c r="X51" s="6"/>
      <c r="Y51" s="6"/>
      <c r="Z51" s="6"/>
      <c r="AA51" s="6"/>
      <c r="AB51" s="6"/>
    </row>
    <row r="52" spans="1:28" x14ac:dyDescent="0.25">
      <c r="A52" t="str">
        <f>IF(MemberOrgControl!$C55 = "", "", INDEX(MemberOrgsData[CFDA], MemberOrgControl!$C55))</f>
        <v/>
      </c>
      <c r="C52" s="6" t="str">
        <f>IFERROR(INDEX(AllFilteredCFDAs[All CFDAs], MATCH(0, INDEX(COUNTIF($C$3:C51, AllFilteredCFDAs[All CFDAs]),),0)), "")</f>
        <v/>
      </c>
      <c r="D52" s="6" t="str">
        <f t="array" ref="D52">IFERROR(INDEX(MemberOrgsData[FEDERALPROGRAMNAME], MATCH(1, (SelectMemberOrgs = MemberOrgsData[Auditee Name])*(Table11[[#This Row],[Unique CFDA]] = MemberOrgsData[CFDA]), 0)), "")</f>
        <v/>
      </c>
      <c r="E52" s="25" t="str">
        <f t="array" ref="E52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52" s="26" t="str">
        <f t="array" ref="F52">IFERROR(INDEX(BudgetAppropData[President % Change], MATCH(1, (Table11[[#This Row],[Unique CFDA]] = BudgetAppropData[CFDA])*(SelectBudgetYear = BudgetAppropData[Fiscal Year]), 0)), "")</f>
        <v/>
      </c>
      <c r="G52" s="25" t="str">
        <f>IF(Table11[[#This Row],[Unique CFDA]] = "", "", IFERROR(Table11[[#This Row],[FY 2018 Total]]*Table11[[#This Row],[President % Change]], ""))</f>
        <v/>
      </c>
      <c r="H52" s="26" t="str">
        <f t="array" ref="H52">IFERROR(INDEX(BudgetAppropData[House % Change], MATCH(1, (Table11[[#This Row],[Unique CFDA]] = BudgetAppropData[CFDA])*(SelectBudgetYear = BudgetAppropData[Fiscal Year]),0)), "")</f>
        <v/>
      </c>
      <c r="I52" s="25" t="str">
        <f>IF(Table11[[#This Row],[Unique CFDA]] = "", "", IFERROR(Table11[[#This Row],[FY 2018 Total]]*Table11[[#This Row],[House % Change]], ""))</f>
        <v/>
      </c>
      <c r="J52" s="6"/>
      <c r="K52" s="25" t="str">
        <f>IF(Table11[[#This Row],[Unique CFDA]] = "", "", IFERROR(Table11[[#This Row],[FY 2018 Total]]*Table11[[#This Row],[Senate Budget]], ""))</f>
        <v/>
      </c>
      <c r="L52" s="6" t="str">
        <f>IF(Table11[[#This Row],[Unique CFDA]] = "", "", IF(ISNUMBER(Table11[[#This Row],[President $ Change]]), RANK(Table11[[#This Row],[President $ Change]], Table11[President $ Change])+COUNTIF($G52:G52, G52)-1,0))</f>
        <v/>
      </c>
      <c r="N52">
        <v>49</v>
      </c>
      <c r="O52" t="str">
        <f>IFERROR(INDEX(Table11[Unique CFDA], MATCH(N52, Table11[Pres. Sort], 0)), "")</f>
        <v/>
      </c>
      <c r="P52" s="1" t="str">
        <f>IFERROR(INDEX(Table11[Grant Name], MATCH(MemberOrgFinalSort[[#This Row],[CFDA]], Table11[Unique CFDA], 0)), "")</f>
        <v/>
      </c>
      <c r="Q52" s="20" t="str">
        <f>IFERROR(INDEX(Table11[FY 2018 Total], MATCH(MemberOrgFinalSort[[#This Row],[CFDA]], Table11[Unique CFDA], 0)), "")</f>
        <v/>
      </c>
      <c r="R52" s="21" t="str">
        <f>IFERROR(INDEX(Table11[President % Change], MATCH(MemberOrgFinalSort[[#This Row],[CFDA]], Table11[Unique CFDA], 0)), "")</f>
        <v/>
      </c>
      <c r="S52" s="20" t="str">
        <f>IFERROR(INDEX(Table11[President $ Change], MATCH(MemberOrgFinalSort[[#This Row],[CFDA]], Table11[Unique CFDA], 0)), "")</f>
        <v/>
      </c>
      <c r="T52" s="32" t="str">
        <f>IFERROR(INDEX(Table11[House % Change], MATCH(MemberOrgFinalSort[[#This Row],[CFDA]], Table11[Unique CFDA], 0)), "")</f>
        <v/>
      </c>
      <c r="U52" s="32" t="str">
        <f>IFERROR(INDEX(Table11[House $ Change], MATCH(MemberOrgFinalSort[[#This Row],[CFDA]], Table11[Unique CFDA], 0)), "")</f>
        <v/>
      </c>
      <c r="V52" s="20"/>
      <c r="X52" s="6"/>
      <c r="Y52" s="6"/>
      <c r="Z52" s="6"/>
      <c r="AA52" s="6"/>
      <c r="AB52" s="6"/>
    </row>
    <row r="53" spans="1:28" x14ac:dyDescent="0.25">
      <c r="A53" t="str">
        <f>IF(MemberOrgControl!$C56 = "", "", INDEX(MemberOrgsData[CFDA], MemberOrgControl!$C56))</f>
        <v/>
      </c>
      <c r="C53" s="6" t="str">
        <f>IFERROR(INDEX(AllFilteredCFDAs[All CFDAs], MATCH(0, INDEX(COUNTIF($C$3:C52, AllFilteredCFDAs[All CFDAs]),),0)), "")</f>
        <v/>
      </c>
      <c r="D53" s="6" t="str">
        <f t="array" ref="D53">IFERROR(INDEX(MemberOrgsData[FEDERALPROGRAMNAME], MATCH(1, (SelectMemberOrgs = MemberOrgsData[Auditee Name])*(Table11[[#This Row],[Unique CFDA]] = MemberOrgsData[CFDA]), 0)), "")</f>
        <v/>
      </c>
      <c r="E53" s="25" t="str">
        <f t="array" ref="E53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53" s="26" t="str">
        <f t="array" ref="F53">IFERROR(INDEX(BudgetAppropData[President % Change], MATCH(1, (Table11[[#This Row],[Unique CFDA]] = BudgetAppropData[CFDA])*(SelectBudgetYear = BudgetAppropData[Fiscal Year]), 0)), "")</f>
        <v/>
      </c>
      <c r="G53" s="25" t="str">
        <f>IF(Table11[[#This Row],[Unique CFDA]] = "", "", IFERROR(Table11[[#This Row],[FY 2018 Total]]*Table11[[#This Row],[President % Change]], ""))</f>
        <v/>
      </c>
      <c r="H53" s="26" t="str">
        <f t="array" ref="H53">IFERROR(INDEX(BudgetAppropData[House % Change], MATCH(1, (Table11[[#This Row],[Unique CFDA]] = BudgetAppropData[CFDA])*(SelectBudgetYear = BudgetAppropData[Fiscal Year]),0)), "")</f>
        <v/>
      </c>
      <c r="I53" s="25" t="str">
        <f>IF(Table11[[#This Row],[Unique CFDA]] = "", "", IFERROR(Table11[[#This Row],[FY 2018 Total]]*Table11[[#This Row],[House % Change]], ""))</f>
        <v/>
      </c>
      <c r="J53" s="6"/>
      <c r="K53" s="25" t="str">
        <f>IF(Table11[[#This Row],[Unique CFDA]] = "", "", IFERROR(Table11[[#This Row],[FY 2018 Total]]*Table11[[#This Row],[Senate Budget]], ""))</f>
        <v/>
      </c>
      <c r="L53" s="6" t="str">
        <f>IF(Table11[[#This Row],[Unique CFDA]] = "", "", IF(ISNUMBER(Table11[[#This Row],[President $ Change]]), RANK(Table11[[#This Row],[President $ Change]], Table11[President $ Change])+COUNTIF($G53:G53, G53)-1,0))</f>
        <v/>
      </c>
      <c r="N53">
        <v>50</v>
      </c>
      <c r="O53" t="str">
        <f>IFERROR(INDEX(Table11[Unique CFDA], MATCH(N53, Table11[Pres. Sort], 0)), "")</f>
        <v/>
      </c>
      <c r="P53" s="1" t="str">
        <f>IFERROR(INDEX(Table11[Grant Name], MATCH(MemberOrgFinalSort[[#This Row],[CFDA]], Table11[Unique CFDA], 0)), "")</f>
        <v/>
      </c>
      <c r="Q53" s="20" t="str">
        <f>IFERROR(INDEX(Table11[FY 2018 Total], MATCH(MemberOrgFinalSort[[#This Row],[CFDA]], Table11[Unique CFDA], 0)), "")</f>
        <v/>
      </c>
      <c r="R53" s="21" t="str">
        <f>IFERROR(INDEX(Table11[President % Change], MATCH(MemberOrgFinalSort[[#This Row],[CFDA]], Table11[Unique CFDA], 0)), "")</f>
        <v/>
      </c>
      <c r="S53" s="20" t="str">
        <f>IFERROR(INDEX(Table11[President $ Change], MATCH(MemberOrgFinalSort[[#This Row],[CFDA]], Table11[Unique CFDA], 0)), "")</f>
        <v/>
      </c>
      <c r="T53" s="32" t="str">
        <f>IFERROR(INDEX(Table11[House % Change], MATCH(MemberOrgFinalSort[[#This Row],[CFDA]], Table11[Unique CFDA], 0)), "")</f>
        <v/>
      </c>
      <c r="U53" s="32" t="str">
        <f>IFERROR(INDEX(Table11[House $ Change], MATCH(MemberOrgFinalSort[[#This Row],[CFDA]], Table11[Unique CFDA], 0)), "")</f>
        <v/>
      </c>
      <c r="V53" s="20"/>
      <c r="X53" s="6"/>
      <c r="Y53" s="6"/>
      <c r="Z53" s="6"/>
      <c r="AA53" s="6"/>
      <c r="AB53" s="6"/>
    </row>
    <row r="54" spans="1:28" x14ac:dyDescent="0.25">
      <c r="A54" t="str">
        <f>IF(MemberOrgControl!$C57 = "", "", INDEX(MemberOrgsData[CFDA], MemberOrgControl!$C57))</f>
        <v/>
      </c>
      <c r="C54" s="6" t="str">
        <f>IFERROR(INDEX(AllFilteredCFDAs[All CFDAs], MATCH(0, INDEX(COUNTIF($C$3:C53, AllFilteredCFDAs[All CFDAs]),),0)), "")</f>
        <v/>
      </c>
      <c r="D54" s="6" t="str">
        <f t="array" ref="D54">IFERROR(INDEX(MemberOrgsData[FEDERALPROGRAMNAME], MATCH(1, (SelectMemberOrgs = MemberOrgsData[Auditee Name])*(Table11[[#This Row],[Unique CFDA]] = MemberOrgsData[CFDA]), 0)), "")</f>
        <v/>
      </c>
      <c r="E54" s="25" t="str">
        <f t="array" ref="E54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54" s="26" t="str">
        <f t="array" ref="F54">IFERROR(INDEX(BudgetAppropData[President % Change], MATCH(1, (Table11[[#This Row],[Unique CFDA]] = BudgetAppropData[CFDA])*(SelectBudgetYear = BudgetAppropData[Fiscal Year]), 0)), "")</f>
        <v/>
      </c>
      <c r="G54" s="25" t="str">
        <f>IF(Table11[[#This Row],[Unique CFDA]] = "", "", IFERROR(Table11[[#This Row],[FY 2018 Total]]*Table11[[#This Row],[President % Change]], ""))</f>
        <v/>
      </c>
      <c r="H54" s="26" t="str">
        <f t="array" ref="H54">IFERROR(INDEX(BudgetAppropData[House % Change], MATCH(1, (Table11[[#This Row],[Unique CFDA]] = BudgetAppropData[CFDA])*(SelectBudgetYear = BudgetAppropData[Fiscal Year]),0)), "")</f>
        <v/>
      </c>
      <c r="I54" s="25" t="str">
        <f>IF(Table11[[#This Row],[Unique CFDA]] = "", "", IFERROR(Table11[[#This Row],[FY 2018 Total]]*Table11[[#This Row],[House % Change]], ""))</f>
        <v/>
      </c>
      <c r="J54" s="6"/>
      <c r="K54" s="25" t="str">
        <f>IF(Table11[[#This Row],[Unique CFDA]] = "", "", IFERROR(Table11[[#This Row],[FY 2018 Total]]*Table11[[#This Row],[Senate Budget]], ""))</f>
        <v/>
      </c>
      <c r="L54" s="6" t="str">
        <f>IF(Table11[[#This Row],[Unique CFDA]] = "", "", IF(ISNUMBER(Table11[[#This Row],[President $ Change]]), RANK(Table11[[#This Row],[President $ Change]], Table11[President $ Change])+COUNTIF($G54:G54, G54)-1,0))</f>
        <v/>
      </c>
      <c r="N54">
        <v>51</v>
      </c>
      <c r="O54" t="str">
        <f>IFERROR(INDEX(Table11[Unique CFDA], MATCH(N54, Table11[Pres. Sort], 0)), "")</f>
        <v/>
      </c>
      <c r="P54" s="1" t="str">
        <f>IFERROR(INDEX(Table11[Grant Name], MATCH(MemberOrgFinalSort[[#This Row],[CFDA]], Table11[Unique CFDA], 0)), "")</f>
        <v/>
      </c>
      <c r="Q54" s="20" t="str">
        <f>IFERROR(INDEX(Table11[FY 2018 Total], MATCH(MemberOrgFinalSort[[#This Row],[CFDA]], Table11[Unique CFDA], 0)), "")</f>
        <v/>
      </c>
      <c r="R54" s="21" t="str">
        <f>IFERROR(INDEX(Table11[President % Change], MATCH(MemberOrgFinalSort[[#This Row],[CFDA]], Table11[Unique CFDA], 0)), "")</f>
        <v/>
      </c>
      <c r="S54" s="20" t="str">
        <f>IFERROR(INDEX(Table11[President $ Change], MATCH(MemberOrgFinalSort[[#This Row],[CFDA]], Table11[Unique CFDA], 0)), "")</f>
        <v/>
      </c>
      <c r="T54" s="32" t="str">
        <f>IFERROR(INDEX(Table11[House % Change], MATCH(MemberOrgFinalSort[[#This Row],[CFDA]], Table11[Unique CFDA], 0)), "")</f>
        <v/>
      </c>
      <c r="U54" s="32" t="str">
        <f>IFERROR(INDEX(Table11[House $ Change], MATCH(MemberOrgFinalSort[[#This Row],[CFDA]], Table11[Unique CFDA], 0)), "")</f>
        <v/>
      </c>
      <c r="V54" s="20"/>
      <c r="X54" s="6"/>
      <c r="Y54" s="6"/>
      <c r="Z54" s="6"/>
      <c r="AA54" s="6"/>
      <c r="AB54" s="6"/>
    </row>
    <row r="55" spans="1:28" x14ac:dyDescent="0.25">
      <c r="A55" t="str">
        <f>IF(MemberOrgControl!$C58 = "", "", INDEX(MemberOrgsData[CFDA], MemberOrgControl!$C58))</f>
        <v/>
      </c>
      <c r="C55" s="6" t="str">
        <f>IFERROR(INDEX(AllFilteredCFDAs[All CFDAs], MATCH(0, INDEX(COUNTIF($C$3:C54, AllFilteredCFDAs[All CFDAs]),),0)), "")</f>
        <v/>
      </c>
      <c r="D55" s="6" t="str">
        <f t="array" ref="D55">IFERROR(INDEX(MemberOrgsData[FEDERALPROGRAMNAME], MATCH(1, (SelectMemberOrgs = MemberOrgsData[Auditee Name])*(Table11[[#This Row],[Unique CFDA]] = MemberOrgsData[CFDA]), 0)), "")</f>
        <v/>
      </c>
      <c r="E55" s="25" t="str">
        <f t="array" ref="E55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55" s="26" t="str">
        <f t="array" ref="F55">IFERROR(INDEX(BudgetAppropData[President % Change], MATCH(1, (Table11[[#This Row],[Unique CFDA]] = BudgetAppropData[CFDA])*(SelectBudgetYear = BudgetAppropData[Fiscal Year]), 0)), "")</f>
        <v/>
      </c>
      <c r="G55" s="25" t="str">
        <f>IF(Table11[[#This Row],[Unique CFDA]] = "", "", IFERROR(Table11[[#This Row],[FY 2018 Total]]*Table11[[#This Row],[President % Change]], ""))</f>
        <v/>
      </c>
      <c r="H55" s="26" t="str">
        <f t="array" ref="H55">IFERROR(INDEX(BudgetAppropData[House % Change], MATCH(1, (Table11[[#This Row],[Unique CFDA]] = BudgetAppropData[CFDA])*(SelectBudgetYear = BudgetAppropData[Fiscal Year]),0)), "")</f>
        <v/>
      </c>
      <c r="I55" s="25" t="str">
        <f>IF(Table11[[#This Row],[Unique CFDA]] = "", "", IFERROR(Table11[[#This Row],[FY 2018 Total]]*Table11[[#This Row],[House % Change]], ""))</f>
        <v/>
      </c>
      <c r="J55" s="6"/>
      <c r="K55" s="25" t="str">
        <f>IF(Table11[[#This Row],[Unique CFDA]] = "", "", IFERROR(Table11[[#This Row],[FY 2018 Total]]*Table11[[#This Row],[Senate Budget]], ""))</f>
        <v/>
      </c>
      <c r="L55" s="6" t="str">
        <f>IF(Table11[[#This Row],[Unique CFDA]] = "", "", IF(ISNUMBER(Table11[[#This Row],[President $ Change]]), RANK(Table11[[#This Row],[President $ Change]], Table11[President $ Change])+COUNTIF($G55:G55, G55)-1,0))</f>
        <v/>
      </c>
      <c r="N55">
        <v>52</v>
      </c>
      <c r="O55" t="str">
        <f>IFERROR(INDEX(Table11[Unique CFDA], MATCH(N55, Table11[Pres. Sort], 0)), "")</f>
        <v/>
      </c>
      <c r="P55" s="1" t="str">
        <f>IFERROR(INDEX(Table11[Grant Name], MATCH(MemberOrgFinalSort[[#This Row],[CFDA]], Table11[Unique CFDA], 0)), "")</f>
        <v/>
      </c>
      <c r="Q55" s="20" t="str">
        <f>IFERROR(INDEX(Table11[FY 2018 Total], MATCH(MemberOrgFinalSort[[#This Row],[CFDA]], Table11[Unique CFDA], 0)), "")</f>
        <v/>
      </c>
      <c r="R55" s="21" t="str">
        <f>IFERROR(INDEX(Table11[President % Change], MATCH(MemberOrgFinalSort[[#This Row],[CFDA]], Table11[Unique CFDA], 0)), "")</f>
        <v/>
      </c>
      <c r="S55" s="20" t="str">
        <f>IFERROR(INDEX(Table11[President $ Change], MATCH(MemberOrgFinalSort[[#This Row],[CFDA]], Table11[Unique CFDA], 0)), "")</f>
        <v/>
      </c>
      <c r="T55" s="32" t="str">
        <f>IFERROR(INDEX(Table11[House % Change], MATCH(MemberOrgFinalSort[[#This Row],[CFDA]], Table11[Unique CFDA], 0)), "")</f>
        <v/>
      </c>
      <c r="U55" s="32" t="str">
        <f>IFERROR(INDEX(Table11[House $ Change], MATCH(MemberOrgFinalSort[[#This Row],[CFDA]], Table11[Unique CFDA], 0)), "")</f>
        <v/>
      </c>
      <c r="V55" s="20"/>
      <c r="X55" s="6"/>
      <c r="Y55" s="6"/>
      <c r="Z55" s="6"/>
      <c r="AA55" s="6"/>
      <c r="AB55" s="6"/>
    </row>
    <row r="56" spans="1:28" x14ac:dyDescent="0.25">
      <c r="A56" t="str">
        <f>IF(MemberOrgControl!$C59 = "", "", INDEX(MemberOrgsData[CFDA], MemberOrgControl!$C59))</f>
        <v/>
      </c>
      <c r="C56" s="6" t="str">
        <f>IFERROR(INDEX(AllFilteredCFDAs[All CFDAs], MATCH(0, INDEX(COUNTIF($C$3:C55, AllFilteredCFDAs[All CFDAs]),),0)), "")</f>
        <v/>
      </c>
      <c r="D56" s="6" t="str">
        <f t="array" ref="D56">IFERROR(INDEX(MemberOrgsData[FEDERALPROGRAMNAME], MATCH(1, (SelectMemberOrgs = MemberOrgsData[Auditee Name])*(Table11[[#This Row],[Unique CFDA]] = MemberOrgsData[CFDA]), 0)), "")</f>
        <v/>
      </c>
      <c r="E56" s="25" t="str">
        <f t="array" ref="E56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56" s="26" t="str">
        <f t="array" ref="F56">IFERROR(INDEX(BudgetAppropData[President % Change], MATCH(1, (Table11[[#This Row],[Unique CFDA]] = BudgetAppropData[CFDA])*(SelectBudgetYear = BudgetAppropData[Fiscal Year]), 0)), "")</f>
        <v/>
      </c>
      <c r="G56" s="25" t="str">
        <f>IF(Table11[[#This Row],[Unique CFDA]] = "", "", IFERROR(Table11[[#This Row],[FY 2018 Total]]*Table11[[#This Row],[President % Change]], ""))</f>
        <v/>
      </c>
      <c r="H56" s="26" t="str">
        <f t="array" ref="H56">IFERROR(INDEX(BudgetAppropData[House % Change], MATCH(1, (Table11[[#This Row],[Unique CFDA]] = BudgetAppropData[CFDA])*(SelectBudgetYear = BudgetAppropData[Fiscal Year]),0)), "")</f>
        <v/>
      </c>
      <c r="I56" s="25" t="str">
        <f>IF(Table11[[#This Row],[Unique CFDA]] = "", "", IFERROR(Table11[[#This Row],[FY 2018 Total]]*Table11[[#This Row],[House % Change]], ""))</f>
        <v/>
      </c>
      <c r="J56" s="6"/>
      <c r="K56" s="25" t="str">
        <f>IF(Table11[[#This Row],[Unique CFDA]] = "", "", IFERROR(Table11[[#This Row],[FY 2018 Total]]*Table11[[#This Row],[Senate Budget]], ""))</f>
        <v/>
      </c>
      <c r="L56" s="6" t="str">
        <f>IF(Table11[[#This Row],[Unique CFDA]] = "", "", IF(ISNUMBER(Table11[[#This Row],[President $ Change]]), RANK(Table11[[#This Row],[President $ Change]], Table11[President $ Change])+COUNTIF($G56:G56, G56)-1,0))</f>
        <v/>
      </c>
      <c r="N56">
        <v>53</v>
      </c>
      <c r="O56" t="str">
        <f>IFERROR(INDEX(Table11[Unique CFDA], MATCH(N56, Table11[Pres. Sort], 0)), "")</f>
        <v/>
      </c>
      <c r="P56" s="1" t="str">
        <f>IFERROR(INDEX(Table11[Grant Name], MATCH(MemberOrgFinalSort[[#This Row],[CFDA]], Table11[Unique CFDA], 0)), "")</f>
        <v/>
      </c>
      <c r="Q56" s="20" t="str">
        <f>IFERROR(INDEX(Table11[FY 2018 Total], MATCH(MemberOrgFinalSort[[#This Row],[CFDA]], Table11[Unique CFDA], 0)), "")</f>
        <v/>
      </c>
      <c r="R56" s="21" t="str">
        <f>IFERROR(INDEX(Table11[President % Change], MATCH(MemberOrgFinalSort[[#This Row],[CFDA]], Table11[Unique CFDA], 0)), "")</f>
        <v/>
      </c>
      <c r="S56" s="20" t="str">
        <f>IFERROR(INDEX(Table11[President $ Change], MATCH(MemberOrgFinalSort[[#This Row],[CFDA]], Table11[Unique CFDA], 0)), "")</f>
        <v/>
      </c>
      <c r="T56" s="32" t="str">
        <f>IFERROR(INDEX(Table11[House % Change], MATCH(MemberOrgFinalSort[[#This Row],[CFDA]], Table11[Unique CFDA], 0)), "")</f>
        <v/>
      </c>
      <c r="U56" s="32" t="str">
        <f>IFERROR(INDEX(Table11[House $ Change], MATCH(MemberOrgFinalSort[[#This Row],[CFDA]], Table11[Unique CFDA], 0)), "")</f>
        <v/>
      </c>
      <c r="V56" s="20"/>
      <c r="X56" s="6"/>
      <c r="Y56" s="6"/>
      <c r="Z56" s="6"/>
      <c r="AA56" s="6"/>
      <c r="AB56" s="6"/>
    </row>
    <row r="57" spans="1:28" x14ac:dyDescent="0.25">
      <c r="A57" t="str">
        <f>IF(MemberOrgControl!$C60 = "", "", INDEX(MemberOrgsData[CFDA], MemberOrgControl!$C60))</f>
        <v/>
      </c>
      <c r="C57" s="6" t="str">
        <f>IFERROR(INDEX(AllFilteredCFDAs[All CFDAs], MATCH(0, INDEX(COUNTIF($C$3:C56, AllFilteredCFDAs[All CFDAs]),),0)), "")</f>
        <v/>
      </c>
      <c r="D57" s="6" t="str">
        <f t="array" ref="D57">IFERROR(INDEX(MemberOrgsData[FEDERALPROGRAMNAME], MATCH(1, (SelectMemberOrgs = MemberOrgsData[Auditee Name])*(Table11[[#This Row],[Unique CFDA]] = MemberOrgsData[CFDA]), 0)), "")</f>
        <v/>
      </c>
      <c r="E57" s="25" t="str">
        <f t="array" ref="E57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57" s="26" t="str">
        <f t="array" ref="F57">IFERROR(INDEX(BudgetAppropData[President % Change], MATCH(1, (Table11[[#This Row],[Unique CFDA]] = BudgetAppropData[CFDA])*(SelectBudgetYear = BudgetAppropData[Fiscal Year]), 0)), "")</f>
        <v/>
      </c>
      <c r="G57" s="25" t="str">
        <f>IF(Table11[[#This Row],[Unique CFDA]] = "", "", IFERROR(Table11[[#This Row],[FY 2018 Total]]*Table11[[#This Row],[President % Change]], ""))</f>
        <v/>
      </c>
      <c r="H57" s="26" t="str">
        <f t="array" ref="H57">IFERROR(INDEX(BudgetAppropData[House % Change], MATCH(1, (Table11[[#This Row],[Unique CFDA]] = BudgetAppropData[CFDA])*(SelectBudgetYear = BudgetAppropData[Fiscal Year]),0)), "")</f>
        <v/>
      </c>
      <c r="I57" s="25" t="str">
        <f>IF(Table11[[#This Row],[Unique CFDA]] = "", "", IFERROR(Table11[[#This Row],[FY 2018 Total]]*Table11[[#This Row],[House % Change]], ""))</f>
        <v/>
      </c>
      <c r="J57" s="6"/>
      <c r="K57" s="25" t="str">
        <f>IF(Table11[[#This Row],[Unique CFDA]] = "", "", IFERROR(Table11[[#This Row],[FY 2018 Total]]*Table11[[#This Row],[Senate Budget]], ""))</f>
        <v/>
      </c>
      <c r="L57" s="6" t="str">
        <f>IF(Table11[[#This Row],[Unique CFDA]] = "", "", IF(ISNUMBER(Table11[[#This Row],[President $ Change]]), RANK(Table11[[#This Row],[President $ Change]], Table11[President $ Change])+COUNTIF($G57:G57, G57)-1,0))</f>
        <v/>
      </c>
      <c r="N57">
        <v>54</v>
      </c>
      <c r="O57" t="str">
        <f>IFERROR(INDEX(Table11[Unique CFDA], MATCH(N57, Table11[Pres. Sort], 0)), "")</f>
        <v/>
      </c>
      <c r="P57" s="1" t="str">
        <f>IFERROR(INDEX(Table11[Grant Name], MATCH(MemberOrgFinalSort[[#This Row],[CFDA]], Table11[Unique CFDA], 0)), "")</f>
        <v/>
      </c>
      <c r="Q57" s="20" t="str">
        <f>IFERROR(INDEX(Table11[FY 2018 Total], MATCH(MemberOrgFinalSort[[#This Row],[CFDA]], Table11[Unique CFDA], 0)), "")</f>
        <v/>
      </c>
      <c r="R57" s="21" t="str">
        <f>IFERROR(INDEX(Table11[President % Change], MATCH(MemberOrgFinalSort[[#This Row],[CFDA]], Table11[Unique CFDA], 0)), "")</f>
        <v/>
      </c>
      <c r="S57" s="20" t="str">
        <f>IFERROR(INDEX(Table11[President $ Change], MATCH(MemberOrgFinalSort[[#This Row],[CFDA]], Table11[Unique CFDA], 0)), "")</f>
        <v/>
      </c>
      <c r="T57" s="32" t="str">
        <f>IFERROR(INDEX(Table11[House % Change], MATCH(MemberOrgFinalSort[[#This Row],[CFDA]], Table11[Unique CFDA], 0)), "")</f>
        <v/>
      </c>
      <c r="U57" s="32" t="str">
        <f>IFERROR(INDEX(Table11[House $ Change], MATCH(MemberOrgFinalSort[[#This Row],[CFDA]], Table11[Unique CFDA], 0)), "")</f>
        <v/>
      </c>
      <c r="V57" s="20"/>
      <c r="X57" s="6"/>
      <c r="Y57" s="6"/>
      <c r="Z57" s="6"/>
      <c r="AA57" s="6"/>
      <c r="AB57" s="6"/>
    </row>
    <row r="58" spans="1:28" x14ac:dyDescent="0.25">
      <c r="A58" t="str">
        <f>IF(MemberOrgControl!$C61 = "", "", INDEX(MemberOrgsData[CFDA], MemberOrgControl!$C61))</f>
        <v/>
      </c>
      <c r="C58" s="6" t="str">
        <f>IFERROR(INDEX(AllFilteredCFDAs[All CFDAs], MATCH(0, INDEX(COUNTIF($C$3:C57, AllFilteredCFDAs[All CFDAs]),),0)), "")</f>
        <v/>
      </c>
      <c r="D58" s="6" t="str">
        <f t="array" ref="D58">IFERROR(INDEX(MemberOrgsData[FEDERALPROGRAMNAME], MATCH(1, (SelectMemberOrgs = MemberOrgsData[Auditee Name])*(Table11[[#This Row],[Unique CFDA]] = MemberOrgsData[CFDA]), 0)), "")</f>
        <v/>
      </c>
      <c r="E58" s="25" t="str">
        <f t="array" ref="E58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58" s="26" t="str">
        <f t="array" ref="F58">IFERROR(INDEX(BudgetAppropData[President % Change], MATCH(1, (Table11[[#This Row],[Unique CFDA]] = BudgetAppropData[CFDA])*(SelectBudgetYear = BudgetAppropData[Fiscal Year]), 0)), "")</f>
        <v/>
      </c>
      <c r="G58" s="25" t="str">
        <f>IF(Table11[[#This Row],[Unique CFDA]] = "", "", IFERROR(Table11[[#This Row],[FY 2018 Total]]*Table11[[#This Row],[President % Change]], ""))</f>
        <v/>
      </c>
      <c r="H58" s="26" t="str">
        <f t="array" ref="H58">IFERROR(INDEX(BudgetAppropData[House % Change], MATCH(1, (Table11[[#This Row],[Unique CFDA]] = BudgetAppropData[CFDA])*(SelectBudgetYear = BudgetAppropData[Fiscal Year]),0)), "")</f>
        <v/>
      </c>
      <c r="I58" s="25" t="str">
        <f>IF(Table11[[#This Row],[Unique CFDA]] = "", "", IFERROR(Table11[[#This Row],[FY 2018 Total]]*Table11[[#This Row],[House % Change]], ""))</f>
        <v/>
      </c>
      <c r="J58" s="6"/>
      <c r="K58" s="25" t="str">
        <f>IF(Table11[[#This Row],[Unique CFDA]] = "", "", IFERROR(Table11[[#This Row],[FY 2018 Total]]*Table11[[#This Row],[Senate Budget]], ""))</f>
        <v/>
      </c>
      <c r="L58" s="6" t="str">
        <f>IF(Table11[[#This Row],[Unique CFDA]] = "", "", IF(ISNUMBER(Table11[[#This Row],[President $ Change]]), RANK(Table11[[#This Row],[President $ Change]], Table11[President $ Change])+COUNTIF($G58:G58, G58)-1,0))</f>
        <v/>
      </c>
      <c r="N58">
        <v>55</v>
      </c>
      <c r="O58" t="str">
        <f>IFERROR(INDEX(Table11[Unique CFDA], MATCH(N58, Table11[Pres. Sort], 0)), "")</f>
        <v/>
      </c>
      <c r="P58" s="1" t="str">
        <f>IFERROR(INDEX(Table11[Grant Name], MATCH(MemberOrgFinalSort[[#This Row],[CFDA]], Table11[Unique CFDA], 0)), "")</f>
        <v/>
      </c>
      <c r="Q58" s="20" t="str">
        <f>IFERROR(INDEX(Table11[FY 2018 Total], MATCH(MemberOrgFinalSort[[#This Row],[CFDA]], Table11[Unique CFDA], 0)), "")</f>
        <v/>
      </c>
      <c r="R58" s="21" t="str">
        <f>IFERROR(INDEX(Table11[President % Change], MATCH(MemberOrgFinalSort[[#This Row],[CFDA]], Table11[Unique CFDA], 0)), "")</f>
        <v/>
      </c>
      <c r="S58" s="20" t="str">
        <f>IFERROR(INDEX(Table11[President $ Change], MATCH(MemberOrgFinalSort[[#This Row],[CFDA]], Table11[Unique CFDA], 0)), "")</f>
        <v/>
      </c>
      <c r="T58" s="32" t="str">
        <f>IFERROR(INDEX(Table11[House % Change], MATCH(MemberOrgFinalSort[[#This Row],[CFDA]], Table11[Unique CFDA], 0)), "")</f>
        <v/>
      </c>
      <c r="U58" s="32" t="str">
        <f>IFERROR(INDEX(Table11[House $ Change], MATCH(MemberOrgFinalSort[[#This Row],[CFDA]], Table11[Unique CFDA], 0)), "")</f>
        <v/>
      </c>
      <c r="V58" s="20"/>
      <c r="X58" s="6"/>
      <c r="Y58" s="6"/>
      <c r="Z58" s="6"/>
      <c r="AA58" s="6"/>
      <c r="AB58" s="6"/>
    </row>
    <row r="59" spans="1:28" x14ac:dyDescent="0.25">
      <c r="A59" t="str">
        <f>IF(MemberOrgControl!$C62 = "", "", INDEX(MemberOrgsData[CFDA], MemberOrgControl!$C62))</f>
        <v/>
      </c>
      <c r="C59" s="6" t="str">
        <f>IFERROR(INDEX(AllFilteredCFDAs[All CFDAs], MATCH(0, INDEX(COUNTIF($C$3:C58, AllFilteredCFDAs[All CFDAs]),),0)), "")</f>
        <v/>
      </c>
      <c r="D59" s="6" t="str">
        <f t="array" ref="D59">IFERROR(INDEX(MemberOrgsData[FEDERALPROGRAMNAME], MATCH(1, (SelectMemberOrgs = MemberOrgsData[Auditee Name])*(Table11[[#This Row],[Unique CFDA]] = MemberOrgsData[CFDA]), 0)), "")</f>
        <v/>
      </c>
      <c r="E59" s="25" t="str">
        <f t="array" ref="E59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59" s="26" t="str">
        <f t="array" ref="F59">IFERROR(INDEX(BudgetAppropData[President % Change], MATCH(1, (Table11[[#This Row],[Unique CFDA]] = BudgetAppropData[CFDA])*(SelectBudgetYear = BudgetAppropData[Fiscal Year]), 0)), "")</f>
        <v/>
      </c>
      <c r="G59" s="25" t="str">
        <f>IF(Table11[[#This Row],[Unique CFDA]] = "", "", IFERROR(Table11[[#This Row],[FY 2018 Total]]*Table11[[#This Row],[President % Change]], ""))</f>
        <v/>
      </c>
      <c r="H59" s="26" t="str">
        <f t="array" ref="H59">IFERROR(INDEX(BudgetAppropData[House % Change], MATCH(1, (Table11[[#This Row],[Unique CFDA]] = BudgetAppropData[CFDA])*(SelectBudgetYear = BudgetAppropData[Fiscal Year]),0)), "")</f>
        <v/>
      </c>
      <c r="I59" s="25" t="str">
        <f>IF(Table11[[#This Row],[Unique CFDA]] = "", "", IFERROR(Table11[[#This Row],[FY 2018 Total]]*Table11[[#This Row],[House % Change]], ""))</f>
        <v/>
      </c>
      <c r="J59" s="6"/>
      <c r="K59" s="25" t="str">
        <f>IF(Table11[[#This Row],[Unique CFDA]] = "", "", IFERROR(Table11[[#This Row],[FY 2018 Total]]*Table11[[#This Row],[Senate Budget]], ""))</f>
        <v/>
      </c>
      <c r="L59" s="6" t="str">
        <f>IF(Table11[[#This Row],[Unique CFDA]] = "", "", IF(ISNUMBER(Table11[[#This Row],[President $ Change]]), RANK(Table11[[#This Row],[President $ Change]], Table11[President $ Change])+COUNTIF($G59:G59, G59)-1,0))</f>
        <v/>
      </c>
      <c r="N59">
        <v>56</v>
      </c>
      <c r="O59" t="str">
        <f>IFERROR(INDEX(Table11[Unique CFDA], MATCH(N59, Table11[Pres. Sort], 0)), "")</f>
        <v/>
      </c>
      <c r="P59" s="1" t="str">
        <f>IFERROR(INDEX(Table11[Grant Name], MATCH(MemberOrgFinalSort[[#This Row],[CFDA]], Table11[Unique CFDA], 0)), "")</f>
        <v/>
      </c>
      <c r="Q59" s="20" t="str">
        <f>IFERROR(INDEX(Table11[FY 2018 Total], MATCH(MemberOrgFinalSort[[#This Row],[CFDA]], Table11[Unique CFDA], 0)), "")</f>
        <v/>
      </c>
      <c r="R59" s="21" t="str">
        <f>IFERROR(INDEX(Table11[President % Change], MATCH(MemberOrgFinalSort[[#This Row],[CFDA]], Table11[Unique CFDA], 0)), "")</f>
        <v/>
      </c>
      <c r="S59" s="20" t="str">
        <f>IFERROR(INDEX(Table11[President $ Change], MATCH(MemberOrgFinalSort[[#This Row],[CFDA]], Table11[Unique CFDA], 0)), "")</f>
        <v/>
      </c>
      <c r="T59" s="32" t="str">
        <f>IFERROR(INDEX(Table11[House % Change], MATCH(MemberOrgFinalSort[[#This Row],[CFDA]], Table11[Unique CFDA], 0)), "")</f>
        <v/>
      </c>
      <c r="U59" s="32" t="str">
        <f>IFERROR(INDEX(Table11[House $ Change], MATCH(MemberOrgFinalSort[[#This Row],[CFDA]], Table11[Unique CFDA], 0)), "")</f>
        <v/>
      </c>
      <c r="V59" s="20"/>
      <c r="X59" s="6"/>
      <c r="Y59" s="6"/>
      <c r="Z59" s="6"/>
      <c r="AA59" s="6"/>
      <c r="AB59" s="6"/>
    </row>
    <row r="60" spans="1:28" x14ac:dyDescent="0.25">
      <c r="A60" t="str">
        <f>IF(MemberOrgControl!$C63 = "", "", INDEX(MemberOrgsData[CFDA], MemberOrgControl!$C63))</f>
        <v/>
      </c>
      <c r="C60" s="6" t="str">
        <f>IFERROR(INDEX(AllFilteredCFDAs[All CFDAs], MATCH(0, INDEX(COUNTIF($C$3:C59, AllFilteredCFDAs[All CFDAs]),),0)), "")</f>
        <v/>
      </c>
      <c r="D60" s="6" t="str">
        <f t="array" ref="D60">IFERROR(INDEX(MemberOrgsData[FEDERALPROGRAMNAME], MATCH(1, (SelectMemberOrgs = MemberOrgsData[Auditee Name])*(Table11[[#This Row],[Unique CFDA]] = MemberOrgsData[CFDA]), 0)), "")</f>
        <v/>
      </c>
      <c r="E60" s="25" t="str">
        <f t="array" ref="E60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60" s="26" t="str">
        <f t="array" ref="F60">IFERROR(INDEX(BudgetAppropData[President % Change], MATCH(1, (Table11[[#This Row],[Unique CFDA]] = BudgetAppropData[CFDA])*(SelectBudgetYear = BudgetAppropData[Fiscal Year]), 0)), "")</f>
        <v/>
      </c>
      <c r="G60" s="25" t="str">
        <f>IF(Table11[[#This Row],[Unique CFDA]] = "", "", IFERROR(Table11[[#This Row],[FY 2018 Total]]*Table11[[#This Row],[President % Change]], ""))</f>
        <v/>
      </c>
      <c r="H60" s="26" t="str">
        <f t="array" ref="H60">IFERROR(INDEX(BudgetAppropData[House % Change], MATCH(1, (Table11[[#This Row],[Unique CFDA]] = BudgetAppropData[CFDA])*(SelectBudgetYear = BudgetAppropData[Fiscal Year]),0)), "")</f>
        <v/>
      </c>
      <c r="I60" s="25" t="str">
        <f>IF(Table11[[#This Row],[Unique CFDA]] = "", "", IFERROR(Table11[[#This Row],[FY 2018 Total]]*Table11[[#This Row],[House % Change]], ""))</f>
        <v/>
      </c>
      <c r="J60" s="6"/>
      <c r="K60" s="25" t="str">
        <f>IF(Table11[[#This Row],[Unique CFDA]] = "", "", IFERROR(Table11[[#This Row],[FY 2018 Total]]*Table11[[#This Row],[Senate Budget]], ""))</f>
        <v/>
      </c>
      <c r="L60" s="6" t="str">
        <f>IF(Table11[[#This Row],[Unique CFDA]] = "", "", IF(ISNUMBER(Table11[[#This Row],[President $ Change]]), RANK(Table11[[#This Row],[President $ Change]], Table11[President $ Change])+COUNTIF($G60:G60, G60)-1,0))</f>
        <v/>
      </c>
      <c r="N60">
        <v>57</v>
      </c>
      <c r="O60" t="str">
        <f>IFERROR(INDEX(Table11[Unique CFDA], MATCH(N60, Table11[Pres. Sort], 0)), "")</f>
        <v/>
      </c>
      <c r="P60" s="1" t="str">
        <f>IFERROR(INDEX(Table11[Grant Name], MATCH(MemberOrgFinalSort[[#This Row],[CFDA]], Table11[Unique CFDA], 0)), "")</f>
        <v/>
      </c>
      <c r="Q60" s="20" t="str">
        <f>IFERROR(INDEX(Table11[FY 2018 Total], MATCH(MemberOrgFinalSort[[#This Row],[CFDA]], Table11[Unique CFDA], 0)), "")</f>
        <v/>
      </c>
      <c r="R60" s="21" t="str">
        <f>IFERROR(INDEX(Table11[President % Change], MATCH(MemberOrgFinalSort[[#This Row],[CFDA]], Table11[Unique CFDA], 0)), "")</f>
        <v/>
      </c>
      <c r="S60" s="20" t="str">
        <f>IFERROR(INDEX(Table11[President $ Change], MATCH(MemberOrgFinalSort[[#This Row],[CFDA]], Table11[Unique CFDA], 0)), "")</f>
        <v/>
      </c>
      <c r="T60" s="32" t="str">
        <f>IFERROR(INDEX(Table11[House % Change], MATCH(MemberOrgFinalSort[[#This Row],[CFDA]], Table11[Unique CFDA], 0)), "")</f>
        <v/>
      </c>
      <c r="U60" s="32" t="str">
        <f>IFERROR(INDEX(Table11[House $ Change], MATCH(MemberOrgFinalSort[[#This Row],[CFDA]], Table11[Unique CFDA], 0)), "")</f>
        <v/>
      </c>
      <c r="V60" s="20"/>
      <c r="X60" s="6"/>
      <c r="Y60" s="6"/>
      <c r="Z60" s="6"/>
      <c r="AA60" s="6"/>
      <c r="AB60" s="6"/>
    </row>
    <row r="61" spans="1:28" x14ac:dyDescent="0.25">
      <c r="A61" t="str">
        <f>IF(MemberOrgControl!$C64 = "", "", INDEX(MemberOrgsData[CFDA], MemberOrgControl!$C64))</f>
        <v/>
      </c>
      <c r="C61" s="6" t="str">
        <f>IFERROR(INDEX(AllFilteredCFDAs[All CFDAs], MATCH(0, INDEX(COUNTIF($C$3:C60, AllFilteredCFDAs[All CFDAs]),),0)), "")</f>
        <v/>
      </c>
      <c r="D61" s="6" t="str">
        <f t="array" ref="D61">IFERROR(INDEX(MemberOrgsData[FEDERALPROGRAMNAME], MATCH(1, (SelectMemberOrgs = MemberOrgsData[Auditee Name])*(Table11[[#This Row],[Unique CFDA]] = MemberOrgsData[CFDA]), 0)), "")</f>
        <v/>
      </c>
      <c r="E61" s="25" t="str">
        <f t="array" ref="E61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61" s="26" t="str">
        <f t="array" ref="F61">IFERROR(INDEX(BudgetAppropData[President % Change], MATCH(1, (Table11[[#This Row],[Unique CFDA]] = BudgetAppropData[CFDA])*(SelectBudgetYear = BudgetAppropData[Fiscal Year]), 0)), "")</f>
        <v/>
      </c>
      <c r="G61" s="25" t="str">
        <f>IF(Table11[[#This Row],[Unique CFDA]] = "", "", IFERROR(Table11[[#This Row],[FY 2018 Total]]*Table11[[#This Row],[President % Change]], ""))</f>
        <v/>
      </c>
      <c r="H61" s="26" t="str">
        <f t="array" ref="H61">IFERROR(INDEX(BudgetAppropData[House % Change], MATCH(1, (Table11[[#This Row],[Unique CFDA]] = BudgetAppropData[CFDA])*(SelectBudgetYear = BudgetAppropData[Fiscal Year]),0)), "")</f>
        <v/>
      </c>
      <c r="I61" s="25" t="str">
        <f>IF(Table11[[#This Row],[Unique CFDA]] = "", "", IFERROR(Table11[[#This Row],[FY 2018 Total]]*Table11[[#This Row],[House % Change]], ""))</f>
        <v/>
      </c>
      <c r="J61" s="6"/>
      <c r="K61" s="25" t="str">
        <f>IF(Table11[[#This Row],[Unique CFDA]] = "", "", IFERROR(Table11[[#This Row],[FY 2018 Total]]*Table11[[#This Row],[Senate Budget]], ""))</f>
        <v/>
      </c>
      <c r="L61" s="6" t="str">
        <f>IF(Table11[[#This Row],[Unique CFDA]] = "", "", IF(ISNUMBER(Table11[[#This Row],[President $ Change]]), RANK(Table11[[#This Row],[President $ Change]], Table11[President $ Change])+COUNTIF($G61:G61, G61)-1,0))</f>
        <v/>
      </c>
      <c r="N61">
        <v>58</v>
      </c>
      <c r="O61" t="str">
        <f>IFERROR(INDEX(Table11[Unique CFDA], MATCH(N61, Table11[Pres. Sort], 0)), "")</f>
        <v/>
      </c>
      <c r="P61" s="1" t="str">
        <f>IFERROR(INDEX(Table11[Grant Name], MATCH(MemberOrgFinalSort[[#This Row],[CFDA]], Table11[Unique CFDA], 0)), "")</f>
        <v/>
      </c>
      <c r="Q61" s="20" t="str">
        <f>IFERROR(INDEX(Table11[FY 2018 Total], MATCH(MemberOrgFinalSort[[#This Row],[CFDA]], Table11[Unique CFDA], 0)), "")</f>
        <v/>
      </c>
      <c r="R61" s="21" t="str">
        <f>IFERROR(INDEX(Table11[President % Change], MATCH(MemberOrgFinalSort[[#This Row],[CFDA]], Table11[Unique CFDA], 0)), "")</f>
        <v/>
      </c>
      <c r="S61" s="20" t="str">
        <f>IFERROR(INDEX(Table11[President $ Change], MATCH(MemberOrgFinalSort[[#This Row],[CFDA]], Table11[Unique CFDA], 0)), "")</f>
        <v/>
      </c>
      <c r="T61" s="32" t="str">
        <f>IFERROR(INDEX(Table11[House % Change], MATCH(MemberOrgFinalSort[[#This Row],[CFDA]], Table11[Unique CFDA], 0)), "")</f>
        <v/>
      </c>
      <c r="U61" s="32" t="str">
        <f>IFERROR(INDEX(Table11[House $ Change], MATCH(MemberOrgFinalSort[[#This Row],[CFDA]], Table11[Unique CFDA], 0)), "")</f>
        <v/>
      </c>
      <c r="V61" s="20"/>
      <c r="X61" s="6"/>
      <c r="Y61" s="6"/>
      <c r="Z61" s="6"/>
      <c r="AA61" s="6"/>
      <c r="AB61" s="6"/>
    </row>
    <row r="62" spans="1:28" x14ac:dyDescent="0.25">
      <c r="A62" t="str">
        <f>IF(MemberOrgControl!$C65 = "", "", INDEX(MemberOrgsData[CFDA], MemberOrgControl!$C65))</f>
        <v/>
      </c>
      <c r="C62" s="6" t="str">
        <f>IFERROR(INDEX(AllFilteredCFDAs[All CFDAs], MATCH(0, INDEX(COUNTIF($C$3:C61, AllFilteredCFDAs[All CFDAs]),),0)), "")</f>
        <v/>
      </c>
      <c r="D62" s="6" t="str">
        <f t="array" ref="D62">IFERROR(INDEX(MemberOrgsData[FEDERALPROGRAMNAME], MATCH(1, (SelectMemberOrgs = MemberOrgsData[Auditee Name])*(Table11[[#This Row],[Unique CFDA]] = MemberOrgsData[CFDA]), 0)), "")</f>
        <v/>
      </c>
      <c r="E62" s="25" t="str">
        <f t="array" ref="E62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62" s="26" t="str">
        <f t="array" ref="F62">IFERROR(INDEX(BudgetAppropData[President % Change], MATCH(1, (Table11[[#This Row],[Unique CFDA]] = BudgetAppropData[CFDA])*(SelectBudgetYear = BudgetAppropData[Fiscal Year]), 0)), "")</f>
        <v/>
      </c>
      <c r="G62" s="25" t="str">
        <f>IF(Table11[[#This Row],[Unique CFDA]] = "", "", IFERROR(Table11[[#This Row],[FY 2018 Total]]*Table11[[#This Row],[President % Change]], ""))</f>
        <v/>
      </c>
      <c r="H62" s="26" t="str">
        <f t="array" ref="H62">IFERROR(INDEX(BudgetAppropData[House % Change], MATCH(1, (Table11[[#This Row],[Unique CFDA]] = BudgetAppropData[CFDA])*(SelectBudgetYear = BudgetAppropData[Fiscal Year]),0)), "")</f>
        <v/>
      </c>
      <c r="I62" s="25" t="str">
        <f>IF(Table11[[#This Row],[Unique CFDA]] = "", "", IFERROR(Table11[[#This Row],[FY 2018 Total]]*Table11[[#This Row],[House % Change]], ""))</f>
        <v/>
      </c>
      <c r="J62" s="6"/>
      <c r="K62" s="25" t="str">
        <f>IF(Table11[[#This Row],[Unique CFDA]] = "", "", IFERROR(Table11[[#This Row],[FY 2018 Total]]*Table11[[#This Row],[Senate Budget]], ""))</f>
        <v/>
      </c>
      <c r="L62" s="6" t="str">
        <f>IF(Table11[[#This Row],[Unique CFDA]] = "", "", IF(ISNUMBER(Table11[[#This Row],[President $ Change]]), RANK(Table11[[#This Row],[President $ Change]], Table11[President $ Change])+COUNTIF($G62:G62, G62)-1,0))</f>
        <v/>
      </c>
      <c r="N62">
        <v>59</v>
      </c>
      <c r="O62" t="str">
        <f>IFERROR(INDEX(Table11[Unique CFDA], MATCH(N62, Table11[Pres. Sort], 0)), "")</f>
        <v/>
      </c>
      <c r="P62" s="1" t="str">
        <f>IFERROR(INDEX(Table11[Grant Name], MATCH(MemberOrgFinalSort[[#This Row],[CFDA]], Table11[Unique CFDA], 0)), "")</f>
        <v/>
      </c>
      <c r="Q62" s="20" t="str">
        <f>IFERROR(INDEX(Table11[FY 2018 Total], MATCH(MemberOrgFinalSort[[#This Row],[CFDA]], Table11[Unique CFDA], 0)), "")</f>
        <v/>
      </c>
      <c r="R62" s="21" t="str">
        <f>IFERROR(INDEX(Table11[President % Change], MATCH(MemberOrgFinalSort[[#This Row],[CFDA]], Table11[Unique CFDA], 0)), "")</f>
        <v/>
      </c>
      <c r="S62" s="20" t="str">
        <f>IFERROR(INDEX(Table11[President $ Change], MATCH(MemberOrgFinalSort[[#This Row],[CFDA]], Table11[Unique CFDA], 0)), "")</f>
        <v/>
      </c>
      <c r="T62" s="32" t="str">
        <f>IFERROR(INDEX(Table11[House % Change], MATCH(MemberOrgFinalSort[[#This Row],[CFDA]], Table11[Unique CFDA], 0)), "")</f>
        <v/>
      </c>
      <c r="U62" s="32" t="str">
        <f>IFERROR(INDEX(Table11[House $ Change], MATCH(MemberOrgFinalSort[[#This Row],[CFDA]], Table11[Unique CFDA], 0)), "")</f>
        <v/>
      </c>
      <c r="V62" s="20"/>
      <c r="X62" s="6"/>
      <c r="Y62" s="6"/>
      <c r="Z62" s="6"/>
      <c r="AA62" s="6"/>
      <c r="AB62" s="6"/>
    </row>
    <row r="63" spans="1:28" x14ac:dyDescent="0.25">
      <c r="A63" t="str">
        <f>IF(MemberOrgControl!$C66 = "", "", INDEX(MemberOrgsData[CFDA], MemberOrgControl!$C66))</f>
        <v/>
      </c>
      <c r="C63" s="6" t="str">
        <f>IFERROR(INDEX(AllFilteredCFDAs[All CFDAs], MATCH(0, INDEX(COUNTIF($C$3:C62, AllFilteredCFDAs[All CFDAs]),),0)), "")</f>
        <v/>
      </c>
      <c r="D63" s="6" t="str">
        <f t="array" ref="D63">IFERROR(INDEX(MemberOrgsData[FEDERALPROGRAMNAME], MATCH(1, (SelectMemberOrgs = MemberOrgsData[Auditee Name])*(Table11[[#This Row],[Unique CFDA]] = MemberOrgsData[CFDA]), 0)), "")</f>
        <v/>
      </c>
      <c r="E63" s="25" t="str">
        <f t="array" ref="E63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63" s="26" t="str">
        <f t="array" ref="F63">IFERROR(INDEX(BudgetAppropData[President % Change], MATCH(1, (Table11[[#This Row],[Unique CFDA]] = BudgetAppropData[CFDA])*(SelectBudgetYear = BudgetAppropData[Fiscal Year]), 0)), "")</f>
        <v/>
      </c>
      <c r="G63" s="25" t="str">
        <f>IF(Table11[[#This Row],[Unique CFDA]] = "", "", IFERROR(Table11[[#This Row],[FY 2018 Total]]*Table11[[#This Row],[President % Change]], ""))</f>
        <v/>
      </c>
      <c r="H63" s="26" t="str">
        <f t="array" ref="H63">IFERROR(INDEX(BudgetAppropData[House % Change], MATCH(1, (Table11[[#This Row],[Unique CFDA]] = BudgetAppropData[CFDA])*(SelectBudgetYear = BudgetAppropData[Fiscal Year]),0)), "")</f>
        <v/>
      </c>
      <c r="I63" s="25" t="str">
        <f>IF(Table11[[#This Row],[Unique CFDA]] = "", "", IFERROR(Table11[[#This Row],[FY 2018 Total]]*Table11[[#This Row],[House % Change]], ""))</f>
        <v/>
      </c>
      <c r="J63" s="6"/>
      <c r="K63" s="25" t="str">
        <f>IF(Table11[[#This Row],[Unique CFDA]] = "", "", IFERROR(Table11[[#This Row],[FY 2018 Total]]*Table11[[#This Row],[Senate Budget]], ""))</f>
        <v/>
      </c>
      <c r="L63" s="6" t="str">
        <f>IF(Table11[[#This Row],[Unique CFDA]] = "", "", IF(ISNUMBER(Table11[[#This Row],[President $ Change]]), RANK(Table11[[#This Row],[President $ Change]], Table11[President $ Change])+COUNTIF($G63:G63, G63)-1,0))</f>
        <v/>
      </c>
      <c r="N63">
        <v>60</v>
      </c>
      <c r="O63" t="str">
        <f>IFERROR(INDEX(Table11[Unique CFDA], MATCH(N63, Table11[Pres. Sort], 0)), "")</f>
        <v/>
      </c>
      <c r="P63" s="1" t="str">
        <f>IFERROR(INDEX(Table11[Grant Name], MATCH(MemberOrgFinalSort[[#This Row],[CFDA]], Table11[Unique CFDA], 0)), "")</f>
        <v/>
      </c>
      <c r="Q63" s="20" t="str">
        <f>IFERROR(INDEX(Table11[FY 2018 Total], MATCH(MemberOrgFinalSort[[#This Row],[CFDA]], Table11[Unique CFDA], 0)), "")</f>
        <v/>
      </c>
      <c r="R63" s="21" t="str">
        <f>IFERROR(INDEX(Table11[President % Change], MATCH(MemberOrgFinalSort[[#This Row],[CFDA]], Table11[Unique CFDA], 0)), "")</f>
        <v/>
      </c>
      <c r="S63" s="20" t="str">
        <f>IFERROR(INDEX(Table11[President $ Change], MATCH(MemberOrgFinalSort[[#This Row],[CFDA]], Table11[Unique CFDA], 0)), "")</f>
        <v/>
      </c>
      <c r="T63" s="32" t="str">
        <f>IFERROR(INDEX(Table11[House % Change], MATCH(MemberOrgFinalSort[[#This Row],[CFDA]], Table11[Unique CFDA], 0)), "")</f>
        <v/>
      </c>
      <c r="U63" s="32" t="str">
        <f>IFERROR(INDEX(Table11[House $ Change], MATCH(MemberOrgFinalSort[[#This Row],[CFDA]], Table11[Unique CFDA], 0)), "")</f>
        <v/>
      </c>
      <c r="V63" s="20"/>
      <c r="X63" s="6"/>
      <c r="Y63" s="6"/>
      <c r="Z63" s="6"/>
      <c r="AA63" s="6"/>
      <c r="AB63" s="6"/>
    </row>
    <row r="64" spans="1:28" x14ac:dyDescent="0.25">
      <c r="A64" t="str">
        <f>IF(MemberOrgControl!$C67 = "", "", INDEX(MemberOrgsData[CFDA], MemberOrgControl!$C67))</f>
        <v/>
      </c>
      <c r="C64" s="6" t="str">
        <f>IFERROR(INDEX(AllFilteredCFDAs[All CFDAs], MATCH(0, INDEX(COUNTIF($C$3:C63, AllFilteredCFDAs[All CFDAs]),),0)), "")</f>
        <v/>
      </c>
      <c r="D64" s="6" t="str">
        <f t="array" ref="D64">IFERROR(INDEX(MemberOrgsData[FEDERALPROGRAMNAME], MATCH(1, (SelectMemberOrgs = MemberOrgsData[Auditee Name])*(Table11[[#This Row],[Unique CFDA]] = MemberOrgsData[CFDA]), 0)), "")</f>
        <v/>
      </c>
      <c r="E64" s="25" t="str">
        <f t="array" ref="E64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64" s="26" t="str">
        <f t="array" ref="F64">IFERROR(INDEX(BudgetAppropData[President % Change], MATCH(1, (Table11[[#This Row],[Unique CFDA]] = BudgetAppropData[CFDA])*(SelectBudgetYear = BudgetAppropData[Fiscal Year]), 0)), "")</f>
        <v/>
      </c>
      <c r="G64" s="25" t="str">
        <f>IF(Table11[[#This Row],[Unique CFDA]] = "", "", IFERROR(Table11[[#This Row],[FY 2018 Total]]*Table11[[#This Row],[President % Change]], ""))</f>
        <v/>
      </c>
      <c r="H64" s="26" t="str">
        <f t="array" ref="H64">IFERROR(INDEX(BudgetAppropData[House % Change], MATCH(1, (Table11[[#This Row],[Unique CFDA]] = BudgetAppropData[CFDA])*(SelectBudgetYear = BudgetAppropData[Fiscal Year]),0)), "")</f>
        <v/>
      </c>
      <c r="I64" s="25" t="str">
        <f>IF(Table11[[#This Row],[Unique CFDA]] = "", "", IFERROR(Table11[[#This Row],[FY 2018 Total]]*Table11[[#This Row],[House % Change]], ""))</f>
        <v/>
      </c>
      <c r="J64" s="6"/>
      <c r="K64" s="25" t="str">
        <f>IF(Table11[[#This Row],[Unique CFDA]] = "", "", IFERROR(Table11[[#This Row],[FY 2018 Total]]*Table11[[#This Row],[Senate Budget]], ""))</f>
        <v/>
      </c>
      <c r="L64" s="6" t="str">
        <f>IF(Table11[[#This Row],[Unique CFDA]] = "", "", IF(ISNUMBER(Table11[[#This Row],[President $ Change]]), RANK(Table11[[#This Row],[President $ Change]], Table11[President $ Change])+COUNTIF($G64:G64, G64)-1,0))</f>
        <v/>
      </c>
      <c r="N64">
        <v>61</v>
      </c>
      <c r="O64" t="str">
        <f>IFERROR(INDEX(Table11[Unique CFDA], MATCH(N64, Table11[Pres. Sort], 0)), "")</f>
        <v/>
      </c>
      <c r="P64" s="1" t="str">
        <f>IFERROR(INDEX(Table11[Grant Name], MATCH(MemberOrgFinalSort[[#This Row],[CFDA]], Table11[Unique CFDA], 0)), "")</f>
        <v/>
      </c>
      <c r="Q64" s="20" t="str">
        <f>IFERROR(INDEX(Table11[FY 2018 Total], MATCH(MemberOrgFinalSort[[#This Row],[CFDA]], Table11[Unique CFDA], 0)), "")</f>
        <v/>
      </c>
      <c r="R64" s="21" t="str">
        <f>IFERROR(INDEX(Table11[President % Change], MATCH(MemberOrgFinalSort[[#This Row],[CFDA]], Table11[Unique CFDA], 0)), "")</f>
        <v/>
      </c>
      <c r="S64" s="20" t="str">
        <f>IFERROR(INDEX(Table11[President $ Change], MATCH(MemberOrgFinalSort[[#This Row],[CFDA]], Table11[Unique CFDA], 0)), "")</f>
        <v/>
      </c>
      <c r="T64" s="32" t="str">
        <f>IFERROR(INDEX(Table11[House % Change], MATCH(MemberOrgFinalSort[[#This Row],[CFDA]], Table11[Unique CFDA], 0)), "")</f>
        <v/>
      </c>
      <c r="U64" s="32" t="str">
        <f>IFERROR(INDEX(Table11[House $ Change], MATCH(MemberOrgFinalSort[[#This Row],[CFDA]], Table11[Unique CFDA], 0)), "")</f>
        <v/>
      </c>
      <c r="V64" s="20"/>
      <c r="X64" s="6"/>
      <c r="Y64" s="6"/>
      <c r="Z64" s="6"/>
      <c r="AA64" s="6"/>
      <c r="AB64" s="6"/>
    </row>
    <row r="65" spans="1:28" x14ac:dyDescent="0.25">
      <c r="A65" t="str">
        <f>IF(MemberOrgControl!$C68 = "", "", INDEX(MemberOrgsData[CFDA], MemberOrgControl!$C68))</f>
        <v/>
      </c>
      <c r="C65" s="6" t="str">
        <f>IFERROR(INDEX(AllFilteredCFDAs[All CFDAs], MATCH(0, INDEX(COUNTIF($C$3:C64, AllFilteredCFDAs[All CFDAs]),),0)), "")</f>
        <v/>
      </c>
      <c r="D65" s="6" t="str">
        <f t="array" ref="D65">IFERROR(INDEX(MemberOrgsData[FEDERALPROGRAMNAME], MATCH(1, (SelectMemberOrgs = MemberOrgsData[Auditee Name])*(Table11[[#This Row],[Unique CFDA]] = MemberOrgsData[CFDA]), 0)), "")</f>
        <v/>
      </c>
      <c r="E65" s="25" t="str">
        <f t="array" ref="E65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65" s="26" t="str">
        <f t="array" ref="F65">IFERROR(INDEX(BudgetAppropData[President % Change], MATCH(1, (Table11[[#This Row],[Unique CFDA]] = BudgetAppropData[CFDA])*(SelectBudgetYear = BudgetAppropData[Fiscal Year]), 0)), "")</f>
        <v/>
      </c>
      <c r="G65" s="25" t="str">
        <f>IF(Table11[[#This Row],[Unique CFDA]] = "", "", IFERROR(Table11[[#This Row],[FY 2018 Total]]*Table11[[#This Row],[President % Change]], ""))</f>
        <v/>
      </c>
      <c r="H65" s="26" t="str">
        <f t="array" ref="H65">IFERROR(INDEX(BudgetAppropData[House % Change], MATCH(1, (Table11[[#This Row],[Unique CFDA]] = BudgetAppropData[CFDA])*(SelectBudgetYear = BudgetAppropData[Fiscal Year]),0)), "")</f>
        <v/>
      </c>
      <c r="I65" s="25" t="str">
        <f>IF(Table11[[#This Row],[Unique CFDA]] = "", "", IFERROR(Table11[[#This Row],[FY 2018 Total]]*Table11[[#This Row],[House % Change]], ""))</f>
        <v/>
      </c>
      <c r="J65" s="6"/>
      <c r="K65" s="25" t="str">
        <f>IF(Table11[[#This Row],[Unique CFDA]] = "", "", IFERROR(Table11[[#This Row],[FY 2018 Total]]*Table11[[#This Row],[Senate Budget]], ""))</f>
        <v/>
      </c>
      <c r="L65" s="6" t="str">
        <f>IF(Table11[[#This Row],[Unique CFDA]] = "", "", IF(ISNUMBER(Table11[[#This Row],[President $ Change]]), RANK(Table11[[#This Row],[President $ Change]], Table11[President $ Change])+COUNTIF($G65:G65, G65)-1,0))</f>
        <v/>
      </c>
      <c r="N65">
        <v>62</v>
      </c>
      <c r="O65" t="str">
        <f>IFERROR(INDEX(Table11[Unique CFDA], MATCH(N65, Table11[Pres. Sort], 0)), "")</f>
        <v/>
      </c>
      <c r="P65" s="1" t="str">
        <f>IFERROR(INDEX(Table11[Grant Name], MATCH(MemberOrgFinalSort[[#This Row],[CFDA]], Table11[Unique CFDA], 0)), "")</f>
        <v/>
      </c>
      <c r="Q65" s="20" t="str">
        <f>IFERROR(INDEX(Table11[FY 2018 Total], MATCH(MemberOrgFinalSort[[#This Row],[CFDA]], Table11[Unique CFDA], 0)), "")</f>
        <v/>
      </c>
      <c r="R65" s="21" t="str">
        <f>IFERROR(INDEX(Table11[President % Change], MATCH(MemberOrgFinalSort[[#This Row],[CFDA]], Table11[Unique CFDA], 0)), "")</f>
        <v/>
      </c>
      <c r="S65" s="20" t="str">
        <f>IFERROR(INDEX(Table11[President $ Change], MATCH(MemberOrgFinalSort[[#This Row],[CFDA]], Table11[Unique CFDA], 0)), "")</f>
        <v/>
      </c>
      <c r="T65" s="32" t="str">
        <f>IFERROR(INDEX(Table11[House % Change], MATCH(MemberOrgFinalSort[[#This Row],[CFDA]], Table11[Unique CFDA], 0)), "")</f>
        <v/>
      </c>
      <c r="U65" s="32" t="str">
        <f>IFERROR(INDEX(Table11[House $ Change], MATCH(MemberOrgFinalSort[[#This Row],[CFDA]], Table11[Unique CFDA], 0)), "")</f>
        <v/>
      </c>
      <c r="V65" s="20"/>
      <c r="X65" s="6"/>
      <c r="Y65" s="6"/>
      <c r="Z65" s="6"/>
      <c r="AA65" s="6"/>
      <c r="AB65" s="6"/>
    </row>
    <row r="66" spans="1:28" x14ac:dyDescent="0.25">
      <c r="A66" t="str">
        <f>IF(MemberOrgControl!$C69 = "", "", INDEX(MemberOrgsData[CFDA], MemberOrgControl!$C69))</f>
        <v/>
      </c>
      <c r="C66" s="6" t="str">
        <f>IFERROR(INDEX(AllFilteredCFDAs[All CFDAs], MATCH(0, INDEX(COUNTIF($C$3:C65, AllFilteredCFDAs[All CFDAs]),),0)), "")</f>
        <v/>
      </c>
      <c r="D66" s="6" t="str">
        <f t="array" ref="D66">IFERROR(INDEX(MemberOrgsData[FEDERALPROGRAMNAME], MATCH(1, (SelectMemberOrgs = MemberOrgsData[Auditee Name])*(Table11[[#This Row],[Unique CFDA]] = MemberOrgsData[CFDA]), 0)), "")</f>
        <v/>
      </c>
      <c r="E66" s="25" t="str">
        <f t="array" ref="E66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66" s="26" t="str">
        <f t="array" ref="F66">IFERROR(INDEX(BudgetAppropData[President % Change], MATCH(1, (Table11[[#This Row],[Unique CFDA]] = BudgetAppropData[CFDA])*(SelectBudgetYear = BudgetAppropData[Fiscal Year]), 0)), "")</f>
        <v/>
      </c>
      <c r="G66" s="25" t="str">
        <f>IF(Table11[[#This Row],[Unique CFDA]] = "", "", IFERROR(Table11[[#This Row],[FY 2018 Total]]*Table11[[#This Row],[President % Change]], ""))</f>
        <v/>
      </c>
      <c r="H66" s="26" t="str">
        <f t="array" ref="H66">IFERROR(INDEX(BudgetAppropData[House % Change], MATCH(1, (Table11[[#This Row],[Unique CFDA]] = BudgetAppropData[CFDA])*(SelectBudgetYear = BudgetAppropData[Fiscal Year]),0)), "")</f>
        <v/>
      </c>
      <c r="I66" s="25" t="str">
        <f>IF(Table11[[#This Row],[Unique CFDA]] = "", "", IFERROR(Table11[[#This Row],[FY 2018 Total]]*Table11[[#This Row],[House % Change]], ""))</f>
        <v/>
      </c>
      <c r="J66" s="6"/>
      <c r="K66" s="25" t="str">
        <f>IF(Table11[[#This Row],[Unique CFDA]] = "", "", IFERROR(Table11[[#This Row],[FY 2018 Total]]*Table11[[#This Row],[Senate Budget]], ""))</f>
        <v/>
      </c>
      <c r="L66" s="6" t="str">
        <f>IF(Table11[[#This Row],[Unique CFDA]] = "", "", IF(ISNUMBER(Table11[[#This Row],[President $ Change]]), RANK(Table11[[#This Row],[President $ Change]], Table11[President $ Change])+COUNTIF($G66:G66, G66)-1,0))</f>
        <v/>
      </c>
      <c r="N66">
        <v>63</v>
      </c>
      <c r="O66" t="str">
        <f>IFERROR(INDEX(Table11[Unique CFDA], MATCH(N66, Table11[Pres. Sort], 0)), "")</f>
        <v/>
      </c>
      <c r="P66" s="1" t="str">
        <f>IFERROR(INDEX(Table11[Grant Name], MATCH(MemberOrgFinalSort[[#This Row],[CFDA]], Table11[Unique CFDA], 0)), "")</f>
        <v/>
      </c>
      <c r="Q66" s="20" t="str">
        <f>IFERROR(INDEX(Table11[FY 2018 Total], MATCH(MemberOrgFinalSort[[#This Row],[CFDA]], Table11[Unique CFDA], 0)), "")</f>
        <v/>
      </c>
      <c r="R66" s="21" t="str">
        <f>IFERROR(INDEX(Table11[President % Change], MATCH(MemberOrgFinalSort[[#This Row],[CFDA]], Table11[Unique CFDA], 0)), "")</f>
        <v/>
      </c>
      <c r="S66" s="20" t="str">
        <f>IFERROR(INDEX(Table11[President $ Change], MATCH(MemberOrgFinalSort[[#This Row],[CFDA]], Table11[Unique CFDA], 0)), "")</f>
        <v/>
      </c>
      <c r="T66" s="32" t="str">
        <f>IFERROR(INDEX(Table11[House % Change], MATCH(MemberOrgFinalSort[[#This Row],[CFDA]], Table11[Unique CFDA], 0)), "")</f>
        <v/>
      </c>
      <c r="U66" s="32" t="str">
        <f>IFERROR(INDEX(Table11[House $ Change], MATCH(MemberOrgFinalSort[[#This Row],[CFDA]], Table11[Unique CFDA], 0)), "")</f>
        <v/>
      </c>
      <c r="V66" s="20"/>
      <c r="X66" s="6"/>
      <c r="Y66" s="6"/>
      <c r="Z66" s="6"/>
      <c r="AA66" s="6"/>
      <c r="AB66" s="6"/>
    </row>
    <row r="67" spans="1:28" x14ac:dyDescent="0.25">
      <c r="A67" t="str">
        <f>IF(MemberOrgControl!$C70 = "", "", INDEX(MemberOrgsData[CFDA], MemberOrgControl!$C70))</f>
        <v/>
      </c>
      <c r="C67" s="6" t="str">
        <f>IFERROR(INDEX(AllFilteredCFDAs[All CFDAs], MATCH(0, INDEX(COUNTIF($C$3:C66, AllFilteredCFDAs[All CFDAs]),),0)), "")</f>
        <v/>
      </c>
      <c r="D67" s="6" t="str">
        <f t="array" ref="D67">IFERROR(INDEX(MemberOrgsData[FEDERALPROGRAMNAME], MATCH(1, (SelectMemberOrgs = MemberOrgsData[Auditee Name])*(Table11[[#This Row],[Unique CFDA]] = MemberOrgsData[CFDA]), 0)), "")</f>
        <v/>
      </c>
      <c r="E67" s="25" t="str">
        <f t="array" ref="E67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67" s="26" t="str">
        <f t="array" ref="F67">IFERROR(INDEX(BudgetAppropData[President % Change], MATCH(1, (Table11[[#This Row],[Unique CFDA]] = BudgetAppropData[CFDA])*(SelectBudgetYear = BudgetAppropData[Fiscal Year]), 0)), "")</f>
        <v/>
      </c>
      <c r="G67" s="25" t="str">
        <f>IF(Table11[[#This Row],[Unique CFDA]] = "", "", IFERROR(Table11[[#This Row],[FY 2018 Total]]*Table11[[#This Row],[President % Change]], ""))</f>
        <v/>
      </c>
      <c r="H67" s="26" t="str">
        <f t="array" ref="H67">IFERROR(INDEX(BudgetAppropData[House % Change], MATCH(1, (Table11[[#This Row],[Unique CFDA]] = BudgetAppropData[CFDA])*(SelectBudgetYear = BudgetAppropData[Fiscal Year]),0)), "")</f>
        <v/>
      </c>
      <c r="I67" s="25" t="str">
        <f>IF(Table11[[#This Row],[Unique CFDA]] = "", "", IFERROR(Table11[[#This Row],[FY 2018 Total]]*Table11[[#This Row],[House % Change]], ""))</f>
        <v/>
      </c>
      <c r="J67" s="6"/>
      <c r="K67" s="25" t="str">
        <f>IF(Table11[[#This Row],[Unique CFDA]] = "", "", IFERROR(Table11[[#This Row],[FY 2018 Total]]*Table11[[#This Row],[Senate Budget]], ""))</f>
        <v/>
      </c>
      <c r="L67" s="6" t="str">
        <f>IF(Table11[[#This Row],[Unique CFDA]] = "", "", IF(ISNUMBER(Table11[[#This Row],[President $ Change]]), RANK(Table11[[#This Row],[President $ Change]], Table11[President $ Change])+COUNTIF($G67:G67, G67)-1,0))</f>
        <v/>
      </c>
      <c r="N67">
        <v>64</v>
      </c>
      <c r="O67" t="str">
        <f>IFERROR(INDEX(Table11[Unique CFDA], MATCH(N67, Table11[Pres. Sort], 0)), "")</f>
        <v/>
      </c>
      <c r="P67" s="1" t="str">
        <f>IFERROR(INDEX(Table11[Grant Name], MATCH(MemberOrgFinalSort[[#This Row],[CFDA]], Table11[Unique CFDA], 0)), "")</f>
        <v/>
      </c>
      <c r="Q67" s="20" t="str">
        <f>IFERROR(INDEX(Table11[FY 2018 Total], MATCH(MemberOrgFinalSort[[#This Row],[CFDA]], Table11[Unique CFDA], 0)), "")</f>
        <v/>
      </c>
      <c r="R67" s="21" t="str">
        <f>IFERROR(INDEX(Table11[President % Change], MATCH(MemberOrgFinalSort[[#This Row],[CFDA]], Table11[Unique CFDA], 0)), "")</f>
        <v/>
      </c>
      <c r="S67" s="20" t="str">
        <f>IFERROR(INDEX(Table11[President $ Change], MATCH(MemberOrgFinalSort[[#This Row],[CFDA]], Table11[Unique CFDA], 0)), "")</f>
        <v/>
      </c>
      <c r="T67" s="32" t="str">
        <f>IFERROR(INDEX(Table11[House % Change], MATCH(MemberOrgFinalSort[[#This Row],[CFDA]], Table11[Unique CFDA], 0)), "")</f>
        <v/>
      </c>
      <c r="U67" s="32" t="str">
        <f>IFERROR(INDEX(Table11[House $ Change], MATCH(MemberOrgFinalSort[[#This Row],[CFDA]], Table11[Unique CFDA], 0)), "")</f>
        <v/>
      </c>
      <c r="V67" s="20"/>
      <c r="X67" s="6"/>
      <c r="Y67" s="6"/>
      <c r="Z67" s="6"/>
      <c r="AA67" s="6"/>
      <c r="AB67" s="6"/>
    </row>
    <row r="68" spans="1:28" x14ac:dyDescent="0.25">
      <c r="A68" t="str">
        <f>IF(MemberOrgControl!$C71 = "", "", INDEX(MemberOrgsData[CFDA], MemberOrgControl!$C71))</f>
        <v/>
      </c>
      <c r="C68" s="6" t="str">
        <f>IFERROR(INDEX(AllFilteredCFDAs[All CFDAs], MATCH(0, INDEX(COUNTIF($C$3:C67, AllFilteredCFDAs[All CFDAs]),),0)), "")</f>
        <v/>
      </c>
      <c r="D68" s="6" t="str">
        <f t="array" ref="D68">IFERROR(INDEX(MemberOrgsData[FEDERALPROGRAMNAME], MATCH(1, (SelectMemberOrgs = MemberOrgsData[Auditee Name])*(Table11[[#This Row],[Unique CFDA]] = MemberOrgsData[CFDA]), 0)), "")</f>
        <v/>
      </c>
      <c r="E68" s="25" t="str">
        <f t="array" ref="E68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68" s="26" t="str">
        <f t="array" ref="F68">IFERROR(INDEX(BudgetAppropData[President % Change], MATCH(1, (Table11[[#This Row],[Unique CFDA]] = BudgetAppropData[CFDA])*(SelectBudgetYear = BudgetAppropData[Fiscal Year]), 0)), "")</f>
        <v/>
      </c>
      <c r="G68" s="25" t="str">
        <f>IF(Table11[[#This Row],[Unique CFDA]] = "", "", IFERROR(Table11[[#This Row],[FY 2018 Total]]*Table11[[#This Row],[President % Change]], ""))</f>
        <v/>
      </c>
      <c r="H68" s="26" t="str">
        <f t="array" ref="H68">IFERROR(INDEX(BudgetAppropData[House % Change], MATCH(1, (Table11[[#This Row],[Unique CFDA]] = BudgetAppropData[CFDA])*(SelectBudgetYear = BudgetAppropData[Fiscal Year]),0)), "")</f>
        <v/>
      </c>
      <c r="I68" s="25" t="str">
        <f>IF(Table11[[#This Row],[Unique CFDA]] = "", "", IFERROR(Table11[[#This Row],[FY 2018 Total]]*Table11[[#This Row],[House % Change]], ""))</f>
        <v/>
      </c>
      <c r="J68" s="6"/>
      <c r="K68" s="25" t="str">
        <f>IF(Table11[[#This Row],[Unique CFDA]] = "", "", IFERROR(Table11[[#This Row],[FY 2018 Total]]*Table11[[#This Row],[Senate Budget]], ""))</f>
        <v/>
      </c>
      <c r="L68" s="6" t="str">
        <f>IF(Table11[[#This Row],[Unique CFDA]] = "", "", IF(ISNUMBER(Table11[[#This Row],[President $ Change]]), RANK(Table11[[#This Row],[President $ Change]], Table11[President $ Change])+COUNTIF($G68:G68, G68)-1,0))</f>
        <v/>
      </c>
      <c r="N68">
        <v>65</v>
      </c>
      <c r="O68" t="str">
        <f>IFERROR(INDEX(Table11[Unique CFDA], MATCH(N68, Table11[Pres. Sort], 0)), "")</f>
        <v/>
      </c>
      <c r="P68" s="1" t="str">
        <f>IFERROR(INDEX(Table11[Grant Name], MATCH(MemberOrgFinalSort[[#This Row],[CFDA]], Table11[Unique CFDA], 0)), "")</f>
        <v/>
      </c>
      <c r="Q68" s="20" t="str">
        <f>IFERROR(INDEX(Table11[FY 2018 Total], MATCH(MemberOrgFinalSort[[#This Row],[CFDA]], Table11[Unique CFDA], 0)), "")</f>
        <v/>
      </c>
      <c r="R68" s="21" t="str">
        <f>IFERROR(INDEX(Table11[President % Change], MATCH(MemberOrgFinalSort[[#This Row],[CFDA]], Table11[Unique CFDA], 0)), "")</f>
        <v/>
      </c>
      <c r="S68" s="20" t="str">
        <f>IFERROR(INDEX(Table11[President $ Change], MATCH(MemberOrgFinalSort[[#This Row],[CFDA]], Table11[Unique CFDA], 0)), "")</f>
        <v/>
      </c>
      <c r="T68" s="32" t="str">
        <f>IFERROR(INDEX(Table11[House % Change], MATCH(MemberOrgFinalSort[[#This Row],[CFDA]], Table11[Unique CFDA], 0)), "")</f>
        <v/>
      </c>
      <c r="U68" s="32" t="str">
        <f>IFERROR(INDEX(Table11[House $ Change], MATCH(MemberOrgFinalSort[[#This Row],[CFDA]], Table11[Unique CFDA], 0)), "")</f>
        <v/>
      </c>
      <c r="V68" s="20"/>
      <c r="X68" s="6"/>
      <c r="Y68" s="6"/>
      <c r="Z68" s="6"/>
      <c r="AA68" s="6"/>
      <c r="AB68" s="6"/>
    </row>
    <row r="69" spans="1:28" x14ac:dyDescent="0.25">
      <c r="A69" t="str">
        <f>IF(MemberOrgControl!$C72 = "", "", INDEX(MemberOrgsData[CFDA], MemberOrgControl!$C72))</f>
        <v/>
      </c>
      <c r="C69" s="6" t="str">
        <f>IFERROR(INDEX(AllFilteredCFDAs[All CFDAs], MATCH(0, INDEX(COUNTIF($C$3:C68, AllFilteredCFDAs[All CFDAs]),),0)), "")</f>
        <v/>
      </c>
      <c r="D69" s="6" t="str">
        <f t="array" ref="D69">IFERROR(INDEX(MemberOrgsData[FEDERALPROGRAMNAME], MATCH(1, (SelectMemberOrgs = MemberOrgsData[Auditee Name])*(Table11[[#This Row],[Unique CFDA]] = MemberOrgsData[CFDA]), 0)), "")</f>
        <v/>
      </c>
      <c r="E69" s="25" t="str">
        <f t="array" ref="E69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69" s="26" t="str">
        <f t="array" ref="F69">IFERROR(INDEX(BudgetAppropData[President % Change], MATCH(1, (Table11[[#This Row],[Unique CFDA]] = BudgetAppropData[CFDA])*(SelectBudgetYear = BudgetAppropData[Fiscal Year]), 0)), "")</f>
        <v/>
      </c>
      <c r="G69" s="25" t="str">
        <f>IF(Table11[[#This Row],[Unique CFDA]] = "", "", IFERROR(Table11[[#This Row],[FY 2018 Total]]*Table11[[#This Row],[President % Change]], ""))</f>
        <v/>
      </c>
      <c r="H69" s="26" t="str">
        <f t="array" ref="H69">IFERROR(INDEX(BudgetAppropData[House % Change], MATCH(1, (Table11[[#This Row],[Unique CFDA]] = BudgetAppropData[CFDA])*(SelectBudgetYear = BudgetAppropData[Fiscal Year]),0)), "")</f>
        <v/>
      </c>
      <c r="I69" s="25" t="str">
        <f>IF(Table11[[#This Row],[Unique CFDA]] = "", "", IFERROR(Table11[[#This Row],[FY 2018 Total]]*Table11[[#This Row],[House % Change]], ""))</f>
        <v/>
      </c>
      <c r="J69" s="6"/>
      <c r="K69" s="25" t="str">
        <f>IF(Table11[[#This Row],[Unique CFDA]] = "", "", IFERROR(Table11[[#This Row],[FY 2018 Total]]*Table11[[#This Row],[Senate Budget]], ""))</f>
        <v/>
      </c>
      <c r="L69" s="6" t="str">
        <f>IF(Table11[[#This Row],[Unique CFDA]] = "", "", IF(ISNUMBER(Table11[[#This Row],[President $ Change]]), RANK(Table11[[#This Row],[President $ Change]], Table11[President $ Change])+COUNTIF($G69:G69, G69)-1,0))</f>
        <v/>
      </c>
      <c r="N69">
        <v>66</v>
      </c>
      <c r="O69" t="str">
        <f>IFERROR(INDEX(Table11[Unique CFDA], MATCH(N69, Table11[Pres. Sort], 0)), "")</f>
        <v/>
      </c>
      <c r="P69" s="1" t="str">
        <f>IFERROR(INDEX(Table11[Grant Name], MATCH(MemberOrgFinalSort[[#This Row],[CFDA]], Table11[Unique CFDA], 0)), "")</f>
        <v/>
      </c>
      <c r="Q69" s="20" t="str">
        <f>IFERROR(INDEX(Table11[FY 2018 Total], MATCH(MemberOrgFinalSort[[#This Row],[CFDA]], Table11[Unique CFDA], 0)), "")</f>
        <v/>
      </c>
      <c r="R69" s="21" t="str">
        <f>IFERROR(INDEX(Table11[President % Change], MATCH(MemberOrgFinalSort[[#This Row],[CFDA]], Table11[Unique CFDA], 0)), "")</f>
        <v/>
      </c>
      <c r="S69" s="20" t="str">
        <f>IFERROR(INDEX(Table11[President $ Change], MATCH(MemberOrgFinalSort[[#This Row],[CFDA]], Table11[Unique CFDA], 0)), "")</f>
        <v/>
      </c>
      <c r="T69" s="32" t="str">
        <f>IFERROR(INDEX(Table11[House % Change], MATCH(MemberOrgFinalSort[[#This Row],[CFDA]], Table11[Unique CFDA], 0)), "")</f>
        <v/>
      </c>
      <c r="U69" s="32" t="str">
        <f>IFERROR(INDEX(Table11[House $ Change], MATCH(MemberOrgFinalSort[[#This Row],[CFDA]], Table11[Unique CFDA], 0)), "")</f>
        <v/>
      </c>
      <c r="V69" s="20"/>
      <c r="X69" s="6"/>
      <c r="Y69" s="6"/>
      <c r="Z69" s="6"/>
      <c r="AA69" s="6"/>
      <c r="AB69" s="6"/>
    </row>
    <row r="70" spans="1:28" x14ac:dyDescent="0.25">
      <c r="A70" t="str">
        <f>IF(MemberOrgControl!$C73 = "", "", INDEX(MemberOrgsData[CFDA], MemberOrgControl!$C73))</f>
        <v/>
      </c>
      <c r="C70" s="6" t="str">
        <f>IFERROR(INDEX(AllFilteredCFDAs[All CFDAs], MATCH(0, INDEX(COUNTIF($C$3:C69, AllFilteredCFDAs[All CFDAs]),),0)), "")</f>
        <v/>
      </c>
      <c r="D70" s="6" t="str">
        <f t="array" ref="D70">IFERROR(INDEX(MemberOrgsData[FEDERALPROGRAMNAME], MATCH(1, (SelectMemberOrgs = MemberOrgsData[Auditee Name])*(Table11[[#This Row],[Unique CFDA]] = MemberOrgsData[CFDA]), 0)), "")</f>
        <v/>
      </c>
      <c r="E70" s="25" t="str">
        <f t="array" ref="E70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70" s="26" t="str">
        <f t="array" ref="F70">IFERROR(INDEX(BudgetAppropData[President % Change], MATCH(1, (Table11[[#This Row],[Unique CFDA]] = BudgetAppropData[CFDA])*(SelectBudgetYear = BudgetAppropData[Fiscal Year]), 0)), "")</f>
        <v/>
      </c>
      <c r="G70" s="25" t="str">
        <f>IF(Table11[[#This Row],[Unique CFDA]] = "", "", IFERROR(Table11[[#This Row],[FY 2018 Total]]*Table11[[#This Row],[President % Change]], ""))</f>
        <v/>
      </c>
      <c r="H70" s="26" t="str">
        <f t="array" ref="H70">IFERROR(INDEX(BudgetAppropData[House % Change], MATCH(1, (Table11[[#This Row],[Unique CFDA]] = BudgetAppropData[CFDA])*(SelectBudgetYear = BudgetAppropData[Fiscal Year]),0)), "")</f>
        <v/>
      </c>
      <c r="I70" s="25" t="str">
        <f>IF(Table11[[#This Row],[Unique CFDA]] = "", "", IFERROR(Table11[[#This Row],[FY 2018 Total]]*Table11[[#This Row],[House % Change]], ""))</f>
        <v/>
      </c>
      <c r="J70" s="6"/>
      <c r="K70" s="25" t="str">
        <f>IF(Table11[[#This Row],[Unique CFDA]] = "", "", IFERROR(Table11[[#This Row],[FY 2018 Total]]*Table11[[#This Row],[Senate Budget]], ""))</f>
        <v/>
      </c>
      <c r="L70" s="6" t="str">
        <f>IF(Table11[[#This Row],[Unique CFDA]] = "", "", IF(ISNUMBER(Table11[[#This Row],[President $ Change]]), RANK(Table11[[#This Row],[President $ Change]], Table11[President $ Change])+COUNTIF($G70:G70, G70)-1,0))</f>
        <v/>
      </c>
      <c r="N70">
        <v>67</v>
      </c>
      <c r="O70" t="str">
        <f>IFERROR(INDEX(Table11[Unique CFDA], MATCH(N70, Table11[Pres. Sort], 0)), "")</f>
        <v/>
      </c>
      <c r="P70" s="1" t="str">
        <f>IFERROR(INDEX(Table11[Grant Name], MATCH(MemberOrgFinalSort[[#This Row],[CFDA]], Table11[Unique CFDA], 0)), "")</f>
        <v/>
      </c>
      <c r="Q70" s="20" t="str">
        <f>IFERROR(INDEX(Table11[FY 2018 Total], MATCH(MemberOrgFinalSort[[#This Row],[CFDA]], Table11[Unique CFDA], 0)), "")</f>
        <v/>
      </c>
      <c r="R70" s="21" t="str">
        <f>IFERROR(INDEX(Table11[President % Change], MATCH(MemberOrgFinalSort[[#This Row],[CFDA]], Table11[Unique CFDA], 0)), "")</f>
        <v/>
      </c>
      <c r="S70" s="20" t="str">
        <f>IFERROR(INDEX(Table11[President $ Change], MATCH(MemberOrgFinalSort[[#This Row],[CFDA]], Table11[Unique CFDA], 0)), "")</f>
        <v/>
      </c>
      <c r="T70" s="32" t="str">
        <f>IFERROR(INDEX(Table11[House % Change], MATCH(MemberOrgFinalSort[[#This Row],[CFDA]], Table11[Unique CFDA], 0)), "")</f>
        <v/>
      </c>
      <c r="U70" s="32" t="str">
        <f>IFERROR(INDEX(Table11[House $ Change], MATCH(MemberOrgFinalSort[[#This Row],[CFDA]], Table11[Unique CFDA], 0)), "")</f>
        <v/>
      </c>
      <c r="V70" s="20"/>
      <c r="X70" s="6"/>
      <c r="Y70" s="6"/>
      <c r="Z70" s="6"/>
      <c r="AA70" s="6"/>
      <c r="AB70" s="6"/>
    </row>
    <row r="71" spans="1:28" x14ac:dyDescent="0.25">
      <c r="A71" t="str">
        <f>IF(MemberOrgControl!$C74 = "", "", INDEX(MemberOrgsData[CFDA], MemberOrgControl!$C74))</f>
        <v/>
      </c>
      <c r="C71" s="6" t="str">
        <f>IFERROR(INDEX(AllFilteredCFDAs[All CFDAs], MATCH(0, INDEX(COUNTIF($C$3:C70, AllFilteredCFDAs[All CFDAs]),),0)), "")</f>
        <v/>
      </c>
      <c r="D71" s="6" t="str">
        <f t="array" ref="D71">IFERROR(INDEX(MemberOrgsData[FEDERALPROGRAMNAME], MATCH(1, (SelectMemberOrgs = MemberOrgsData[Auditee Name])*(Table11[[#This Row],[Unique CFDA]] = MemberOrgsData[CFDA]), 0)), "")</f>
        <v/>
      </c>
      <c r="E71" s="25" t="str">
        <f t="array" ref="E71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71" s="26" t="str">
        <f t="array" ref="F71">IFERROR(INDEX(BudgetAppropData[President % Change], MATCH(1, (Table11[[#This Row],[Unique CFDA]] = BudgetAppropData[CFDA])*(SelectBudgetYear = BudgetAppropData[Fiscal Year]), 0)), "")</f>
        <v/>
      </c>
      <c r="G71" s="25" t="str">
        <f>IF(Table11[[#This Row],[Unique CFDA]] = "", "", IFERROR(Table11[[#This Row],[FY 2018 Total]]*Table11[[#This Row],[President % Change]], ""))</f>
        <v/>
      </c>
      <c r="H71" s="26" t="str">
        <f t="array" ref="H71">IFERROR(INDEX(BudgetAppropData[House % Change], MATCH(1, (Table11[[#This Row],[Unique CFDA]] = BudgetAppropData[CFDA])*(SelectBudgetYear = BudgetAppropData[Fiscal Year]),0)), "")</f>
        <v/>
      </c>
      <c r="I71" s="25" t="str">
        <f>IF(Table11[[#This Row],[Unique CFDA]] = "", "", IFERROR(Table11[[#This Row],[FY 2018 Total]]*Table11[[#This Row],[House % Change]], ""))</f>
        <v/>
      </c>
      <c r="J71" s="6"/>
      <c r="K71" s="25" t="str">
        <f>IF(Table11[[#This Row],[Unique CFDA]] = "", "", IFERROR(Table11[[#This Row],[FY 2018 Total]]*Table11[[#This Row],[Senate Budget]], ""))</f>
        <v/>
      </c>
      <c r="L71" s="6" t="str">
        <f>IF(Table11[[#This Row],[Unique CFDA]] = "", "", IF(ISNUMBER(Table11[[#This Row],[President $ Change]]), RANK(Table11[[#This Row],[President $ Change]], Table11[President $ Change])+COUNTIF($G71:G71, G71)-1,0))</f>
        <v/>
      </c>
      <c r="N71">
        <v>68</v>
      </c>
      <c r="O71" t="str">
        <f>IFERROR(INDEX(Table11[Unique CFDA], MATCH(N71, Table11[Pres. Sort], 0)), "")</f>
        <v/>
      </c>
      <c r="P71" s="1" t="str">
        <f>IFERROR(INDEX(Table11[Grant Name], MATCH(MemberOrgFinalSort[[#This Row],[CFDA]], Table11[Unique CFDA], 0)), "")</f>
        <v/>
      </c>
      <c r="Q71" s="20" t="str">
        <f>IFERROR(INDEX(Table11[FY 2018 Total], MATCH(MemberOrgFinalSort[[#This Row],[CFDA]], Table11[Unique CFDA], 0)), "")</f>
        <v/>
      </c>
      <c r="R71" s="21" t="str">
        <f>IFERROR(INDEX(Table11[President % Change], MATCH(MemberOrgFinalSort[[#This Row],[CFDA]], Table11[Unique CFDA], 0)), "")</f>
        <v/>
      </c>
      <c r="S71" s="20" t="str">
        <f>IFERROR(INDEX(Table11[President $ Change], MATCH(MemberOrgFinalSort[[#This Row],[CFDA]], Table11[Unique CFDA], 0)), "")</f>
        <v/>
      </c>
      <c r="T71" s="32" t="str">
        <f>IFERROR(INDEX(Table11[House % Change], MATCH(MemberOrgFinalSort[[#This Row],[CFDA]], Table11[Unique CFDA], 0)), "")</f>
        <v/>
      </c>
      <c r="U71" s="32" t="str">
        <f>IFERROR(INDEX(Table11[House $ Change], MATCH(MemberOrgFinalSort[[#This Row],[CFDA]], Table11[Unique CFDA], 0)), "")</f>
        <v/>
      </c>
      <c r="V71" s="20"/>
      <c r="X71" s="6"/>
      <c r="Y71" s="6"/>
      <c r="Z71" s="6"/>
      <c r="AA71" s="6"/>
      <c r="AB71" s="6"/>
    </row>
    <row r="72" spans="1:28" x14ac:dyDescent="0.25">
      <c r="A72" t="str">
        <f>IF(MemberOrgControl!$C75 = "", "", INDEX(MemberOrgsData[CFDA], MemberOrgControl!$C75))</f>
        <v/>
      </c>
      <c r="C72" s="6" t="str">
        <f>IFERROR(INDEX(AllFilteredCFDAs[All CFDAs], MATCH(0, INDEX(COUNTIF($C$3:C71, AllFilteredCFDAs[All CFDAs]),),0)), "")</f>
        <v/>
      </c>
      <c r="D72" s="6" t="str">
        <f t="array" ref="D72">IFERROR(INDEX(MemberOrgsData[FEDERALPROGRAMNAME], MATCH(1, (SelectMemberOrgs = MemberOrgsData[Auditee Name])*(Table11[[#This Row],[Unique CFDA]] = MemberOrgsData[CFDA]), 0)), "")</f>
        <v/>
      </c>
      <c r="E72" s="25" t="str">
        <f t="array" ref="E72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72" s="26" t="str">
        <f t="array" ref="F72">IFERROR(INDEX(BudgetAppropData[President % Change], MATCH(1, (Table11[[#This Row],[Unique CFDA]] = BudgetAppropData[CFDA])*(SelectBudgetYear = BudgetAppropData[Fiscal Year]), 0)), "")</f>
        <v/>
      </c>
      <c r="G72" s="25" t="str">
        <f>IF(Table11[[#This Row],[Unique CFDA]] = "", "", IFERROR(Table11[[#This Row],[FY 2018 Total]]*Table11[[#This Row],[President % Change]], ""))</f>
        <v/>
      </c>
      <c r="H72" s="26" t="str">
        <f t="array" ref="H72">IFERROR(INDEX(BudgetAppropData[House % Change], MATCH(1, (Table11[[#This Row],[Unique CFDA]] = BudgetAppropData[CFDA])*(SelectBudgetYear = BudgetAppropData[Fiscal Year]),0)), "")</f>
        <v/>
      </c>
      <c r="I72" s="25" t="str">
        <f>IF(Table11[[#This Row],[Unique CFDA]] = "", "", IFERROR(Table11[[#This Row],[FY 2018 Total]]*Table11[[#This Row],[House % Change]], ""))</f>
        <v/>
      </c>
      <c r="J72" s="6"/>
      <c r="K72" s="25" t="str">
        <f>IF(Table11[[#This Row],[Unique CFDA]] = "", "", IFERROR(Table11[[#This Row],[FY 2018 Total]]*Table11[[#This Row],[Senate Budget]], ""))</f>
        <v/>
      </c>
      <c r="L72" s="6" t="str">
        <f>IF(Table11[[#This Row],[Unique CFDA]] = "", "", IF(ISNUMBER(Table11[[#This Row],[President $ Change]]), RANK(Table11[[#This Row],[President $ Change]], Table11[President $ Change])+COUNTIF($G72:G72, G72)-1,0))</f>
        <v/>
      </c>
      <c r="N72">
        <v>69</v>
      </c>
      <c r="O72" t="str">
        <f>IFERROR(INDEX(Table11[Unique CFDA], MATCH(N72, Table11[Pres. Sort], 0)), "")</f>
        <v/>
      </c>
      <c r="P72" s="1" t="str">
        <f>IFERROR(INDEX(Table11[Grant Name], MATCH(MemberOrgFinalSort[[#This Row],[CFDA]], Table11[Unique CFDA], 0)), "")</f>
        <v/>
      </c>
      <c r="Q72" s="20" t="str">
        <f>IFERROR(INDEX(Table11[FY 2018 Total], MATCH(MemberOrgFinalSort[[#This Row],[CFDA]], Table11[Unique CFDA], 0)), "")</f>
        <v/>
      </c>
      <c r="R72" s="21" t="str">
        <f>IFERROR(INDEX(Table11[President % Change], MATCH(MemberOrgFinalSort[[#This Row],[CFDA]], Table11[Unique CFDA], 0)), "")</f>
        <v/>
      </c>
      <c r="S72" s="20" t="str">
        <f>IFERROR(INDEX(Table11[President $ Change], MATCH(MemberOrgFinalSort[[#This Row],[CFDA]], Table11[Unique CFDA], 0)), "")</f>
        <v/>
      </c>
      <c r="T72" s="32" t="str">
        <f>IFERROR(INDEX(Table11[House % Change], MATCH(MemberOrgFinalSort[[#This Row],[CFDA]], Table11[Unique CFDA], 0)), "")</f>
        <v/>
      </c>
      <c r="U72" s="32" t="str">
        <f>IFERROR(INDEX(Table11[House $ Change], MATCH(MemberOrgFinalSort[[#This Row],[CFDA]], Table11[Unique CFDA], 0)), "")</f>
        <v/>
      </c>
      <c r="V72" s="20"/>
      <c r="X72" s="6"/>
      <c r="Y72" s="6"/>
      <c r="Z72" s="6"/>
      <c r="AA72" s="6"/>
      <c r="AB72" s="6"/>
    </row>
    <row r="73" spans="1:28" x14ac:dyDescent="0.25">
      <c r="A73" t="str">
        <f>IF(MemberOrgControl!$C76 = "", "", INDEX(MemberOrgsData[CFDA], MemberOrgControl!$C76))</f>
        <v/>
      </c>
      <c r="C73" s="6" t="str">
        <f>IFERROR(INDEX(AllFilteredCFDAs[All CFDAs], MATCH(0, INDEX(COUNTIF($C$3:C72, AllFilteredCFDAs[All CFDAs]),),0)), "")</f>
        <v/>
      </c>
      <c r="D73" s="6" t="str">
        <f t="array" ref="D73">IFERROR(INDEX(MemberOrgsData[FEDERALPROGRAMNAME], MATCH(1, (SelectMemberOrgs = MemberOrgsData[Auditee Name])*(Table11[[#This Row],[Unique CFDA]] = MemberOrgsData[CFDA]), 0)), "")</f>
        <v/>
      </c>
      <c r="E73" s="25" t="str">
        <f t="array" ref="E73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73" s="26" t="str">
        <f t="array" ref="F73">IFERROR(INDEX(BudgetAppropData[President % Change], MATCH(1, (Table11[[#This Row],[Unique CFDA]] = BudgetAppropData[CFDA])*(SelectBudgetYear = BudgetAppropData[Fiscal Year]), 0)), "")</f>
        <v/>
      </c>
      <c r="G73" s="25" t="str">
        <f>IF(Table11[[#This Row],[Unique CFDA]] = "", "", IFERROR(Table11[[#This Row],[FY 2018 Total]]*Table11[[#This Row],[President % Change]], ""))</f>
        <v/>
      </c>
      <c r="H73" s="26" t="str">
        <f t="array" ref="H73">IFERROR(INDEX(BudgetAppropData[House % Change], MATCH(1, (Table11[[#This Row],[Unique CFDA]] = BudgetAppropData[CFDA])*(SelectBudgetYear = BudgetAppropData[Fiscal Year]),0)), "")</f>
        <v/>
      </c>
      <c r="I73" s="25" t="str">
        <f>IF(Table11[[#This Row],[Unique CFDA]] = "", "", IFERROR(Table11[[#This Row],[FY 2018 Total]]*Table11[[#This Row],[House % Change]], ""))</f>
        <v/>
      </c>
      <c r="J73" s="6"/>
      <c r="K73" s="25" t="str">
        <f>IF(Table11[[#This Row],[Unique CFDA]] = "", "", IFERROR(Table11[[#This Row],[FY 2018 Total]]*Table11[[#This Row],[Senate Budget]], ""))</f>
        <v/>
      </c>
      <c r="L73" s="6" t="str">
        <f>IF(Table11[[#This Row],[Unique CFDA]] = "", "", IF(ISNUMBER(Table11[[#This Row],[President $ Change]]), RANK(Table11[[#This Row],[President $ Change]], Table11[President $ Change])+COUNTIF($G73:G73, G73)-1,0))</f>
        <v/>
      </c>
      <c r="N73">
        <v>70</v>
      </c>
      <c r="O73" t="str">
        <f>IFERROR(INDEX(Table11[Unique CFDA], MATCH(N73, Table11[Pres. Sort], 0)), "")</f>
        <v/>
      </c>
      <c r="P73" s="1" t="str">
        <f>IFERROR(INDEX(Table11[Grant Name], MATCH(MemberOrgFinalSort[[#This Row],[CFDA]], Table11[Unique CFDA], 0)), "")</f>
        <v/>
      </c>
      <c r="Q73" s="20" t="str">
        <f>IFERROR(INDEX(Table11[FY 2018 Total], MATCH(MemberOrgFinalSort[[#This Row],[CFDA]], Table11[Unique CFDA], 0)), "")</f>
        <v/>
      </c>
      <c r="R73" s="21" t="str">
        <f>IFERROR(INDEX(Table11[President % Change], MATCH(MemberOrgFinalSort[[#This Row],[CFDA]], Table11[Unique CFDA], 0)), "")</f>
        <v/>
      </c>
      <c r="S73" s="20" t="str">
        <f>IFERROR(INDEX(Table11[President $ Change], MATCH(MemberOrgFinalSort[[#This Row],[CFDA]], Table11[Unique CFDA], 0)), "")</f>
        <v/>
      </c>
      <c r="T73" s="32" t="str">
        <f>IFERROR(INDEX(Table11[House % Change], MATCH(MemberOrgFinalSort[[#This Row],[CFDA]], Table11[Unique CFDA], 0)), "")</f>
        <v/>
      </c>
      <c r="U73" s="32" t="str">
        <f>IFERROR(INDEX(Table11[House $ Change], MATCH(MemberOrgFinalSort[[#This Row],[CFDA]], Table11[Unique CFDA], 0)), "")</f>
        <v/>
      </c>
      <c r="V73" s="20"/>
      <c r="X73" s="6"/>
      <c r="Y73" s="6"/>
      <c r="Z73" s="6"/>
      <c r="AA73" s="6"/>
      <c r="AB73" s="6"/>
    </row>
    <row r="74" spans="1:28" x14ac:dyDescent="0.25">
      <c r="A74" t="str">
        <f>IF(MemberOrgControl!$C77 = "", "", INDEX(MemberOrgsData[CFDA], MemberOrgControl!$C77))</f>
        <v/>
      </c>
      <c r="C74" s="6" t="str">
        <f>IFERROR(INDEX(AllFilteredCFDAs[All CFDAs], MATCH(0, INDEX(COUNTIF($C$3:C73, AllFilteredCFDAs[All CFDAs]),),0)), "")</f>
        <v/>
      </c>
      <c r="D74" s="6" t="str">
        <f t="array" ref="D74">IFERROR(INDEX(MemberOrgsData[FEDERALPROGRAMNAME], MATCH(1, (SelectMemberOrgs = MemberOrgsData[Auditee Name])*(Table11[[#This Row],[Unique CFDA]] = MemberOrgsData[CFDA]), 0)), "")</f>
        <v/>
      </c>
      <c r="E74" s="25" t="str">
        <f t="array" ref="E74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74" s="26" t="str">
        <f t="array" ref="F74">IFERROR(INDEX(BudgetAppropData[President % Change], MATCH(1, (Table11[[#This Row],[Unique CFDA]] = BudgetAppropData[CFDA])*(SelectBudgetYear = BudgetAppropData[Fiscal Year]), 0)), "")</f>
        <v/>
      </c>
      <c r="G74" s="25" t="str">
        <f>IF(Table11[[#This Row],[Unique CFDA]] = "", "", IFERROR(Table11[[#This Row],[FY 2018 Total]]*Table11[[#This Row],[President % Change]], ""))</f>
        <v/>
      </c>
      <c r="H74" s="26" t="str">
        <f t="array" ref="H74">IFERROR(INDEX(BudgetAppropData[House % Change], MATCH(1, (Table11[[#This Row],[Unique CFDA]] = BudgetAppropData[CFDA])*(SelectBudgetYear = BudgetAppropData[Fiscal Year]),0)), "")</f>
        <v/>
      </c>
      <c r="I74" s="25" t="str">
        <f>IF(Table11[[#This Row],[Unique CFDA]] = "", "", IFERROR(Table11[[#This Row],[FY 2018 Total]]*Table11[[#This Row],[House % Change]], ""))</f>
        <v/>
      </c>
      <c r="J74" s="6"/>
      <c r="K74" s="25" t="str">
        <f>IF(Table11[[#This Row],[Unique CFDA]] = "", "", IFERROR(Table11[[#This Row],[FY 2018 Total]]*Table11[[#This Row],[Senate Budget]], ""))</f>
        <v/>
      </c>
      <c r="L74" s="6" t="str">
        <f>IF(Table11[[#This Row],[Unique CFDA]] = "", "", IF(ISNUMBER(Table11[[#This Row],[President $ Change]]), RANK(Table11[[#This Row],[President $ Change]], Table11[President $ Change])+COUNTIF($G74:G74, G74)-1,0))</f>
        <v/>
      </c>
      <c r="N74">
        <v>71</v>
      </c>
      <c r="O74" t="str">
        <f>IFERROR(INDEX(Table11[Unique CFDA], MATCH(N74, Table11[Pres. Sort], 0)), "")</f>
        <v/>
      </c>
      <c r="P74" s="1" t="str">
        <f>IFERROR(INDEX(Table11[Grant Name], MATCH(MemberOrgFinalSort[[#This Row],[CFDA]], Table11[Unique CFDA], 0)), "")</f>
        <v/>
      </c>
      <c r="Q74" s="20" t="str">
        <f>IFERROR(INDEX(Table11[FY 2018 Total], MATCH(MemberOrgFinalSort[[#This Row],[CFDA]], Table11[Unique CFDA], 0)), "")</f>
        <v/>
      </c>
      <c r="R74" s="21" t="str">
        <f>IFERROR(INDEX(Table11[President % Change], MATCH(MemberOrgFinalSort[[#This Row],[CFDA]], Table11[Unique CFDA], 0)), "")</f>
        <v/>
      </c>
      <c r="S74" s="20" t="str">
        <f>IFERROR(INDEX(Table11[President $ Change], MATCH(MemberOrgFinalSort[[#This Row],[CFDA]], Table11[Unique CFDA], 0)), "")</f>
        <v/>
      </c>
      <c r="T74" s="32" t="str">
        <f>IFERROR(INDEX(Table11[House % Change], MATCH(MemberOrgFinalSort[[#This Row],[CFDA]], Table11[Unique CFDA], 0)), "")</f>
        <v/>
      </c>
      <c r="U74" s="32" t="str">
        <f>IFERROR(INDEX(Table11[House $ Change], MATCH(MemberOrgFinalSort[[#This Row],[CFDA]], Table11[Unique CFDA], 0)), "")</f>
        <v/>
      </c>
      <c r="V74" s="20"/>
      <c r="X74" s="6"/>
      <c r="Y74" s="6"/>
      <c r="Z74" s="6"/>
      <c r="AA74" s="6"/>
      <c r="AB74" s="6"/>
    </row>
    <row r="75" spans="1:28" x14ac:dyDescent="0.25">
      <c r="A75" t="str">
        <f>IF(MemberOrgControl!$C78 = "", "", INDEX(MemberOrgsData[CFDA], MemberOrgControl!$C78))</f>
        <v/>
      </c>
      <c r="C75" s="6" t="str">
        <f>IFERROR(INDEX(AllFilteredCFDAs[All CFDAs], MATCH(0, INDEX(COUNTIF($C$3:C74, AllFilteredCFDAs[All CFDAs]),),0)), "")</f>
        <v/>
      </c>
      <c r="D75" s="6" t="str">
        <f t="array" ref="D75">IFERROR(INDEX(MemberOrgsData[FEDERALPROGRAMNAME], MATCH(1, (SelectMemberOrgs = MemberOrgsData[Auditee Name])*(Table11[[#This Row],[Unique CFDA]] = MemberOrgsData[CFDA]), 0)), "")</f>
        <v/>
      </c>
      <c r="E75" s="25" t="str">
        <f t="array" ref="E75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75" s="26" t="str">
        <f t="array" ref="F75">IFERROR(INDEX(BudgetAppropData[President % Change], MATCH(1, (Table11[[#This Row],[Unique CFDA]] = BudgetAppropData[CFDA])*(SelectBudgetYear = BudgetAppropData[Fiscal Year]), 0)), "")</f>
        <v/>
      </c>
      <c r="G75" s="25" t="str">
        <f>IF(Table11[[#This Row],[Unique CFDA]] = "", "", IFERROR(Table11[[#This Row],[FY 2018 Total]]*Table11[[#This Row],[President % Change]], ""))</f>
        <v/>
      </c>
      <c r="H75" s="26" t="str">
        <f t="array" ref="H75">IFERROR(INDEX(BudgetAppropData[House % Change], MATCH(1, (Table11[[#This Row],[Unique CFDA]] = BudgetAppropData[CFDA])*(SelectBudgetYear = BudgetAppropData[Fiscal Year]),0)), "")</f>
        <v/>
      </c>
      <c r="I75" s="25" t="str">
        <f>IF(Table11[[#This Row],[Unique CFDA]] = "", "", IFERROR(Table11[[#This Row],[FY 2018 Total]]*Table11[[#This Row],[House % Change]], ""))</f>
        <v/>
      </c>
      <c r="J75" s="6"/>
      <c r="K75" s="25" t="str">
        <f>IF(Table11[[#This Row],[Unique CFDA]] = "", "", IFERROR(Table11[[#This Row],[FY 2018 Total]]*Table11[[#This Row],[Senate Budget]], ""))</f>
        <v/>
      </c>
      <c r="L75" s="6" t="str">
        <f>IF(Table11[[#This Row],[Unique CFDA]] = "", "", IF(ISNUMBER(Table11[[#This Row],[President $ Change]]), RANK(Table11[[#This Row],[President $ Change]], Table11[President $ Change])+COUNTIF($G75:G75, G75)-1,0))</f>
        <v/>
      </c>
      <c r="N75">
        <v>72</v>
      </c>
      <c r="O75" t="str">
        <f>IFERROR(INDEX(Table11[Unique CFDA], MATCH(N75, Table11[Pres. Sort], 0)), "")</f>
        <v/>
      </c>
      <c r="P75" s="1" t="str">
        <f>IFERROR(INDEX(Table11[Grant Name], MATCH(MemberOrgFinalSort[[#This Row],[CFDA]], Table11[Unique CFDA], 0)), "")</f>
        <v/>
      </c>
      <c r="Q75" s="20" t="str">
        <f>IFERROR(INDEX(Table11[FY 2018 Total], MATCH(MemberOrgFinalSort[[#This Row],[CFDA]], Table11[Unique CFDA], 0)), "")</f>
        <v/>
      </c>
      <c r="R75" s="21" t="str">
        <f>IFERROR(INDEX(Table11[President % Change], MATCH(MemberOrgFinalSort[[#This Row],[CFDA]], Table11[Unique CFDA], 0)), "")</f>
        <v/>
      </c>
      <c r="S75" s="20" t="str">
        <f>IFERROR(INDEX(Table11[President $ Change], MATCH(MemberOrgFinalSort[[#This Row],[CFDA]], Table11[Unique CFDA], 0)), "")</f>
        <v/>
      </c>
      <c r="T75" s="32" t="str">
        <f>IFERROR(INDEX(Table11[House % Change], MATCH(MemberOrgFinalSort[[#This Row],[CFDA]], Table11[Unique CFDA], 0)), "")</f>
        <v/>
      </c>
      <c r="U75" s="32" t="str">
        <f>IFERROR(INDEX(Table11[House $ Change], MATCH(MemberOrgFinalSort[[#This Row],[CFDA]], Table11[Unique CFDA], 0)), "")</f>
        <v/>
      </c>
      <c r="V75" s="20"/>
      <c r="X75" s="6"/>
      <c r="Y75" s="6"/>
      <c r="Z75" s="6"/>
      <c r="AA75" s="6"/>
      <c r="AB75" s="6"/>
    </row>
    <row r="76" spans="1:28" x14ac:dyDescent="0.25">
      <c r="A76" t="str">
        <f>IF(MemberOrgControl!$C79 = "", "", INDEX(MemberOrgsData[CFDA], MemberOrgControl!$C79))</f>
        <v/>
      </c>
      <c r="C76" s="6" t="str">
        <f>IFERROR(INDEX(AllFilteredCFDAs[All CFDAs], MATCH(0, INDEX(COUNTIF($C$3:C75, AllFilteredCFDAs[All CFDAs]),),0)), "")</f>
        <v/>
      </c>
      <c r="D76" s="6" t="str">
        <f t="array" ref="D76">IFERROR(INDEX(MemberOrgsData[FEDERALPROGRAMNAME], MATCH(1, (SelectMemberOrgs = MemberOrgsData[Auditee Name])*(Table11[[#This Row],[Unique CFDA]] = MemberOrgsData[CFDA]), 0)), "")</f>
        <v/>
      </c>
      <c r="E76" s="25" t="str">
        <f t="array" ref="E76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76" s="26" t="str">
        <f t="array" ref="F76">IFERROR(INDEX(BudgetAppropData[President % Change], MATCH(1, (Table11[[#This Row],[Unique CFDA]] = BudgetAppropData[CFDA])*(SelectBudgetYear = BudgetAppropData[Fiscal Year]), 0)), "")</f>
        <v/>
      </c>
      <c r="G76" s="25" t="str">
        <f>IF(Table11[[#This Row],[Unique CFDA]] = "", "", IFERROR(Table11[[#This Row],[FY 2018 Total]]*Table11[[#This Row],[President % Change]], ""))</f>
        <v/>
      </c>
      <c r="H76" s="26" t="str">
        <f t="array" ref="H76">IFERROR(INDEX(BudgetAppropData[House % Change], MATCH(1, (Table11[[#This Row],[Unique CFDA]] = BudgetAppropData[CFDA])*(SelectBudgetYear = BudgetAppropData[Fiscal Year]),0)), "")</f>
        <v/>
      </c>
      <c r="I76" s="25" t="str">
        <f>IF(Table11[[#This Row],[Unique CFDA]] = "", "", IFERROR(Table11[[#This Row],[FY 2018 Total]]*Table11[[#This Row],[House % Change]], ""))</f>
        <v/>
      </c>
      <c r="J76" s="6"/>
      <c r="K76" s="25" t="str">
        <f>IF(Table11[[#This Row],[Unique CFDA]] = "", "", IFERROR(Table11[[#This Row],[FY 2018 Total]]*Table11[[#This Row],[Senate Budget]], ""))</f>
        <v/>
      </c>
      <c r="L76" s="6" t="str">
        <f>IF(Table11[[#This Row],[Unique CFDA]] = "", "", IF(ISNUMBER(Table11[[#This Row],[President $ Change]]), RANK(Table11[[#This Row],[President $ Change]], Table11[President $ Change])+COUNTIF($G76:G76, G76)-1,0))</f>
        <v/>
      </c>
      <c r="N76">
        <v>73</v>
      </c>
      <c r="O76" t="str">
        <f>IFERROR(INDEX(Table11[Unique CFDA], MATCH(N76, Table11[Pres. Sort], 0)), "")</f>
        <v/>
      </c>
      <c r="P76" s="1" t="str">
        <f>IFERROR(INDEX(Table11[Grant Name], MATCH(MemberOrgFinalSort[[#This Row],[CFDA]], Table11[Unique CFDA], 0)), "")</f>
        <v/>
      </c>
      <c r="Q76" s="20" t="str">
        <f>IFERROR(INDEX(Table11[FY 2018 Total], MATCH(MemberOrgFinalSort[[#This Row],[CFDA]], Table11[Unique CFDA], 0)), "")</f>
        <v/>
      </c>
      <c r="R76" s="21" t="str">
        <f>IFERROR(INDEX(Table11[President % Change], MATCH(MemberOrgFinalSort[[#This Row],[CFDA]], Table11[Unique CFDA], 0)), "")</f>
        <v/>
      </c>
      <c r="S76" s="20" t="str">
        <f>IFERROR(INDEX(Table11[President $ Change], MATCH(MemberOrgFinalSort[[#This Row],[CFDA]], Table11[Unique CFDA], 0)), "")</f>
        <v/>
      </c>
      <c r="T76" s="32" t="str">
        <f>IFERROR(INDEX(Table11[House % Change], MATCH(MemberOrgFinalSort[[#This Row],[CFDA]], Table11[Unique CFDA], 0)), "")</f>
        <v/>
      </c>
      <c r="U76" s="32" t="str">
        <f>IFERROR(INDEX(Table11[House $ Change], MATCH(MemberOrgFinalSort[[#This Row],[CFDA]], Table11[Unique CFDA], 0)), "")</f>
        <v/>
      </c>
      <c r="V76" s="20"/>
      <c r="X76" s="6"/>
      <c r="Y76" s="6"/>
      <c r="Z76" s="6"/>
      <c r="AA76" s="6"/>
      <c r="AB76" s="6"/>
    </row>
    <row r="77" spans="1:28" x14ac:dyDescent="0.25">
      <c r="A77" t="str">
        <f>IF(MemberOrgControl!$C80 = "", "", INDEX(MemberOrgsData[CFDA], MemberOrgControl!$C80))</f>
        <v/>
      </c>
      <c r="C77" s="6" t="str">
        <f>IFERROR(INDEX(AllFilteredCFDAs[All CFDAs], MATCH(0, INDEX(COUNTIF($C$3:C76, AllFilteredCFDAs[All CFDAs]),),0)), "")</f>
        <v/>
      </c>
      <c r="D77" s="6" t="str">
        <f t="array" ref="D77">IFERROR(INDEX(MemberOrgsData[FEDERALPROGRAMNAME], MATCH(1, (SelectMemberOrgs = MemberOrgsData[Auditee Name])*(Table11[[#This Row],[Unique CFDA]] = MemberOrgsData[CFDA]), 0)), "")</f>
        <v/>
      </c>
      <c r="E77" s="25" t="str">
        <f t="array" ref="E77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77" s="26" t="str">
        <f t="array" ref="F77">IFERROR(INDEX(BudgetAppropData[President % Change], MATCH(1, (Table11[[#This Row],[Unique CFDA]] = BudgetAppropData[CFDA])*(SelectBudgetYear = BudgetAppropData[Fiscal Year]), 0)), "")</f>
        <v/>
      </c>
      <c r="G77" s="25" t="str">
        <f>IF(Table11[[#This Row],[Unique CFDA]] = "", "", IFERROR(Table11[[#This Row],[FY 2018 Total]]*Table11[[#This Row],[President % Change]], ""))</f>
        <v/>
      </c>
      <c r="H77" s="26" t="str">
        <f t="array" ref="H77">IFERROR(INDEX(BudgetAppropData[House % Change], MATCH(1, (Table11[[#This Row],[Unique CFDA]] = BudgetAppropData[CFDA])*(SelectBudgetYear = BudgetAppropData[Fiscal Year]),0)), "")</f>
        <v/>
      </c>
      <c r="I77" s="25" t="str">
        <f>IF(Table11[[#This Row],[Unique CFDA]] = "", "", IFERROR(Table11[[#This Row],[FY 2018 Total]]*Table11[[#This Row],[House % Change]], ""))</f>
        <v/>
      </c>
      <c r="J77" s="6"/>
      <c r="K77" s="25" t="str">
        <f>IF(Table11[[#This Row],[Unique CFDA]] = "", "", IFERROR(Table11[[#This Row],[FY 2018 Total]]*Table11[[#This Row],[Senate Budget]], ""))</f>
        <v/>
      </c>
      <c r="L77" s="6" t="str">
        <f>IF(Table11[[#This Row],[Unique CFDA]] = "", "", IF(ISNUMBER(Table11[[#This Row],[President $ Change]]), RANK(Table11[[#This Row],[President $ Change]], Table11[President $ Change])+COUNTIF($G77:G77, G77)-1,0))</f>
        <v/>
      </c>
      <c r="N77">
        <v>74</v>
      </c>
      <c r="O77" t="str">
        <f>IFERROR(INDEX(Table11[Unique CFDA], MATCH(N77, Table11[Pres. Sort], 0)), "")</f>
        <v/>
      </c>
      <c r="P77" s="1" t="str">
        <f>IFERROR(INDEX(Table11[Grant Name], MATCH(MemberOrgFinalSort[[#This Row],[CFDA]], Table11[Unique CFDA], 0)), "")</f>
        <v/>
      </c>
      <c r="Q77" s="20" t="str">
        <f>IFERROR(INDEX(Table11[FY 2018 Total], MATCH(MemberOrgFinalSort[[#This Row],[CFDA]], Table11[Unique CFDA], 0)), "")</f>
        <v/>
      </c>
      <c r="R77" s="21" t="str">
        <f>IFERROR(INDEX(Table11[President % Change], MATCH(MemberOrgFinalSort[[#This Row],[CFDA]], Table11[Unique CFDA], 0)), "")</f>
        <v/>
      </c>
      <c r="S77" s="20" t="str">
        <f>IFERROR(INDEX(Table11[President $ Change], MATCH(MemberOrgFinalSort[[#This Row],[CFDA]], Table11[Unique CFDA], 0)), "")</f>
        <v/>
      </c>
      <c r="T77" s="32" t="str">
        <f>IFERROR(INDEX(Table11[House % Change], MATCH(MemberOrgFinalSort[[#This Row],[CFDA]], Table11[Unique CFDA], 0)), "")</f>
        <v/>
      </c>
      <c r="U77" s="32" t="str">
        <f>IFERROR(INDEX(Table11[House $ Change], MATCH(MemberOrgFinalSort[[#This Row],[CFDA]], Table11[Unique CFDA], 0)), "")</f>
        <v/>
      </c>
      <c r="V77" s="20"/>
      <c r="X77" s="6"/>
      <c r="Y77" s="6"/>
      <c r="Z77" s="6"/>
      <c r="AA77" s="6"/>
      <c r="AB77" s="6"/>
    </row>
    <row r="78" spans="1:28" x14ac:dyDescent="0.25">
      <c r="A78" t="str">
        <f>IF(MemberOrgControl!$C81 = "", "", INDEX(MemberOrgsData[CFDA], MemberOrgControl!$C81))</f>
        <v/>
      </c>
      <c r="C78" s="6" t="str">
        <f>IFERROR(INDEX(AllFilteredCFDAs[All CFDAs], MATCH(0, INDEX(COUNTIF($C$3:C77, AllFilteredCFDAs[All CFDAs]),),0)), "")</f>
        <v/>
      </c>
      <c r="D78" s="6" t="str">
        <f t="array" ref="D78">IFERROR(INDEX(MemberOrgsData[FEDERALPROGRAMNAME], MATCH(1, (SelectMemberOrgs = MemberOrgsData[Auditee Name])*(Table11[[#This Row],[Unique CFDA]] = MemberOrgsData[CFDA]), 0)), "")</f>
        <v/>
      </c>
      <c r="E78" s="25" t="str">
        <f t="array" ref="E78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78" s="26" t="str">
        <f t="array" ref="F78">IFERROR(INDEX(BudgetAppropData[President % Change], MATCH(1, (Table11[[#This Row],[Unique CFDA]] = BudgetAppropData[CFDA])*(SelectBudgetYear = BudgetAppropData[Fiscal Year]), 0)), "")</f>
        <v/>
      </c>
      <c r="G78" s="25" t="str">
        <f>IF(Table11[[#This Row],[Unique CFDA]] = "", "", IFERROR(Table11[[#This Row],[FY 2018 Total]]*Table11[[#This Row],[President % Change]], ""))</f>
        <v/>
      </c>
      <c r="H78" s="26" t="str">
        <f t="array" ref="H78">IFERROR(INDEX(BudgetAppropData[House % Change], MATCH(1, (Table11[[#This Row],[Unique CFDA]] = BudgetAppropData[CFDA])*(SelectBudgetYear = BudgetAppropData[Fiscal Year]),0)), "")</f>
        <v/>
      </c>
      <c r="I78" s="25" t="str">
        <f>IF(Table11[[#This Row],[Unique CFDA]] = "", "", IFERROR(Table11[[#This Row],[FY 2018 Total]]*Table11[[#This Row],[House % Change]], ""))</f>
        <v/>
      </c>
      <c r="J78" s="6"/>
      <c r="K78" s="25" t="str">
        <f>IF(Table11[[#This Row],[Unique CFDA]] = "", "", IFERROR(Table11[[#This Row],[FY 2018 Total]]*Table11[[#This Row],[Senate Budget]], ""))</f>
        <v/>
      </c>
      <c r="L78" s="6" t="str">
        <f>IF(Table11[[#This Row],[Unique CFDA]] = "", "", IF(ISNUMBER(Table11[[#This Row],[President $ Change]]), RANK(Table11[[#This Row],[President $ Change]], Table11[President $ Change])+COUNTIF($G78:G78, G78)-1,0))</f>
        <v/>
      </c>
      <c r="N78">
        <v>75</v>
      </c>
      <c r="O78" t="str">
        <f>IFERROR(INDEX(Table11[Unique CFDA], MATCH(N78, Table11[Pres. Sort], 0)), "")</f>
        <v/>
      </c>
      <c r="P78" s="1" t="str">
        <f>IFERROR(INDEX(Table11[Grant Name], MATCH(MemberOrgFinalSort[[#This Row],[CFDA]], Table11[Unique CFDA], 0)), "")</f>
        <v/>
      </c>
      <c r="Q78" s="20" t="str">
        <f>IFERROR(INDEX(Table11[FY 2018 Total], MATCH(MemberOrgFinalSort[[#This Row],[CFDA]], Table11[Unique CFDA], 0)), "")</f>
        <v/>
      </c>
      <c r="R78" s="21" t="str">
        <f>IFERROR(INDEX(Table11[President % Change], MATCH(MemberOrgFinalSort[[#This Row],[CFDA]], Table11[Unique CFDA], 0)), "")</f>
        <v/>
      </c>
      <c r="S78" s="20" t="str">
        <f>IFERROR(INDEX(Table11[President $ Change], MATCH(MemberOrgFinalSort[[#This Row],[CFDA]], Table11[Unique CFDA], 0)), "")</f>
        <v/>
      </c>
      <c r="T78" s="32" t="str">
        <f>IFERROR(INDEX(Table11[House % Change], MATCH(MemberOrgFinalSort[[#This Row],[CFDA]], Table11[Unique CFDA], 0)), "")</f>
        <v/>
      </c>
      <c r="U78" s="32" t="str">
        <f>IFERROR(INDEX(Table11[House $ Change], MATCH(MemberOrgFinalSort[[#This Row],[CFDA]], Table11[Unique CFDA], 0)), "")</f>
        <v/>
      </c>
      <c r="V78" s="20"/>
      <c r="X78" s="6"/>
      <c r="Y78" s="6"/>
      <c r="Z78" s="6"/>
      <c r="AA78" s="6"/>
      <c r="AB78" s="6"/>
    </row>
    <row r="79" spans="1:28" x14ac:dyDescent="0.25">
      <c r="A79" t="str">
        <f>IF(MemberOrgControl!$C82 = "", "", INDEX(MemberOrgsData[CFDA], MemberOrgControl!$C82))</f>
        <v/>
      </c>
      <c r="C79" s="6" t="str">
        <f>IFERROR(INDEX(AllFilteredCFDAs[All CFDAs], MATCH(0, INDEX(COUNTIF($C$3:C78, AllFilteredCFDAs[All CFDAs]),),0)), "")</f>
        <v/>
      </c>
      <c r="D79" s="6" t="str">
        <f t="array" ref="D79">IFERROR(INDEX(MemberOrgsData[FEDERALPROGRAMNAME], MATCH(1, (SelectMemberOrgs = MemberOrgsData[Auditee Name])*(Table11[[#This Row],[Unique CFDA]] = MemberOrgsData[CFDA]), 0)), "")</f>
        <v/>
      </c>
      <c r="E79" s="25" t="str">
        <f t="array" ref="E79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79" s="26" t="str">
        <f t="array" ref="F79">IFERROR(INDEX(BudgetAppropData[President % Change], MATCH(1, (Table11[[#This Row],[Unique CFDA]] = BudgetAppropData[CFDA])*(SelectBudgetYear = BudgetAppropData[Fiscal Year]), 0)), "")</f>
        <v/>
      </c>
      <c r="G79" s="25" t="str">
        <f>IF(Table11[[#This Row],[Unique CFDA]] = "", "", IFERROR(Table11[[#This Row],[FY 2018 Total]]*Table11[[#This Row],[President % Change]], ""))</f>
        <v/>
      </c>
      <c r="H79" s="26" t="str">
        <f t="array" ref="H79">IFERROR(INDEX(BudgetAppropData[House % Change], MATCH(1, (Table11[[#This Row],[Unique CFDA]] = BudgetAppropData[CFDA])*(SelectBudgetYear = BudgetAppropData[Fiscal Year]),0)), "")</f>
        <v/>
      </c>
      <c r="I79" s="25" t="str">
        <f>IF(Table11[[#This Row],[Unique CFDA]] = "", "", IFERROR(Table11[[#This Row],[FY 2018 Total]]*Table11[[#This Row],[House % Change]], ""))</f>
        <v/>
      </c>
      <c r="J79" s="6"/>
      <c r="K79" s="25" t="str">
        <f>IF(Table11[[#This Row],[Unique CFDA]] = "", "", IFERROR(Table11[[#This Row],[FY 2018 Total]]*Table11[[#This Row],[Senate Budget]], ""))</f>
        <v/>
      </c>
      <c r="L79" s="6" t="str">
        <f>IF(Table11[[#This Row],[Unique CFDA]] = "", "", IF(ISNUMBER(Table11[[#This Row],[President $ Change]]), RANK(Table11[[#This Row],[President $ Change]], Table11[President $ Change])+COUNTIF($G79:G79, G79)-1,0))</f>
        <v/>
      </c>
      <c r="N79">
        <v>76</v>
      </c>
      <c r="O79" t="str">
        <f>IFERROR(INDEX(Table11[Unique CFDA], MATCH(N79, Table11[Pres. Sort], 0)), "")</f>
        <v/>
      </c>
      <c r="P79" s="1" t="str">
        <f>IFERROR(INDEX(Table11[Grant Name], MATCH(MemberOrgFinalSort[[#This Row],[CFDA]], Table11[Unique CFDA], 0)), "")</f>
        <v/>
      </c>
      <c r="Q79" s="20" t="str">
        <f>IFERROR(INDEX(Table11[FY 2018 Total], MATCH(MemberOrgFinalSort[[#This Row],[CFDA]], Table11[Unique CFDA], 0)), "")</f>
        <v/>
      </c>
      <c r="R79" s="21" t="str">
        <f>IFERROR(INDEX(Table11[President % Change], MATCH(MemberOrgFinalSort[[#This Row],[CFDA]], Table11[Unique CFDA], 0)), "")</f>
        <v/>
      </c>
      <c r="S79" s="20" t="str">
        <f>IFERROR(INDEX(Table11[President $ Change], MATCH(MemberOrgFinalSort[[#This Row],[CFDA]], Table11[Unique CFDA], 0)), "")</f>
        <v/>
      </c>
      <c r="T79" s="32" t="str">
        <f>IFERROR(INDEX(Table11[House % Change], MATCH(MemberOrgFinalSort[[#This Row],[CFDA]], Table11[Unique CFDA], 0)), "")</f>
        <v/>
      </c>
      <c r="U79" s="32" t="str">
        <f>IFERROR(INDEX(Table11[House $ Change], MATCH(MemberOrgFinalSort[[#This Row],[CFDA]], Table11[Unique CFDA], 0)), "")</f>
        <v/>
      </c>
      <c r="V79" s="20"/>
      <c r="X79" s="6"/>
      <c r="Y79" s="6"/>
      <c r="Z79" s="6"/>
      <c r="AA79" s="6"/>
      <c r="AB79" s="6"/>
    </row>
    <row r="80" spans="1:28" x14ac:dyDescent="0.25">
      <c r="A80" t="str">
        <f>IF(MemberOrgControl!$C83 = "", "", INDEX(MemberOrgsData[CFDA], MemberOrgControl!$C83))</f>
        <v/>
      </c>
      <c r="C80" s="6" t="str">
        <f>IFERROR(INDEX(AllFilteredCFDAs[All CFDAs], MATCH(0, INDEX(COUNTIF($C$3:C79, AllFilteredCFDAs[All CFDAs]),),0)), "")</f>
        <v/>
      </c>
      <c r="D80" s="6" t="str">
        <f t="array" ref="D80">IFERROR(INDEX(MemberOrgsData[FEDERALPROGRAMNAME], MATCH(1, (SelectMemberOrgs = MemberOrgsData[Auditee Name])*(Table11[[#This Row],[Unique CFDA]] = MemberOrgsData[CFDA]), 0)), "")</f>
        <v/>
      </c>
      <c r="E80" s="25" t="str">
        <f t="array" ref="E80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80" s="26" t="str">
        <f t="array" ref="F80">IFERROR(INDEX(BudgetAppropData[President % Change], MATCH(1, (Table11[[#This Row],[Unique CFDA]] = BudgetAppropData[CFDA])*(SelectBudgetYear = BudgetAppropData[Fiscal Year]), 0)), "")</f>
        <v/>
      </c>
      <c r="G80" s="25" t="str">
        <f>IF(Table11[[#This Row],[Unique CFDA]] = "", "", IFERROR(Table11[[#This Row],[FY 2018 Total]]*Table11[[#This Row],[President % Change]], ""))</f>
        <v/>
      </c>
      <c r="H80" s="26" t="str">
        <f t="array" ref="H80">IFERROR(INDEX(BudgetAppropData[House % Change], MATCH(1, (Table11[[#This Row],[Unique CFDA]] = BudgetAppropData[CFDA])*(SelectBudgetYear = BudgetAppropData[Fiscal Year]),0)), "")</f>
        <v/>
      </c>
      <c r="I80" s="25" t="str">
        <f>IF(Table11[[#This Row],[Unique CFDA]] = "", "", IFERROR(Table11[[#This Row],[FY 2018 Total]]*Table11[[#This Row],[House % Change]], ""))</f>
        <v/>
      </c>
      <c r="J80" s="6"/>
      <c r="K80" s="25" t="str">
        <f>IF(Table11[[#This Row],[Unique CFDA]] = "", "", IFERROR(Table11[[#This Row],[FY 2018 Total]]*Table11[[#This Row],[Senate Budget]], ""))</f>
        <v/>
      </c>
      <c r="L80" s="6" t="str">
        <f>IF(Table11[[#This Row],[Unique CFDA]] = "", "", IF(ISNUMBER(Table11[[#This Row],[President $ Change]]), RANK(Table11[[#This Row],[President $ Change]], Table11[President $ Change])+COUNTIF($G80:G80, G80)-1,0))</f>
        <v/>
      </c>
      <c r="N80">
        <v>77</v>
      </c>
      <c r="O80" t="str">
        <f>IFERROR(INDEX(Table11[Unique CFDA], MATCH(N80, Table11[Pres. Sort], 0)), "")</f>
        <v/>
      </c>
      <c r="P80" s="1" t="str">
        <f>IFERROR(INDEX(Table11[Grant Name], MATCH(MemberOrgFinalSort[[#This Row],[CFDA]], Table11[Unique CFDA], 0)), "")</f>
        <v/>
      </c>
      <c r="Q80" s="20" t="str">
        <f>IFERROR(INDEX(Table11[FY 2018 Total], MATCH(MemberOrgFinalSort[[#This Row],[CFDA]], Table11[Unique CFDA], 0)), "")</f>
        <v/>
      </c>
      <c r="R80" s="21" t="str">
        <f>IFERROR(INDEX(Table11[President % Change], MATCH(MemberOrgFinalSort[[#This Row],[CFDA]], Table11[Unique CFDA], 0)), "")</f>
        <v/>
      </c>
      <c r="S80" s="20" t="str">
        <f>IFERROR(INDEX(Table11[President $ Change], MATCH(MemberOrgFinalSort[[#This Row],[CFDA]], Table11[Unique CFDA], 0)), "")</f>
        <v/>
      </c>
      <c r="T80" s="32" t="str">
        <f>IFERROR(INDEX(Table11[House % Change], MATCH(MemberOrgFinalSort[[#This Row],[CFDA]], Table11[Unique CFDA], 0)), "")</f>
        <v/>
      </c>
      <c r="U80" s="32" t="str">
        <f>IFERROR(INDEX(Table11[House $ Change], MATCH(MemberOrgFinalSort[[#This Row],[CFDA]], Table11[Unique CFDA], 0)), "")</f>
        <v/>
      </c>
      <c r="V80" s="20"/>
      <c r="X80" s="6"/>
      <c r="Y80" s="6"/>
      <c r="Z80" s="6"/>
      <c r="AA80" s="6"/>
      <c r="AB80" s="6"/>
    </row>
    <row r="81" spans="1:28" x14ac:dyDescent="0.25">
      <c r="A81" t="str">
        <f>IF(MemberOrgControl!$C84 = "", "", INDEX(MemberOrgsData[CFDA], MemberOrgControl!$C84))</f>
        <v/>
      </c>
      <c r="C81" s="6" t="str">
        <f>IFERROR(INDEX(AllFilteredCFDAs[All CFDAs], MATCH(0, INDEX(COUNTIF($C$3:C80, AllFilteredCFDAs[All CFDAs]),),0)), "")</f>
        <v/>
      </c>
      <c r="D81" s="6" t="str">
        <f t="array" ref="D81">IFERROR(INDEX(MemberOrgsData[FEDERALPROGRAMNAME], MATCH(1, (SelectMemberOrgs = MemberOrgsData[Auditee Name])*(Table11[[#This Row],[Unique CFDA]] = MemberOrgsData[CFDA]), 0)), "")</f>
        <v/>
      </c>
      <c r="E81" s="25" t="str">
        <f t="array" ref="E81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81" s="26" t="str">
        <f t="array" ref="F81">IFERROR(INDEX(BudgetAppropData[President % Change], MATCH(1, (Table11[[#This Row],[Unique CFDA]] = BudgetAppropData[CFDA])*(SelectBudgetYear = BudgetAppropData[Fiscal Year]), 0)), "")</f>
        <v/>
      </c>
      <c r="G81" s="25" t="str">
        <f>IF(Table11[[#This Row],[Unique CFDA]] = "", "", IFERROR(Table11[[#This Row],[FY 2018 Total]]*Table11[[#This Row],[President % Change]], ""))</f>
        <v/>
      </c>
      <c r="H81" s="26" t="str">
        <f t="array" ref="H81">IFERROR(INDEX(BudgetAppropData[House % Change], MATCH(1, (Table11[[#This Row],[Unique CFDA]] = BudgetAppropData[CFDA])*(SelectBudgetYear = BudgetAppropData[Fiscal Year]),0)), "")</f>
        <v/>
      </c>
      <c r="I81" s="25" t="str">
        <f>IF(Table11[[#This Row],[Unique CFDA]] = "", "", IFERROR(Table11[[#This Row],[FY 2018 Total]]*Table11[[#This Row],[House % Change]], ""))</f>
        <v/>
      </c>
      <c r="J81" s="6"/>
      <c r="K81" s="25" t="str">
        <f>IF(Table11[[#This Row],[Unique CFDA]] = "", "", IFERROR(Table11[[#This Row],[FY 2018 Total]]*Table11[[#This Row],[Senate Budget]], ""))</f>
        <v/>
      </c>
      <c r="L81" s="6" t="str">
        <f>IF(Table11[[#This Row],[Unique CFDA]] = "", "", IF(ISNUMBER(Table11[[#This Row],[President $ Change]]), RANK(Table11[[#This Row],[President $ Change]], Table11[President $ Change])+COUNTIF($G81:G81, G81)-1,0))</f>
        <v/>
      </c>
      <c r="N81">
        <v>78</v>
      </c>
      <c r="O81" t="str">
        <f>IFERROR(INDEX(Table11[Unique CFDA], MATCH(N81, Table11[Pres. Sort], 0)), "")</f>
        <v/>
      </c>
      <c r="P81" s="1" t="str">
        <f>IFERROR(INDEX(Table11[Grant Name], MATCH(MemberOrgFinalSort[[#This Row],[CFDA]], Table11[Unique CFDA], 0)), "")</f>
        <v/>
      </c>
      <c r="Q81" s="20" t="str">
        <f>IFERROR(INDEX(Table11[FY 2018 Total], MATCH(MemberOrgFinalSort[[#This Row],[CFDA]], Table11[Unique CFDA], 0)), "")</f>
        <v/>
      </c>
      <c r="R81" s="21" t="str">
        <f>IFERROR(INDEX(Table11[President % Change], MATCH(MemberOrgFinalSort[[#This Row],[CFDA]], Table11[Unique CFDA], 0)), "")</f>
        <v/>
      </c>
      <c r="S81" s="20" t="str">
        <f>IFERROR(INDEX(Table11[President $ Change], MATCH(MemberOrgFinalSort[[#This Row],[CFDA]], Table11[Unique CFDA], 0)), "")</f>
        <v/>
      </c>
      <c r="T81" s="32" t="str">
        <f>IFERROR(INDEX(Table11[House % Change], MATCH(MemberOrgFinalSort[[#This Row],[CFDA]], Table11[Unique CFDA], 0)), "")</f>
        <v/>
      </c>
      <c r="U81" s="32" t="str">
        <f>IFERROR(INDEX(Table11[House $ Change], MATCH(MemberOrgFinalSort[[#This Row],[CFDA]], Table11[Unique CFDA], 0)), "")</f>
        <v/>
      </c>
      <c r="V81" s="20"/>
      <c r="X81" s="6"/>
      <c r="Y81" s="6"/>
      <c r="Z81" s="6"/>
      <c r="AA81" s="6"/>
      <c r="AB81" s="6"/>
    </row>
    <row r="82" spans="1:28" x14ac:dyDescent="0.25">
      <c r="A82" t="str">
        <f>IF(MemberOrgControl!$C85 = "", "", INDEX(MemberOrgsData[CFDA], MemberOrgControl!$C85))</f>
        <v/>
      </c>
      <c r="C82" s="6" t="str">
        <f>IFERROR(INDEX(AllFilteredCFDAs[All CFDAs], MATCH(0, INDEX(COUNTIF($C$3:C81, AllFilteredCFDAs[All CFDAs]),),0)), "")</f>
        <v/>
      </c>
      <c r="D82" s="6" t="str">
        <f t="array" ref="D82">IFERROR(INDEX(MemberOrgsData[FEDERALPROGRAMNAME], MATCH(1, (SelectMemberOrgs = MemberOrgsData[Auditee Name])*(Table11[[#This Row],[Unique CFDA]] = MemberOrgsData[CFDA]), 0)), "")</f>
        <v/>
      </c>
      <c r="E82" s="25" t="str">
        <f t="array" ref="E82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82" s="26" t="str">
        <f t="array" ref="F82">IFERROR(INDEX(BudgetAppropData[President % Change], MATCH(1, (Table11[[#This Row],[Unique CFDA]] = BudgetAppropData[CFDA])*(SelectBudgetYear = BudgetAppropData[Fiscal Year]), 0)), "")</f>
        <v/>
      </c>
      <c r="G82" s="25" t="str">
        <f>IF(Table11[[#This Row],[Unique CFDA]] = "", "", IFERROR(Table11[[#This Row],[FY 2018 Total]]*Table11[[#This Row],[President % Change]], ""))</f>
        <v/>
      </c>
      <c r="H82" s="26" t="str">
        <f t="array" ref="H82">IFERROR(INDEX(BudgetAppropData[House % Change], MATCH(1, (Table11[[#This Row],[Unique CFDA]] = BudgetAppropData[CFDA])*(SelectBudgetYear = BudgetAppropData[Fiscal Year]),0)), "")</f>
        <v/>
      </c>
      <c r="I82" s="25" t="str">
        <f>IF(Table11[[#This Row],[Unique CFDA]] = "", "", IFERROR(Table11[[#This Row],[FY 2018 Total]]*Table11[[#This Row],[House % Change]], ""))</f>
        <v/>
      </c>
      <c r="J82" s="6"/>
      <c r="K82" s="25" t="str">
        <f>IF(Table11[[#This Row],[Unique CFDA]] = "", "", IFERROR(Table11[[#This Row],[FY 2018 Total]]*Table11[[#This Row],[Senate Budget]], ""))</f>
        <v/>
      </c>
      <c r="L82" s="6" t="str">
        <f>IF(Table11[[#This Row],[Unique CFDA]] = "", "", IF(ISNUMBER(Table11[[#This Row],[President $ Change]]), RANK(Table11[[#This Row],[President $ Change]], Table11[President $ Change])+COUNTIF($G82:G82, G82)-1,0))</f>
        <v/>
      </c>
      <c r="N82">
        <v>79</v>
      </c>
      <c r="O82" t="str">
        <f>IFERROR(INDEX(Table11[Unique CFDA], MATCH(N82, Table11[Pres. Sort], 0)), "")</f>
        <v/>
      </c>
      <c r="P82" s="1" t="str">
        <f>IFERROR(INDEX(Table11[Grant Name], MATCH(MemberOrgFinalSort[[#This Row],[CFDA]], Table11[Unique CFDA], 0)), "")</f>
        <v/>
      </c>
      <c r="Q82" s="20" t="str">
        <f>IFERROR(INDEX(Table11[FY 2018 Total], MATCH(MemberOrgFinalSort[[#This Row],[CFDA]], Table11[Unique CFDA], 0)), "")</f>
        <v/>
      </c>
      <c r="R82" s="21" t="str">
        <f>IFERROR(INDEX(Table11[President % Change], MATCH(MemberOrgFinalSort[[#This Row],[CFDA]], Table11[Unique CFDA], 0)), "")</f>
        <v/>
      </c>
      <c r="S82" s="20" t="str">
        <f>IFERROR(INDEX(Table11[President $ Change], MATCH(MemberOrgFinalSort[[#This Row],[CFDA]], Table11[Unique CFDA], 0)), "")</f>
        <v/>
      </c>
      <c r="T82" s="32" t="str">
        <f>IFERROR(INDEX(Table11[House % Change], MATCH(MemberOrgFinalSort[[#This Row],[CFDA]], Table11[Unique CFDA], 0)), "")</f>
        <v/>
      </c>
      <c r="U82" s="32" t="str">
        <f>IFERROR(INDEX(Table11[House $ Change], MATCH(MemberOrgFinalSort[[#This Row],[CFDA]], Table11[Unique CFDA], 0)), "")</f>
        <v/>
      </c>
      <c r="V82" s="20"/>
      <c r="X82" s="6"/>
      <c r="Y82" s="6"/>
      <c r="Z82" s="6"/>
      <c r="AA82" s="6"/>
      <c r="AB82" s="6"/>
    </row>
    <row r="83" spans="1:28" x14ac:dyDescent="0.25">
      <c r="A83" t="str">
        <f>IF(MemberOrgControl!$C86 = "", "", INDEX(MemberOrgsData[CFDA], MemberOrgControl!$C86))</f>
        <v/>
      </c>
      <c r="C83" s="6" t="str">
        <f>IFERROR(INDEX(AllFilteredCFDAs[All CFDAs], MATCH(0, INDEX(COUNTIF($C$3:C82, AllFilteredCFDAs[All CFDAs]),),0)), "")</f>
        <v/>
      </c>
      <c r="D83" s="6" t="str">
        <f t="array" ref="D83">IFERROR(INDEX(MemberOrgsData[FEDERALPROGRAMNAME], MATCH(1, (SelectMemberOrgs = MemberOrgsData[Auditee Name])*(Table11[[#This Row],[Unique CFDA]] = MemberOrgsData[CFDA]), 0)), "")</f>
        <v/>
      </c>
      <c r="E83" s="25" t="str">
        <f t="array" ref="E83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83" s="26" t="str">
        <f t="array" ref="F83">IFERROR(INDEX(BudgetAppropData[President % Change], MATCH(1, (Table11[[#This Row],[Unique CFDA]] = BudgetAppropData[CFDA])*(SelectBudgetYear = BudgetAppropData[Fiscal Year]), 0)), "")</f>
        <v/>
      </c>
      <c r="G83" s="25" t="str">
        <f>IF(Table11[[#This Row],[Unique CFDA]] = "", "", IFERROR(Table11[[#This Row],[FY 2018 Total]]*Table11[[#This Row],[President % Change]], ""))</f>
        <v/>
      </c>
      <c r="H83" s="26" t="str">
        <f t="array" ref="H83">IFERROR(INDEX(BudgetAppropData[House % Change], MATCH(1, (Table11[[#This Row],[Unique CFDA]] = BudgetAppropData[CFDA])*(SelectBudgetYear = BudgetAppropData[Fiscal Year]),0)), "")</f>
        <v/>
      </c>
      <c r="I83" s="25" t="str">
        <f>IF(Table11[[#This Row],[Unique CFDA]] = "", "", IFERROR(Table11[[#This Row],[FY 2018 Total]]*Table11[[#This Row],[House % Change]], ""))</f>
        <v/>
      </c>
      <c r="J83" s="6"/>
      <c r="K83" s="25" t="str">
        <f>IF(Table11[[#This Row],[Unique CFDA]] = "", "", IFERROR(Table11[[#This Row],[FY 2018 Total]]*Table11[[#This Row],[Senate Budget]], ""))</f>
        <v/>
      </c>
      <c r="L83" s="6" t="str">
        <f>IF(Table11[[#This Row],[Unique CFDA]] = "", "", IF(ISNUMBER(Table11[[#This Row],[President $ Change]]), RANK(Table11[[#This Row],[President $ Change]], Table11[President $ Change])+COUNTIF($G83:G83, G83)-1,0))</f>
        <v/>
      </c>
      <c r="N83">
        <v>80</v>
      </c>
      <c r="O83" t="str">
        <f>IFERROR(INDEX(Table11[Unique CFDA], MATCH(N83, Table11[Pres. Sort], 0)), "")</f>
        <v/>
      </c>
      <c r="P83" s="1" t="str">
        <f>IFERROR(INDEX(Table11[Grant Name], MATCH(MemberOrgFinalSort[[#This Row],[CFDA]], Table11[Unique CFDA], 0)), "")</f>
        <v/>
      </c>
      <c r="Q83" s="20" t="str">
        <f>IFERROR(INDEX(Table11[FY 2018 Total], MATCH(MemberOrgFinalSort[[#This Row],[CFDA]], Table11[Unique CFDA], 0)), "")</f>
        <v/>
      </c>
      <c r="R83" s="21" t="str">
        <f>IFERROR(INDEX(Table11[President % Change], MATCH(MemberOrgFinalSort[[#This Row],[CFDA]], Table11[Unique CFDA], 0)), "")</f>
        <v/>
      </c>
      <c r="S83" s="20" t="str">
        <f>IFERROR(INDEX(Table11[President $ Change], MATCH(MemberOrgFinalSort[[#This Row],[CFDA]], Table11[Unique CFDA], 0)), "")</f>
        <v/>
      </c>
      <c r="T83" s="32" t="str">
        <f>IFERROR(INDEX(Table11[House % Change], MATCH(MemberOrgFinalSort[[#This Row],[CFDA]], Table11[Unique CFDA], 0)), "")</f>
        <v/>
      </c>
      <c r="U83" s="32" t="str">
        <f>IFERROR(INDEX(Table11[House $ Change], MATCH(MemberOrgFinalSort[[#This Row],[CFDA]], Table11[Unique CFDA], 0)), "")</f>
        <v/>
      </c>
      <c r="V83" s="20"/>
      <c r="X83" s="6"/>
      <c r="Y83" s="6"/>
      <c r="Z83" s="6"/>
      <c r="AA83" s="6"/>
      <c r="AB83" s="6"/>
    </row>
    <row r="84" spans="1:28" x14ac:dyDescent="0.25">
      <c r="A84" t="str">
        <f>IF(MemberOrgControl!$C87 = "", "", INDEX(MemberOrgsData[CFDA], MemberOrgControl!$C87))</f>
        <v/>
      </c>
      <c r="C84" s="6" t="str">
        <f>IFERROR(INDEX(AllFilteredCFDAs[All CFDAs], MATCH(0, INDEX(COUNTIF($C$3:C83, AllFilteredCFDAs[All CFDAs]),),0)), "")</f>
        <v/>
      </c>
      <c r="D84" s="6" t="str">
        <f t="array" ref="D84">IFERROR(INDEX(MemberOrgsData[FEDERALPROGRAMNAME], MATCH(1, (SelectMemberOrgs = MemberOrgsData[Auditee Name])*(Table11[[#This Row],[Unique CFDA]] = MemberOrgsData[CFDA]), 0)), "")</f>
        <v/>
      </c>
      <c r="E84" s="25" t="str">
        <f t="array" ref="E84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84" s="26" t="str">
        <f t="array" ref="F84">IFERROR(INDEX(BudgetAppropData[President % Change], MATCH(1, (Table11[[#This Row],[Unique CFDA]] = BudgetAppropData[CFDA])*(SelectBudgetYear = BudgetAppropData[Fiscal Year]), 0)), "")</f>
        <v/>
      </c>
      <c r="G84" s="25" t="str">
        <f>IF(Table11[[#This Row],[Unique CFDA]] = "", "", IFERROR(Table11[[#This Row],[FY 2018 Total]]*Table11[[#This Row],[President % Change]], ""))</f>
        <v/>
      </c>
      <c r="H84" s="26" t="str">
        <f t="array" ref="H84">IFERROR(INDEX(BudgetAppropData[House % Change], MATCH(1, (Table11[[#This Row],[Unique CFDA]] = BudgetAppropData[CFDA])*(SelectBudgetYear = BudgetAppropData[Fiscal Year]),0)), "")</f>
        <v/>
      </c>
      <c r="I84" s="25" t="str">
        <f>IF(Table11[[#This Row],[Unique CFDA]] = "", "", IFERROR(Table11[[#This Row],[FY 2018 Total]]*Table11[[#This Row],[House % Change]], ""))</f>
        <v/>
      </c>
      <c r="J84" s="6"/>
      <c r="K84" s="25" t="str">
        <f>IF(Table11[[#This Row],[Unique CFDA]] = "", "", IFERROR(Table11[[#This Row],[FY 2018 Total]]*Table11[[#This Row],[Senate Budget]], ""))</f>
        <v/>
      </c>
      <c r="L84" s="6" t="str">
        <f>IF(Table11[[#This Row],[Unique CFDA]] = "", "", IF(ISNUMBER(Table11[[#This Row],[President $ Change]]), RANK(Table11[[#This Row],[President $ Change]], Table11[President $ Change])+COUNTIF($G84:G84, G84)-1,0))</f>
        <v/>
      </c>
      <c r="N84">
        <v>81</v>
      </c>
      <c r="O84" t="str">
        <f>IFERROR(INDEX(Table11[Unique CFDA], MATCH(N84, Table11[Pres. Sort], 0)), "")</f>
        <v/>
      </c>
      <c r="P84" s="1" t="str">
        <f>IFERROR(INDEX(Table11[Grant Name], MATCH(MemberOrgFinalSort[[#This Row],[CFDA]], Table11[Unique CFDA], 0)), "")</f>
        <v/>
      </c>
      <c r="Q84" s="20" t="str">
        <f>IFERROR(INDEX(Table11[FY 2018 Total], MATCH(MemberOrgFinalSort[[#This Row],[CFDA]], Table11[Unique CFDA], 0)), "")</f>
        <v/>
      </c>
      <c r="R84" s="21" t="str">
        <f>IFERROR(INDEX(Table11[President % Change], MATCH(MemberOrgFinalSort[[#This Row],[CFDA]], Table11[Unique CFDA], 0)), "")</f>
        <v/>
      </c>
      <c r="S84" s="20" t="str">
        <f>IFERROR(INDEX(Table11[President $ Change], MATCH(MemberOrgFinalSort[[#This Row],[CFDA]], Table11[Unique CFDA], 0)), "")</f>
        <v/>
      </c>
      <c r="T84" s="32" t="str">
        <f>IFERROR(INDEX(Table11[House % Change], MATCH(MemberOrgFinalSort[[#This Row],[CFDA]], Table11[Unique CFDA], 0)), "")</f>
        <v/>
      </c>
      <c r="U84" s="32" t="str">
        <f>IFERROR(INDEX(Table11[House $ Change], MATCH(MemberOrgFinalSort[[#This Row],[CFDA]], Table11[Unique CFDA], 0)), "")</f>
        <v/>
      </c>
      <c r="V84" s="20"/>
      <c r="X84" s="6"/>
      <c r="Y84" s="6"/>
      <c r="Z84" s="6"/>
      <c r="AA84" s="6"/>
      <c r="AB84" s="6"/>
    </row>
    <row r="85" spans="1:28" x14ac:dyDescent="0.25">
      <c r="A85" t="str">
        <f>IF(MemberOrgControl!$C88 = "", "", INDEX(MemberOrgsData[CFDA], MemberOrgControl!$C88))</f>
        <v/>
      </c>
      <c r="C85" s="6" t="str">
        <f>IFERROR(INDEX(AllFilteredCFDAs[All CFDAs], MATCH(0, INDEX(COUNTIF($C$3:C84, AllFilteredCFDAs[All CFDAs]),),0)), "")</f>
        <v/>
      </c>
      <c r="D85" s="6" t="str">
        <f t="array" ref="D85">IFERROR(INDEX(MemberOrgsData[FEDERALPROGRAMNAME], MATCH(1, (SelectMemberOrgs = MemberOrgsData[Auditee Name])*(Table11[[#This Row],[Unique CFDA]] = MemberOrgsData[CFDA]), 0)), "")</f>
        <v/>
      </c>
      <c r="E85" s="25" t="str">
        <f t="array" ref="E85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85" s="26" t="str">
        <f t="array" ref="F85">IFERROR(INDEX(BudgetAppropData[President % Change], MATCH(1, (Table11[[#This Row],[Unique CFDA]] = BudgetAppropData[CFDA])*(SelectBudgetYear = BudgetAppropData[Fiscal Year]), 0)), "")</f>
        <v/>
      </c>
      <c r="G85" s="25" t="str">
        <f>IF(Table11[[#This Row],[Unique CFDA]] = "", "", IFERROR(Table11[[#This Row],[FY 2018 Total]]*Table11[[#This Row],[President % Change]], ""))</f>
        <v/>
      </c>
      <c r="H85" s="26" t="str">
        <f t="array" ref="H85">IFERROR(INDEX(BudgetAppropData[House % Change], MATCH(1, (Table11[[#This Row],[Unique CFDA]] = BudgetAppropData[CFDA])*(SelectBudgetYear = BudgetAppropData[Fiscal Year]),0)), "")</f>
        <v/>
      </c>
      <c r="I85" s="25" t="str">
        <f>IF(Table11[[#This Row],[Unique CFDA]] = "", "", IFERROR(Table11[[#This Row],[FY 2018 Total]]*Table11[[#This Row],[House % Change]], ""))</f>
        <v/>
      </c>
      <c r="J85" s="6"/>
      <c r="K85" s="25" t="str">
        <f>IF(Table11[[#This Row],[Unique CFDA]] = "", "", IFERROR(Table11[[#This Row],[FY 2018 Total]]*Table11[[#This Row],[Senate Budget]], ""))</f>
        <v/>
      </c>
      <c r="L85" s="6" t="str">
        <f>IF(Table11[[#This Row],[Unique CFDA]] = "", "", IF(ISNUMBER(Table11[[#This Row],[President $ Change]]), RANK(Table11[[#This Row],[President $ Change]], Table11[President $ Change])+COUNTIF($G85:G85, G85)-1,0))</f>
        <v/>
      </c>
      <c r="N85">
        <v>82</v>
      </c>
      <c r="O85" t="str">
        <f>IFERROR(INDEX(Table11[Unique CFDA], MATCH(N85, Table11[Pres. Sort], 0)), "")</f>
        <v/>
      </c>
      <c r="P85" s="1" t="str">
        <f>IFERROR(INDEX(Table11[Grant Name], MATCH(MemberOrgFinalSort[[#This Row],[CFDA]], Table11[Unique CFDA], 0)), "")</f>
        <v/>
      </c>
      <c r="Q85" s="20" t="str">
        <f>IFERROR(INDEX(Table11[FY 2018 Total], MATCH(MemberOrgFinalSort[[#This Row],[CFDA]], Table11[Unique CFDA], 0)), "")</f>
        <v/>
      </c>
      <c r="R85" s="21" t="str">
        <f>IFERROR(INDEX(Table11[President % Change], MATCH(MemberOrgFinalSort[[#This Row],[CFDA]], Table11[Unique CFDA], 0)), "")</f>
        <v/>
      </c>
      <c r="S85" s="20" t="str">
        <f>IFERROR(INDEX(Table11[President $ Change], MATCH(MemberOrgFinalSort[[#This Row],[CFDA]], Table11[Unique CFDA], 0)), "")</f>
        <v/>
      </c>
      <c r="T85" s="32" t="str">
        <f>IFERROR(INDEX(Table11[House % Change], MATCH(MemberOrgFinalSort[[#This Row],[CFDA]], Table11[Unique CFDA], 0)), "")</f>
        <v/>
      </c>
      <c r="U85" s="32" t="str">
        <f>IFERROR(INDEX(Table11[House $ Change], MATCH(MemberOrgFinalSort[[#This Row],[CFDA]], Table11[Unique CFDA], 0)), "")</f>
        <v/>
      </c>
      <c r="V85" s="20"/>
      <c r="X85" s="6"/>
      <c r="Y85" s="6"/>
      <c r="Z85" s="6"/>
      <c r="AA85" s="6"/>
      <c r="AB85" s="6"/>
    </row>
    <row r="86" spans="1:28" x14ac:dyDescent="0.25">
      <c r="A86" t="str">
        <f>IF(MemberOrgControl!$C89 = "", "", INDEX(MemberOrgsData[CFDA], MemberOrgControl!$C89))</f>
        <v/>
      </c>
      <c r="C86" s="6" t="str">
        <f>IFERROR(INDEX(AllFilteredCFDAs[All CFDAs], MATCH(0, INDEX(COUNTIF($C$3:C85, AllFilteredCFDAs[All CFDAs]),),0)), "")</f>
        <v/>
      </c>
      <c r="D86" s="6" t="str">
        <f t="array" ref="D86">IFERROR(INDEX(MemberOrgsData[FEDERALPROGRAMNAME], MATCH(1, (SelectMemberOrgs = MemberOrgsData[Auditee Name])*(Table11[[#This Row],[Unique CFDA]] = MemberOrgsData[CFDA]), 0)), "")</f>
        <v/>
      </c>
      <c r="E86" s="25" t="str">
        <f t="array" ref="E86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86" s="26" t="str">
        <f t="array" ref="F86">IFERROR(INDEX(BudgetAppropData[President % Change], MATCH(1, (Table11[[#This Row],[Unique CFDA]] = BudgetAppropData[CFDA])*(SelectBudgetYear = BudgetAppropData[Fiscal Year]), 0)), "")</f>
        <v/>
      </c>
      <c r="G86" s="25" t="str">
        <f>IF(Table11[[#This Row],[Unique CFDA]] = "", "", IFERROR(Table11[[#This Row],[FY 2018 Total]]*Table11[[#This Row],[President % Change]], ""))</f>
        <v/>
      </c>
      <c r="H86" s="26" t="str">
        <f t="array" ref="H86">IFERROR(INDEX(BudgetAppropData[House % Change], MATCH(1, (Table11[[#This Row],[Unique CFDA]] = BudgetAppropData[CFDA])*(SelectBudgetYear = BudgetAppropData[Fiscal Year]),0)), "")</f>
        <v/>
      </c>
      <c r="I86" s="25" t="str">
        <f>IF(Table11[[#This Row],[Unique CFDA]] = "", "", IFERROR(Table11[[#This Row],[FY 2018 Total]]*Table11[[#This Row],[House % Change]], ""))</f>
        <v/>
      </c>
      <c r="J86" s="6"/>
      <c r="K86" s="25" t="str">
        <f>IF(Table11[[#This Row],[Unique CFDA]] = "", "", IFERROR(Table11[[#This Row],[FY 2018 Total]]*Table11[[#This Row],[Senate Budget]], ""))</f>
        <v/>
      </c>
      <c r="L86" s="6" t="str">
        <f>IF(Table11[[#This Row],[Unique CFDA]] = "", "", IF(ISNUMBER(Table11[[#This Row],[President $ Change]]), RANK(Table11[[#This Row],[President $ Change]], Table11[President $ Change])+COUNTIF($G86:G86, G86)-1,0))</f>
        <v/>
      </c>
      <c r="N86">
        <v>83</v>
      </c>
      <c r="O86" t="str">
        <f>IFERROR(INDEX(Table11[Unique CFDA], MATCH(N86, Table11[Pres. Sort], 0)), "")</f>
        <v/>
      </c>
      <c r="P86" s="1" t="str">
        <f>IFERROR(INDEX(Table11[Grant Name], MATCH(MemberOrgFinalSort[[#This Row],[CFDA]], Table11[Unique CFDA], 0)), "")</f>
        <v/>
      </c>
      <c r="Q86" s="20" t="str">
        <f>IFERROR(INDEX(Table11[FY 2018 Total], MATCH(MemberOrgFinalSort[[#This Row],[CFDA]], Table11[Unique CFDA], 0)), "")</f>
        <v/>
      </c>
      <c r="R86" s="21" t="str">
        <f>IFERROR(INDEX(Table11[President % Change], MATCH(MemberOrgFinalSort[[#This Row],[CFDA]], Table11[Unique CFDA], 0)), "")</f>
        <v/>
      </c>
      <c r="S86" s="20" t="str">
        <f>IFERROR(INDEX(Table11[President $ Change], MATCH(MemberOrgFinalSort[[#This Row],[CFDA]], Table11[Unique CFDA], 0)), "")</f>
        <v/>
      </c>
      <c r="T86" s="32" t="str">
        <f>IFERROR(INDEX(Table11[House % Change], MATCH(MemberOrgFinalSort[[#This Row],[CFDA]], Table11[Unique CFDA], 0)), "")</f>
        <v/>
      </c>
      <c r="U86" s="32" t="str">
        <f>IFERROR(INDEX(Table11[House $ Change], MATCH(MemberOrgFinalSort[[#This Row],[CFDA]], Table11[Unique CFDA], 0)), "")</f>
        <v/>
      </c>
      <c r="V86" s="20"/>
      <c r="X86" s="6"/>
      <c r="Y86" s="6"/>
      <c r="Z86" s="6"/>
      <c r="AA86" s="6"/>
      <c r="AB86" s="6"/>
    </row>
    <row r="87" spans="1:28" x14ac:dyDescent="0.25">
      <c r="A87" t="str">
        <f>IF(MemberOrgControl!$C90 = "", "", INDEX(MemberOrgsData[CFDA], MemberOrgControl!$C90))</f>
        <v/>
      </c>
      <c r="C87" s="6" t="str">
        <f>IFERROR(INDEX(AllFilteredCFDAs[All CFDAs], MATCH(0, INDEX(COUNTIF($C$3:C86, AllFilteredCFDAs[All CFDAs]),),0)), "")</f>
        <v/>
      </c>
      <c r="D87" s="6" t="str">
        <f t="array" ref="D87">IFERROR(INDEX(MemberOrgsData[FEDERALPROGRAMNAME], MATCH(1, (SelectMemberOrgs = MemberOrgsData[Auditee Name])*(Table11[[#This Row],[Unique CFDA]] = MemberOrgsData[CFDA]), 0)), "")</f>
        <v/>
      </c>
      <c r="E87" s="25" t="str">
        <f t="array" ref="E87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87" s="26" t="str">
        <f t="array" ref="F87">IFERROR(INDEX(BudgetAppropData[President % Change], MATCH(1, (Table11[[#This Row],[Unique CFDA]] = BudgetAppropData[CFDA])*(SelectBudgetYear = BudgetAppropData[Fiscal Year]), 0)), "")</f>
        <v/>
      </c>
      <c r="G87" s="25" t="str">
        <f>IF(Table11[[#This Row],[Unique CFDA]] = "", "", IFERROR(Table11[[#This Row],[FY 2018 Total]]*Table11[[#This Row],[President % Change]], ""))</f>
        <v/>
      </c>
      <c r="H87" s="26" t="str">
        <f t="array" ref="H87">IFERROR(INDEX(BudgetAppropData[House % Change], MATCH(1, (Table11[[#This Row],[Unique CFDA]] = BudgetAppropData[CFDA])*(SelectBudgetYear = BudgetAppropData[Fiscal Year]),0)), "")</f>
        <v/>
      </c>
      <c r="I87" s="25" t="str">
        <f>IF(Table11[[#This Row],[Unique CFDA]] = "", "", IFERROR(Table11[[#This Row],[FY 2018 Total]]*Table11[[#This Row],[House % Change]], ""))</f>
        <v/>
      </c>
      <c r="J87" s="6"/>
      <c r="K87" s="25" t="str">
        <f>IF(Table11[[#This Row],[Unique CFDA]] = "", "", IFERROR(Table11[[#This Row],[FY 2018 Total]]*Table11[[#This Row],[Senate Budget]], ""))</f>
        <v/>
      </c>
      <c r="L87" s="6" t="str">
        <f>IF(Table11[[#This Row],[Unique CFDA]] = "", "", IF(ISNUMBER(Table11[[#This Row],[President $ Change]]), RANK(Table11[[#This Row],[President $ Change]], Table11[President $ Change])+COUNTIF($G87:G87, G87)-1,0))</f>
        <v/>
      </c>
      <c r="N87">
        <v>84</v>
      </c>
      <c r="O87" t="str">
        <f>IFERROR(INDEX(Table11[Unique CFDA], MATCH(N87, Table11[Pres. Sort], 0)), "")</f>
        <v/>
      </c>
      <c r="P87" s="1" t="str">
        <f>IFERROR(INDEX(Table11[Grant Name], MATCH(MemberOrgFinalSort[[#This Row],[CFDA]], Table11[Unique CFDA], 0)), "")</f>
        <v/>
      </c>
      <c r="Q87" s="20" t="str">
        <f>IFERROR(INDEX(Table11[FY 2018 Total], MATCH(MemberOrgFinalSort[[#This Row],[CFDA]], Table11[Unique CFDA], 0)), "")</f>
        <v/>
      </c>
      <c r="R87" s="21" t="str">
        <f>IFERROR(INDEX(Table11[President % Change], MATCH(MemberOrgFinalSort[[#This Row],[CFDA]], Table11[Unique CFDA], 0)), "")</f>
        <v/>
      </c>
      <c r="S87" s="20" t="str">
        <f>IFERROR(INDEX(Table11[President $ Change], MATCH(MemberOrgFinalSort[[#This Row],[CFDA]], Table11[Unique CFDA], 0)), "")</f>
        <v/>
      </c>
      <c r="T87" s="32" t="str">
        <f>IFERROR(INDEX(Table11[House % Change], MATCH(MemberOrgFinalSort[[#This Row],[CFDA]], Table11[Unique CFDA], 0)), "")</f>
        <v/>
      </c>
      <c r="U87" s="32" t="str">
        <f>IFERROR(INDEX(Table11[House $ Change], MATCH(MemberOrgFinalSort[[#This Row],[CFDA]], Table11[Unique CFDA], 0)), "")</f>
        <v/>
      </c>
      <c r="V87" s="20"/>
      <c r="X87" s="6"/>
      <c r="Y87" s="6"/>
      <c r="Z87" s="6"/>
      <c r="AA87" s="6"/>
      <c r="AB87" s="6"/>
    </row>
    <row r="88" spans="1:28" x14ac:dyDescent="0.25">
      <c r="A88" t="str">
        <f>IF(MemberOrgControl!$C91 = "", "", INDEX(MemberOrgsData[CFDA], MemberOrgControl!$C91))</f>
        <v/>
      </c>
      <c r="C88" s="6" t="str">
        <f>IFERROR(INDEX(AllFilteredCFDAs[All CFDAs], MATCH(0, INDEX(COUNTIF($C$3:C87, AllFilteredCFDAs[All CFDAs]),),0)), "")</f>
        <v/>
      </c>
      <c r="D88" s="6" t="str">
        <f t="array" ref="D88">IFERROR(INDEX(MemberOrgsData[FEDERALPROGRAMNAME], MATCH(1, (SelectMemberOrgs = MemberOrgsData[Auditee Name])*(Table11[[#This Row],[Unique CFDA]] = MemberOrgsData[CFDA]), 0)), "")</f>
        <v/>
      </c>
      <c r="E88" s="25" t="str">
        <f t="array" ref="E88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88" s="26" t="str">
        <f t="array" ref="F88">IFERROR(INDEX(BudgetAppropData[President % Change], MATCH(1, (Table11[[#This Row],[Unique CFDA]] = BudgetAppropData[CFDA])*(SelectBudgetYear = BudgetAppropData[Fiscal Year]), 0)), "")</f>
        <v/>
      </c>
      <c r="G88" s="25" t="str">
        <f>IF(Table11[[#This Row],[Unique CFDA]] = "", "", IFERROR(Table11[[#This Row],[FY 2018 Total]]*Table11[[#This Row],[President % Change]], ""))</f>
        <v/>
      </c>
      <c r="H88" s="26" t="str">
        <f t="array" ref="H88">IFERROR(INDEX(BudgetAppropData[House % Change], MATCH(1, (Table11[[#This Row],[Unique CFDA]] = BudgetAppropData[CFDA])*(SelectBudgetYear = BudgetAppropData[Fiscal Year]),0)), "")</f>
        <v/>
      </c>
      <c r="I88" s="25" t="str">
        <f>IF(Table11[[#This Row],[Unique CFDA]] = "", "", IFERROR(Table11[[#This Row],[FY 2018 Total]]*Table11[[#This Row],[House % Change]], ""))</f>
        <v/>
      </c>
      <c r="J88" s="6"/>
      <c r="K88" s="25" t="str">
        <f>IF(Table11[[#This Row],[Unique CFDA]] = "", "", IFERROR(Table11[[#This Row],[FY 2018 Total]]*Table11[[#This Row],[Senate Budget]], ""))</f>
        <v/>
      </c>
      <c r="L88" s="6" t="str">
        <f>IF(Table11[[#This Row],[Unique CFDA]] = "", "", IF(ISNUMBER(Table11[[#This Row],[President $ Change]]), RANK(Table11[[#This Row],[President $ Change]], Table11[President $ Change])+COUNTIF($G88:G88, G88)-1,0))</f>
        <v/>
      </c>
      <c r="N88">
        <v>85</v>
      </c>
      <c r="O88" t="str">
        <f>IFERROR(INDEX(Table11[Unique CFDA], MATCH(N88, Table11[Pres. Sort], 0)), "")</f>
        <v/>
      </c>
      <c r="P88" s="1" t="str">
        <f>IFERROR(INDEX(Table11[Grant Name], MATCH(MemberOrgFinalSort[[#This Row],[CFDA]], Table11[Unique CFDA], 0)), "")</f>
        <v/>
      </c>
      <c r="Q88" s="20" t="str">
        <f>IFERROR(INDEX(Table11[FY 2018 Total], MATCH(MemberOrgFinalSort[[#This Row],[CFDA]], Table11[Unique CFDA], 0)), "")</f>
        <v/>
      </c>
      <c r="R88" s="21" t="str">
        <f>IFERROR(INDEX(Table11[President % Change], MATCH(MemberOrgFinalSort[[#This Row],[CFDA]], Table11[Unique CFDA], 0)), "")</f>
        <v/>
      </c>
      <c r="S88" s="20" t="str">
        <f>IFERROR(INDEX(Table11[President $ Change], MATCH(MemberOrgFinalSort[[#This Row],[CFDA]], Table11[Unique CFDA], 0)), "")</f>
        <v/>
      </c>
      <c r="T88" s="32" t="str">
        <f>IFERROR(INDEX(Table11[House % Change], MATCH(MemberOrgFinalSort[[#This Row],[CFDA]], Table11[Unique CFDA], 0)), "")</f>
        <v/>
      </c>
      <c r="U88" s="32" t="str">
        <f>IFERROR(INDEX(Table11[House $ Change], MATCH(MemberOrgFinalSort[[#This Row],[CFDA]], Table11[Unique CFDA], 0)), "")</f>
        <v/>
      </c>
      <c r="V88" s="20"/>
      <c r="X88" s="6"/>
      <c r="Y88" s="6"/>
      <c r="Z88" s="6"/>
      <c r="AA88" s="6"/>
      <c r="AB88" s="6"/>
    </row>
    <row r="89" spans="1:28" x14ac:dyDescent="0.25">
      <c r="A89" t="str">
        <f>IF(MemberOrgControl!$C92 = "", "", INDEX(MemberOrgsData[CFDA], MemberOrgControl!$C92))</f>
        <v/>
      </c>
      <c r="C89" s="6" t="str">
        <f>IFERROR(INDEX(AllFilteredCFDAs[All CFDAs], MATCH(0, INDEX(COUNTIF($C$3:C88, AllFilteredCFDAs[All CFDAs]),),0)), "")</f>
        <v/>
      </c>
      <c r="D89" s="6" t="str">
        <f t="array" ref="D89">IFERROR(INDEX(MemberOrgsData[FEDERALPROGRAMNAME], MATCH(1, (SelectMemberOrgs = MemberOrgsData[Auditee Name])*(Table11[[#This Row],[Unique CFDA]] = MemberOrgsData[CFDA]), 0)), "")</f>
        <v/>
      </c>
      <c r="E89" s="25" t="str">
        <f t="array" ref="E89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89" s="26" t="str">
        <f t="array" ref="F89">IFERROR(INDEX(BudgetAppropData[President % Change], MATCH(1, (Table11[[#This Row],[Unique CFDA]] = BudgetAppropData[CFDA])*(SelectBudgetYear = BudgetAppropData[Fiscal Year]), 0)), "")</f>
        <v/>
      </c>
      <c r="G89" s="25" t="str">
        <f>IF(Table11[[#This Row],[Unique CFDA]] = "", "", IFERROR(Table11[[#This Row],[FY 2018 Total]]*Table11[[#This Row],[President % Change]], ""))</f>
        <v/>
      </c>
      <c r="H89" s="26" t="str">
        <f t="array" ref="H89">IFERROR(INDEX(BudgetAppropData[House % Change], MATCH(1, (Table11[[#This Row],[Unique CFDA]] = BudgetAppropData[CFDA])*(SelectBudgetYear = BudgetAppropData[Fiscal Year]),0)), "")</f>
        <v/>
      </c>
      <c r="I89" s="25" t="str">
        <f>IF(Table11[[#This Row],[Unique CFDA]] = "", "", IFERROR(Table11[[#This Row],[FY 2018 Total]]*Table11[[#This Row],[House % Change]], ""))</f>
        <v/>
      </c>
      <c r="J89" s="6"/>
      <c r="K89" s="25" t="str">
        <f>IF(Table11[[#This Row],[Unique CFDA]] = "", "", IFERROR(Table11[[#This Row],[FY 2018 Total]]*Table11[[#This Row],[Senate Budget]], ""))</f>
        <v/>
      </c>
      <c r="L89" s="6" t="str">
        <f>IF(Table11[[#This Row],[Unique CFDA]] = "", "", IF(ISNUMBER(Table11[[#This Row],[President $ Change]]), RANK(Table11[[#This Row],[President $ Change]], Table11[President $ Change])+COUNTIF($G89:G89, G89)-1,0))</f>
        <v/>
      </c>
      <c r="N89">
        <v>86</v>
      </c>
      <c r="O89" t="str">
        <f>IFERROR(INDEX(Table11[Unique CFDA], MATCH(N89, Table11[Pres. Sort], 0)), "")</f>
        <v/>
      </c>
      <c r="P89" s="1" t="str">
        <f>IFERROR(INDEX(Table11[Grant Name], MATCH(MemberOrgFinalSort[[#This Row],[CFDA]], Table11[Unique CFDA], 0)), "")</f>
        <v/>
      </c>
      <c r="Q89" s="20" t="str">
        <f>IFERROR(INDEX(Table11[FY 2018 Total], MATCH(MemberOrgFinalSort[[#This Row],[CFDA]], Table11[Unique CFDA], 0)), "")</f>
        <v/>
      </c>
      <c r="R89" s="21" t="str">
        <f>IFERROR(INDEX(Table11[President % Change], MATCH(MemberOrgFinalSort[[#This Row],[CFDA]], Table11[Unique CFDA], 0)), "")</f>
        <v/>
      </c>
      <c r="S89" s="20" t="str">
        <f>IFERROR(INDEX(Table11[President $ Change], MATCH(MemberOrgFinalSort[[#This Row],[CFDA]], Table11[Unique CFDA], 0)), "")</f>
        <v/>
      </c>
      <c r="T89" s="32" t="str">
        <f>IFERROR(INDEX(Table11[House % Change], MATCH(MemberOrgFinalSort[[#This Row],[CFDA]], Table11[Unique CFDA], 0)), "")</f>
        <v/>
      </c>
      <c r="U89" s="32" t="str">
        <f>IFERROR(INDEX(Table11[House $ Change], MATCH(MemberOrgFinalSort[[#This Row],[CFDA]], Table11[Unique CFDA], 0)), "")</f>
        <v/>
      </c>
      <c r="V89" s="20"/>
      <c r="X89" s="6"/>
      <c r="Y89" s="6"/>
      <c r="Z89" s="6"/>
      <c r="AA89" s="6"/>
      <c r="AB89" s="6"/>
    </row>
    <row r="90" spans="1:28" x14ac:dyDescent="0.25">
      <c r="A90" t="str">
        <f>IF(MemberOrgControl!$C93 = "", "", INDEX(MemberOrgsData[CFDA], MemberOrgControl!$C93))</f>
        <v/>
      </c>
      <c r="C90" s="6" t="str">
        <f>IFERROR(INDEX(AllFilteredCFDAs[All CFDAs], MATCH(0, INDEX(COUNTIF($C$3:C89, AllFilteredCFDAs[All CFDAs]),),0)), "")</f>
        <v/>
      </c>
      <c r="D90" s="6" t="str">
        <f t="array" ref="D90">IFERROR(INDEX(MemberOrgsData[FEDERALPROGRAMNAME], MATCH(1, (SelectMemberOrgs = MemberOrgsData[Auditee Name])*(Table11[[#This Row],[Unique CFDA]] = MemberOrgsData[CFDA]), 0)), "")</f>
        <v/>
      </c>
      <c r="E90" s="25" t="str">
        <f t="array" ref="E90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90" s="26" t="str">
        <f t="array" ref="F90">IFERROR(INDEX(BudgetAppropData[President % Change], MATCH(1, (Table11[[#This Row],[Unique CFDA]] = BudgetAppropData[CFDA])*(SelectBudgetYear = BudgetAppropData[Fiscal Year]), 0)), "")</f>
        <v/>
      </c>
      <c r="G90" s="25" t="str">
        <f>IF(Table11[[#This Row],[Unique CFDA]] = "", "", IFERROR(Table11[[#This Row],[FY 2018 Total]]*Table11[[#This Row],[President % Change]], ""))</f>
        <v/>
      </c>
      <c r="H90" s="26" t="str">
        <f t="array" ref="H90">IFERROR(INDEX(BudgetAppropData[House % Change], MATCH(1, (Table11[[#This Row],[Unique CFDA]] = BudgetAppropData[CFDA])*(SelectBudgetYear = BudgetAppropData[Fiscal Year]),0)), "")</f>
        <v/>
      </c>
      <c r="I90" s="25" t="str">
        <f>IF(Table11[[#This Row],[Unique CFDA]] = "", "", IFERROR(Table11[[#This Row],[FY 2018 Total]]*Table11[[#This Row],[House % Change]], ""))</f>
        <v/>
      </c>
      <c r="J90" s="6"/>
      <c r="K90" s="25" t="str">
        <f>IF(Table11[[#This Row],[Unique CFDA]] = "", "", IFERROR(Table11[[#This Row],[FY 2018 Total]]*Table11[[#This Row],[Senate Budget]], ""))</f>
        <v/>
      </c>
      <c r="L90" s="6" t="str">
        <f>IF(Table11[[#This Row],[Unique CFDA]] = "", "", IF(ISNUMBER(Table11[[#This Row],[President $ Change]]), RANK(Table11[[#This Row],[President $ Change]], Table11[President $ Change])+COUNTIF($G90:G90, G90)-1,0))</f>
        <v/>
      </c>
      <c r="N90">
        <v>87</v>
      </c>
      <c r="O90" t="str">
        <f>IFERROR(INDEX(Table11[Unique CFDA], MATCH(N90, Table11[Pres. Sort], 0)), "")</f>
        <v/>
      </c>
      <c r="P90" s="1" t="str">
        <f>IFERROR(INDEX(Table11[Grant Name], MATCH(MemberOrgFinalSort[[#This Row],[CFDA]], Table11[Unique CFDA], 0)), "")</f>
        <v/>
      </c>
      <c r="Q90" s="20" t="str">
        <f>IFERROR(INDEX(Table11[FY 2018 Total], MATCH(MemberOrgFinalSort[[#This Row],[CFDA]], Table11[Unique CFDA], 0)), "")</f>
        <v/>
      </c>
      <c r="R90" s="21" t="str">
        <f>IFERROR(INDEX(Table11[President % Change], MATCH(MemberOrgFinalSort[[#This Row],[CFDA]], Table11[Unique CFDA], 0)), "")</f>
        <v/>
      </c>
      <c r="S90" s="20" t="str">
        <f>IFERROR(INDEX(Table11[President $ Change], MATCH(MemberOrgFinalSort[[#This Row],[CFDA]], Table11[Unique CFDA], 0)), "")</f>
        <v/>
      </c>
      <c r="T90" s="32" t="str">
        <f>IFERROR(INDEX(Table11[House % Change], MATCH(MemberOrgFinalSort[[#This Row],[CFDA]], Table11[Unique CFDA], 0)), "")</f>
        <v/>
      </c>
      <c r="U90" s="32" t="str">
        <f>IFERROR(INDEX(Table11[House $ Change], MATCH(MemberOrgFinalSort[[#This Row],[CFDA]], Table11[Unique CFDA], 0)), "")</f>
        <v/>
      </c>
      <c r="V90" s="20"/>
      <c r="X90" s="6"/>
      <c r="Y90" s="6"/>
      <c r="Z90" s="6"/>
      <c r="AA90" s="6"/>
      <c r="AB90" s="6"/>
    </row>
    <row r="91" spans="1:28" x14ac:dyDescent="0.25">
      <c r="A91" t="str">
        <f>IF(MemberOrgControl!$C94 = "", "", INDEX(MemberOrgsData[CFDA], MemberOrgControl!$C94))</f>
        <v/>
      </c>
      <c r="C91" s="6" t="str">
        <f>IFERROR(INDEX(AllFilteredCFDAs[All CFDAs], MATCH(0, INDEX(COUNTIF($C$3:C90, AllFilteredCFDAs[All CFDAs]),),0)), "")</f>
        <v/>
      </c>
      <c r="D91" s="6" t="str">
        <f t="array" ref="D91">IFERROR(INDEX(MemberOrgsData[FEDERALPROGRAMNAME], MATCH(1, (SelectMemberOrgs = MemberOrgsData[Auditee Name])*(Table11[[#This Row],[Unique CFDA]] = MemberOrgsData[CFDA]), 0)), "")</f>
        <v/>
      </c>
      <c r="E91" s="25" t="str">
        <f t="array" ref="E91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91" s="26" t="str">
        <f t="array" ref="F91">IFERROR(INDEX(BudgetAppropData[President % Change], MATCH(1, (Table11[[#This Row],[Unique CFDA]] = BudgetAppropData[CFDA])*(SelectBudgetYear = BudgetAppropData[Fiscal Year]), 0)), "")</f>
        <v/>
      </c>
      <c r="G91" s="25" t="str">
        <f>IF(Table11[[#This Row],[Unique CFDA]] = "", "", IFERROR(Table11[[#This Row],[FY 2018 Total]]*Table11[[#This Row],[President % Change]], ""))</f>
        <v/>
      </c>
      <c r="H91" s="26" t="str">
        <f t="array" ref="H91">IFERROR(INDEX(BudgetAppropData[House % Change], MATCH(1, (Table11[[#This Row],[Unique CFDA]] = BudgetAppropData[CFDA])*(SelectBudgetYear = BudgetAppropData[Fiscal Year]),0)), "")</f>
        <v/>
      </c>
      <c r="I91" s="25" t="str">
        <f>IF(Table11[[#This Row],[Unique CFDA]] = "", "", IFERROR(Table11[[#This Row],[FY 2018 Total]]*Table11[[#This Row],[House % Change]], ""))</f>
        <v/>
      </c>
      <c r="J91" s="6"/>
      <c r="K91" s="25" t="str">
        <f>IF(Table11[[#This Row],[Unique CFDA]] = "", "", IFERROR(Table11[[#This Row],[FY 2018 Total]]*Table11[[#This Row],[Senate Budget]], ""))</f>
        <v/>
      </c>
      <c r="L91" s="6" t="str">
        <f>IF(Table11[[#This Row],[Unique CFDA]] = "", "", IF(ISNUMBER(Table11[[#This Row],[President $ Change]]), RANK(Table11[[#This Row],[President $ Change]], Table11[President $ Change])+COUNTIF($G91:G91, G91)-1,0))</f>
        <v/>
      </c>
      <c r="N91">
        <v>88</v>
      </c>
      <c r="O91" t="str">
        <f>IFERROR(INDEX(Table11[Unique CFDA], MATCH(N91, Table11[Pres. Sort], 0)), "")</f>
        <v/>
      </c>
      <c r="P91" s="1" t="str">
        <f>IFERROR(INDEX(Table11[Grant Name], MATCH(MemberOrgFinalSort[[#This Row],[CFDA]], Table11[Unique CFDA], 0)), "")</f>
        <v/>
      </c>
      <c r="Q91" s="20" t="str">
        <f>IFERROR(INDEX(Table11[FY 2018 Total], MATCH(MemberOrgFinalSort[[#This Row],[CFDA]], Table11[Unique CFDA], 0)), "")</f>
        <v/>
      </c>
      <c r="R91" s="21" t="str">
        <f>IFERROR(INDEX(Table11[President % Change], MATCH(MemberOrgFinalSort[[#This Row],[CFDA]], Table11[Unique CFDA], 0)), "")</f>
        <v/>
      </c>
      <c r="S91" s="20" t="str">
        <f>IFERROR(INDEX(Table11[President $ Change], MATCH(MemberOrgFinalSort[[#This Row],[CFDA]], Table11[Unique CFDA], 0)), "")</f>
        <v/>
      </c>
      <c r="T91" s="32" t="str">
        <f>IFERROR(INDEX(Table11[House % Change], MATCH(MemberOrgFinalSort[[#This Row],[CFDA]], Table11[Unique CFDA], 0)), "")</f>
        <v/>
      </c>
      <c r="U91" s="32" t="str">
        <f>IFERROR(INDEX(Table11[House $ Change], MATCH(MemberOrgFinalSort[[#This Row],[CFDA]], Table11[Unique CFDA], 0)), "")</f>
        <v/>
      </c>
      <c r="V91" s="20"/>
      <c r="X91" s="6"/>
      <c r="Y91" s="6"/>
      <c r="Z91" s="6"/>
      <c r="AA91" s="6"/>
      <c r="AB91" s="6"/>
    </row>
    <row r="92" spans="1:28" x14ac:dyDescent="0.25">
      <c r="A92" t="str">
        <f>IF(MemberOrgControl!$C95 = "", "", INDEX(MemberOrgsData[CFDA], MemberOrgControl!$C95))</f>
        <v/>
      </c>
      <c r="C92" s="6" t="str">
        <f>IFERROR(INDEX(AllFilteredCFDAs[All CFDAs], MATCH(0, INDEX(COUNTIF($C$3:C91, AllFilteredCFDAs[All CFDAs]),),0)), "")</f>
        <v/>
      </c>
      <c r="D92" s="6" t="str">
        <f t="array" ref="D92">IFERROR(INDEX(MemberOrgsData[FEDERALPROGRAMNAME], MATCH(1, (SelectMemberOrgs = MemberOrgsData[Auditee Name])*(Table11[[#This Row],[Unique CFDA]] = MemberOrgsData[CFDA]), 0)), "")</f>
        <v/>
      </c>
      <c r="E92" s="25" t="str">
        <f t="array" ref="E92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92" s="26" t="str">
        <f t="array" ref="F92">IFERROR(INDEX(BudgetAppropData[President % Change], MATCH(1, (Table11[[#This Row],[Unique CFDA]] = BudgetAppropData[CFDA])*(SelectBudgetYear = BudgetAppropData[Fiscal Year]), 0)), "")</f>
        <v/>
      </c>
      <c r="G92" s="25" t="str">
        <f>IF(Table11[[#This Row],[Unique CFDA]] = "", "", IFERROR(Table11[[#This Row],[FY 2018 Total]]*Table11[[#This Row],[President % Change]], ""))</f>
        <v/>
      </c>
      <c r="H92" s="26" t="str">
        <f t="array" ref="H92">IFERROR(INDEX(BudgetAppropData[House % Change], MATCH(1, (Table11[[#This Row],[Unique CFDA]] = BudgetAppropData[CFDA])*(SelectBudgetYear = BudgetAppropData[Fiscal Year]),0)), "")</f>
        <v/>
      </c>
      <c r="I92" s="25" t="str">
        <f>IF(Table11[[#This Row],[Unique CFDA]] = "", "", IFERROR(Table11[[#This Row],[FY 2018 Total]]*Table11[[#This Row],[House % Change]], ""))</f>
        <v/>
      </c>
      <c r="J92" s="6"/>
      <c r="K92" s="25" t="str">
        <f>IF(Table11[[#This Row],[Unique CFDA]] = "", "", IFERROR(Table11[[#This Row],[FY 2018 Total]]*Table11[[#This Row],[Senate Budget]], ""))</f>
        <v/>
      </c>
      <c r="L92" s="6" t="str">
        <f>IF(Table11[[#This Row],[Unique CFDA]] = "", "", IF(ISNUMBER(Table11[[#This Row],[President $ Change]]), RANK(Table11[[#This Row],[President $ Change]], Table11[President $ Change])+COUNTIF($G92:G92, G92)-1,0))</f>
        <v/>
      </c>
      <c r="N92">
        <v>89</v>
      </c>
      <c r="O92" t="str">
        <f>IFERROR(INDEX(Table11[Unique CFDA], MATCH(N92, Table11[Pres. Sort], 0)), "")</f>
        <v/>
      </c>
      <c r="P92" s="1" t="str">
        <f>IFERROR(INDEX(Table11[Grant Name], MATCH(MemberOrgFinalSort[[#This Row],[CFDA]], Table11[Unique CFDA], 0)), "")</f>
        <v/>
      </c>
      <c r="Q92" s="20" t="str">
        <f>IFERROR(INDEX(Table11[FY 2018 Total], MATCH(MemberOrgFinalSort[[#This Row],[CFDA]], Table11[Unique CFDA], 0)), "")</f>
        <v/>
      </c>
      <c r="R92" s="21" t="str">
        <f>IFERROR(INDEX(Table11[President % Change], MATCH(MemberOrgFinalSort[[#This Row],[CFDA]], Table11[Unique CFDA], 0)), "")</f>
        <v/>
      </c>
      <c r="S92" s="20" t="str">
        <f>IFERROR(INDEX(Table11[President $ Change], MATCH(MemberOrgFinalSort[[#This Row],[CFDA]], Table11[Unique CFDA], 0)), "")</f>
        <v/>
      </c>
      <c r="T92" s="32" t="str">
        <f>IFERROR(INDEX(Table11[House % Change], MATCH(MemberOrgFinalSort[[#This Row],[CFDA]], Table11[Unique CFDA], 0)), "")</f>
        <v/>
      </c>
      <c r="U92" s="32" t="str">
        <f>IFERROR(INDEX(Table11[House $ Change], MATCH(MemberOrgFinalSort[[#This Row],[CFDA]], Table11[Unique CFDA], 0)), "")</f>
        <v/>
      </c>
      <c r="V92" s="20"/>
      <c r="X92" s="6"/>
      <c r="Y92" s="6"/>
      <c r="Z92" s="6"/>
      <c r="AA92" s="6"/>
      <c r="AB92" s="6"/>
    </row>
    <row r="93" spans="1:28" x14ac:dyDescent="0.25">
      <c r="A93" t="str">
        <f>IF(MemberOrgControl!$C96 = "", "", INDEX(MemberOrgsData[CFDA], MemberOrgControl!$C96))</f>
        <v/>
      </c>
      <c r="C93" s="6" t="str">
        <f>IFERROR(INDEX(AllFilteredCFDAs[All CFDAs], MATCH(0, INDEX(COUNTIF($C$3:C92, AllFilteredCFDAs[All CFDAs]),),0)), "")</f>
        <v/>
      </c>
      <c r="D93" s="6" t="str">
        <f t="array" ref="D93">IFERROR(INDEX(MemberOrgsData[FEDERALPROGRAMNAME], MATCH(1, (SelectMemberOrgs = MemberOrgsData[Auditee Name])*(Table11[[#This Row],[Unique CFDA]] = MemberOrgsData[CFDA]), 0)), "")</f>
        <v/>
      </c>
      <c r="E93" s="25" t="str">
        <f t="array" ref="E93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93" s="26" t="str">
        <f t="array" ref="F93">IFERROR(INDEX(BudgetAppropData[President % Change], MATCH(1, (Table11[[#This Row],[Unique CFDA]] = BudgetAppropData[CFDA])*(SelectBudgetYear = BudgetAppropData[Fiscal Year]), 0)), "")</f>
        <v/>
      </c>
      <c r="G93" s="25" t="str">
        <f>IF(Table11[[#This Row],[Unique CFDA]] = "", "", IFERROR(Table11[[#This Row],[FY 2018 Total]]*Table11[[#This Row],[President % Change]], ""))</f>
        <v/>
      </c>
      <c r="H93" s="26" t="str">
        <f t="array" ref="H93">IFERROR(INDEX(BudgetAppropData[House % Change], MATCH(1, (Table11[[#This Row],[Unique CFDA]] = BudgetAppropData[CFDA])*(SelectBudgetYear = BudgetAppropData[Fiscal Year]),0)), "")</f>
        <v/>
      </c>
      <c r="I93" s="25" t="str">
        <f>IF(Table11[[#This Row],[Unique CFDA]] = "", "", IFERROR(Table11[[#This Row],[FY 2018 Total]]*Table11[[#This Row],[House % Change]], ""))</f>
        <v/>
      </c>
      <c r="J93" s="6"/>
      <c r="K93" s="25" t="str">
        <f>IF(Table11[[#This Row],[Unique CFDA]] = "", "", IFERROR(Table11[[#This Row],[FY 2018 Total]]*Table11[[#This Row],[Senate Budget]], ""))</f>
        <v/>
      </c>
      <c r="L93" s="6" t="str">
        <f>IF(Table11[[#This Row],[Unique CFDA]] = "", "", IF(ISNUMBER(Table11[[#This Row],[President $ Change]]), RANK(Table11[[#This Row],[President $ Change]], Table11[President $ Change])+COUNTIF($G93:G93, G93)-1,0))</f>
        <v/>
      </c>
      <c r="N93">
        <v>90</v>
      </c>
      <c r="O93" t="str">
        <f>IFERROR(INDEX(Table11[Unique CFDA], MATCH(N93, Table11[Pres. Sort], 0)), "")</f>
        <v/>
      </c>
      <c r="P93" s="1" t="str">
        <f>IFERROR(INDEX(Table11[Grant Name], MATCH(MemberOrgFinalSort[[#This Row],[CFDA]], Table11[Unique CFDA], 0)), "")</f>
        <v/>
      </c>
      <c r="Q93" s="20" t="str">
        <f>IFERROR(INDEX(Table11[FY 2018 Total], MATCH(MemberOrgFinalSort[[#This Row],[CFDA]], Table11[Unique CFDA], 0)), "")</f>
        <v/>
      </c>
      <c r="R93" s="21" t="str">
        <f>IFERROR(INDEX(Table11[President % Change], MATCH(MemberOrgFinalSort[[#This Row],[CFDA]], Table11[Unique CFDA], 0)), "")</f>
        <v/>
      </c>
      <c r="S93" s="20" t="str">
        <f>IFERROR(INDEX(Table11[President $ Change], MATCH(MemberOrgFinalSort[[#This Row],[CFDA]], Table11[Unique CFDA], 0)), "")</f>
        <v/>
      </c>
      <c r="T93" s="32" t="str">
        <f>IFERROR(INDEX(Table11[House % Change], MATCH(MemberOrgFinalSort[[#This Row],[CFDA]], Table11[Unique CFDA], 0)), "")</f>
        <v/>
      </c>
      <c r="U93" s="32" t="str">
        <f>IFERROR(INDEX(Table11[House $ Change], MATCH(MemberOrgFinalSort[[#This Row],[CFDA]], Table11[Unique CFDA], 0)), "")</f>
        <v/>
      </c>
      <c r="V93" s="20"/>
      <c r="X93" s="6"/>
      <c r="Y93" s="6"/>
      <c r="Z93" s="6"/>
      <c r="AA93" s="6"/>
      <c r="AB93" s="6"/>
    </row>
    <row r="94" spans="1:28" x14ac:dyDescent="0.25">
      <c r="A94" t="str">
        <f>IF(MemberOrgControl!$C97 = "", "", INDEX(MemberOrgsData[CFDA], MemberOrgControl!$C97))</f>
        <v/>
      </c>
      <c r="C94" s="6" t="str">
        <f>IFERROR(INDEX(AllFilteredCFDAs[All CFDAs], MATCH(0, INDEX(COUNTIF($C$3:C93, AllFilteredCFDAs[All CFDAs]),),0)), "")</f>
        <v/>
      </c>
      <c r="D94" s="6" t="str">
        <f t="array" ref="D94">IFERROR(INDEX(MemberOrgsData[FEDERALPROGRAMNAME], MATCH(1, (SelectMemberOrgs = MemberOrgsData[Auditee Name])*(Table11[[#This Row],[Unique CFDA]] = MemberOrgsData[CFDA]), 0)), "")</f>
        <v/>
      </c>
      <c r="E94" s="25" t="str">
        <f t="array" ref="E94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94" s="26" t="str">
        <f t="array" ref="F94">IFERROR(INDEX(BudgetAppropData[President % Change], MATCH(1, (Table11[[#This Row],[Unique CFDA]] = BudgetAppropData[CFDA])*(SelectBudgetYear = BudgetAppropData[Fiscal Year]), 0)), "")</f>
        <v/>
      </c>
      <c r="G94" s="25" t="str">
        <f>IF(Table11[[#This Row],[Unique CFDA]] = "", "", IFERROR(Table11[[#This Row],[FY 2018 Total]]*Table11[[#This Row],[President % Change]], ""))</f>
        <v/>
      </c>
      <c r="H94" s="26" t="str">
        <f t="array" ref="H94">IFERROR(INDEX(BudgetAppropData[House % Change], MATCH(1, (Table11[[#This Row],[Unique CFDA]] = BudgetAppropData[CFDA])*(SelectBudgetYear = BudgetAppropData[Fiscal Year]),0)), "")</f>
        <v/>
      </c>
      <c r="I94" s="25" t="str">
        <f>IF(Table11[[#This Row],[Unique CFDA]] = "", "", IFERROR(Table11[[#This Row],[FY 2018 Total]]*Table11[[#This Row],[House % Change]], ""))</f>
        <v/>
      </c>
      <c r="J94" s="6"/>
      <c r="K94" s="25" t="str">
        <f>IF(Table11[[#This Row],[Unique CFDA]] = "", "", IFERROR(Table11[[#This Row],[FY 2018 Total]]*Table11[[#This Row],[Senate Budget]], ""))</f>
        <v/>
      </c>
      <c r="L94" s="6" t="str">
        <f>IF(Table11[[#This Row],[Unique CFDA]] = "", "", IF(ISNUMBER(Table11[[#This Row],[President $ Change]]), RANK(Table11[[#This Row],[President $ Change]], Table11[President $ Change])+COUNTIF($G94:G94, G94)-1,0))</f>
        <v/>
      </c>
      <c r="N94">
        <v>91</v>
      </c>
      <c r="O94" t="str">
        <f>IFERROR(INDEX(Table11[Unique CFDA], MATCH(N94, Table11[Pres. Sort], 0)), "")</f>
        <v/>
      </c>
      <c r="P94" s="1" t="str">
        <f>IFERROR(INDEX(Table11[Grant Name], MATCH(MemberOrgFinalSort[[#This Row],[CFDA]], Table11[Unique CFDA], 0)), "")</f>
        <v/>
      </c>
      <c r="Q94" s="20" t="str">
        <f>IFERROR(INDEX(Table11[FY 2018 Total], MATCH(MemberOrgFinalSort[[#This Row],[CFDA]], Table11[Unique CFDA], 0)), "")</f>
        <v/>
      </c>
      <c r="R94" s="21" t="str">
        <f>IFERROR(INDEX(Table11[President % Change], MATCH(MemberOrgFinalSort[[#This Row],[CFDA]], Table11[Unique CFDA], 0)), "")</f>
        <v/>
      </c>
      <c r="S94" s="20" t="str">
        <f>IFERROR(INDEX(Table11[President $ Change], MATCH(MemberOrgFinalSort[[#This Row],[CFDA]], Table11[Unique CFDA], 0)), "")</f>
        <v/>
      </c>
      <c r="T94" s="32" t="str">
        <f>IFERROR(INDEX(Table11[House % Change], MATCH(MemberOrgFinalSort[[#This Row],[CFDA]], Table11[Unique CFDA], 0)), "")</f>
        <v/>
      </c>
      <c r="U94" s="32" t="str">
        <f>IFERROR(INDEX(Table11[House $ Change], MATCH(MemberOrgFinalSort[[#This Row],[CFDA]], Table11[Unique CFDA], 0)), "")</f>
        <v/>
      </c>
      <c r="V94" s="20"/>
      <c r="X94" s="6"/>
      <c r="Y94" s="6"/>
      <c r="Z94" s="6"/>
      <c r="AA94" s="6"/>
      <c r="AB94" s="6"/>
    </row>
    <row r="95" spans="1:28" x14ac:dyDescent="0.25">
      <c r="A95" t="str">
        <f>IF(MemberOrgControl!$C98 = "", "", INDEX(MemberOrgsData[CFDA], MemberOrgControl!$C98))</f>
        <v/>
      </c>
      <c r="C95" s="6" t="str">
        <f>IFERROR(INDEX(AllFilteredCFDAs[All CFDAs], MATCH(0, INDEX(COUNTIF($C$3:C94, AllFilteredCFDAs[All CFDAs]),),0)), "")</f>
        <v/>
      </c>
      <c r="D95" s="6" t="str">
        <f t="array" ref="D95">IFERROR(INDEX(MemberOrgsData[FEDERALPROGRAMNAME], MATCH(1, (SelectMemberOrgs = MemberOrgsData[Auditee Name])*(Table11[[#This Row],[Unique CFDA]] = MemberOrgsData[CFDA]), 0)), "")</f>
        <v/>
      </c>
      <c r="E95" s="25" t="str">
        <f t="array" ref="E95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95" s="26" t="str">
        <f t="array" ref="F95">IFERROR(INDEX(BudgetAppropData[President % Change], MATCH(1, (Table11[[#This Row],[Unique CFDA]] = BudgetAppropData[CFDA])*(SelectBudgetYear = BudgetAppropData[Fiscal Year]), 0)), "")</f>
        <v/>
      </c>
      <c r="G95" s="25" t="str">
        <f>IF(Table11[[#This Row],[Unique CFDA]] = "", "", IFERROR(Table11[[#This Row],[FY 2018 Total]]*Table11[[#This Row],[President % Change]], ""))</f>
        <v/>
      </c>
      <c r="H95" s="26" t="str">
        <f t="array" ref="H95">IFERROR(INDEX(BudgetAppropData[House % Change], MATCH(1, (Table11[[#This Row],[Unique CFDA]] = BudgetAppropData[CFDA])*(SelectBudgetYear = BudgetAppropData[Fiscal Year]),0)), "")</f>
        <v/>
      </c>
      <c r="I95" s="25" t="str">
        <f>IF(Table11[[#This Row],[Unique CFDA]] = "", "", IFERROR(Table11[[#This Row],[FY 2018 Total]]*Table11[[#This Row],[House % Change]], ""))</f>
        <v/>
      </c>
      <c r="J95" s="6"/>
      <c r="K95" s="25" t="str">
        <f>IF(Table11[[#This Row],[Unique CFDA]] = "", "", IFERROR(Table11[[#This Row],[FY 2018 Total]]*Table11[[#This Row],[Senate Budget]], ""))</f>
        <v/>
      </c>
      <c r="L95" s="6" t="str">
        <f>IF(Table11[[#This Row],[Unique CFDA]] = "", "", IF(ISNUMBER(Table11[[#This Row],[President $ Change]]), RANK(Table11[[#This Row],[President $ Change]], Table11[President $ Change])+COUNTIF($G95:G95, G95)-1,0))</f>
        <v/>
      </c>
      <c r="N95">
        <v>92</v>
      </c>
      <c r="O95" t="str">
        <f>IFERROR(INDEX(Table11[Unique CFDA], MATCH(N95, Table11[Pres. Sort], 0)), "")</f>
        <v/>
      </c>
      <c r="P95" s="1" t="str">
        <f>IFERROR(INDEX(Table11[Grant Name], MATCH(MemberOrgFinalSort[[#This Row],[CFDA]], Table11[Unique CFDA], 0)), "")</f>
        <v/>
      </c>
      <c r="Q95" s="20" t="str">
        <f>IFERROR(INDEX(Table11[FY 2018 Total], MATCH(MemberOrgFinalSort[[#This Row],[CFDA]], Table11[Unique CFDA], 0)), "")</f>
        <v/>
      </c>
      <c r="R95" s="21" t="str">
        <f>IFERROR(INDEX(Table11[President % Change], MATCH(MemberOrgFinalSort[[#This Row],[CFDA]], Table11[Unique CFDA], 0)), "")</f>
        <v/>
      </c>
      <c r="S95" s="20" t="str">
        <f>IFERROR(INDEX(Table11[President $ Change], MATCH(MemberOrgFinalSort[[#This Row],[CFDA]], Table11[Unique CFDA], 0)), "")</f>
        <v/>
      </c>
      <c r="T95" s="32" t="str">
        <f>IFERROR(INDEX(Table11[House % Change], MATCH(MemberOrgFinalSort[[#This Row],[CFDA]], Table11[Unique CFDA], 0)), "")</f>
        <v/>
      </c>
      <c r="U95" s="32" t="str">
        <f>IFERROR(INDEX(Table11[House $ Change], MATCH(MemberOrgFinalSort[[#This Row],[CFDA]], Table11[Unique CFDA], 0)), "")</f>
        <v/>
      </c>
      <c r="V95" s="20"/>
      <c r="X95" s="6"/>
      <c r="Y95" s="6"/>
      <c r="Z95" s="6"/>
      <c r="AA95" s="6"/>
      <c r="AB95" s="6"/>
    </row>
    <row r="96" spans="1:28" x14ac:dyDescent="0.25">
      <c r="A96" t="str">
        <f>IF(MemberOrgControl!$C99 = "", "", INDEX(MemberOrgsData[CFDA], MemberOrgControl!$C99))</f>
        <v/>
      </c>
      <c r="C96" s="6" t="str">
        <f>IFERROR(INDEX(AllFilteredCFDAs[All CFDAs], MATCH(0, INDEX(COUNTIF($C$3:C95, AllFilteredCFDAs[All CFDAs]),),0)), "")</f>
        <v/>
      </c>
      <c r="D96" s="6" t="str">
        <f t="array" ref="D96">IFERROR(INDEX(MemberOrgsData[FEDERALPROGRAMNAME], MATCH(1, (SelectMemberOrgs = MemberOrgsData[Auditee Name])*(Table11[[#This Row],[Unique CFDA]] = MemberOrgsData[CFDA]), 0)), "")</f>
        <v/>
      </c>
      <c r="E96" s="25" t="str">
        <f t="array" ref="E96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96" s="26" t="str">
        <f t="array" ref="F96">IFERROR(INDEX(BudgetAppropData[President % Change], MATCH(1, (Table11[[#This Row],[Unique CFDA]] = BudgetAppropData[CFDA])*(SelectBudgetYear = BudgetAppropData[Fiscal Year]), 0)), "")</f>
        <v/>
      </c>
      <c r="G96" s="25" t="str">
        <f>IF(Table11[[#This Row],[Unique CFDA]] = "", "", IFERROR(Table11[[#This Row],[FY 2018 Total]]*Table11[[#This Row],[President % Change]], ""))</f>
        <v/>
      </c>
      <c r="H96" s="26" t="str">
        <f t="array" ref="H96">IFERROR(INDEX(BudgetAppropData[House % Change], MATCH(1, (Table11[[#This Row],[Unique CFDA]] = BudgetAppropData[CFDA])*(SelectBudgetYear = BudgetAppropData[Fiscal Year]),0)), "")</f>
        <v/>
      </c>
      <c r="I96" s="25" t="str">
        <f>IF(Table11[[#This Row],[Unique CFDA]] = "", "", IFERROR(Table11[[#This Row],[FY 2018 Total]]*Table11[[#This Row],[House % Change]], ""))</f>
        <v/>
      </c>
      <c r="J96" s="6"/>
      <c r="K96" s="25" t="str">
        <f>IF(Table11[[#This Row],[Unique CFDA]] = "", "", IFERROR(Table11[[#This Row],[FY 2018 Total]]*Table11[[#This Row],[Senate Budget]], ""))</f>
        <v/>
      </c>
      <c r="L96" s="6" t="str">
        <f>IF(Table11[[#This Row],[Unique CFDA]] = "", "", IF(ISNUMBER(Table11[[#This Row],[President $ Change]]), RANK(Table11[[#This Row],[President $ Change]], Table11[President $ Change])+COUNTIF($G96:G96, G96)-1,0))</f>
        <v/>
      </c>
      <c r="N96">
        <v>93</v>
      </c>
      <c r="O96" t="str">
        <f>IFERROR(INDEX(Table11[Unique CFDA], MATCH(N96, Table11[Pres. Sort], 0)), "")</f>
        <v/>
      </c>
      <c r="P96" s="1" t="str">
        <f>IFERROR(INDEX(Table11[Grant Name], MATCH(MemberOrgFinalSort[[#This Row],[CFDA]], Table11[Unique CFDA], 0)), "")</f>
        <v/>
      </c>
      <c r="Q96" s="20" t="str">
        <f>IFERROR(INDEX(Table11[FY 2018 Total], MATCH(MemberOrgFinalSort[[#This Row],[CFDA]], Table11[Unique CFDA], 0)), "")</f>
        <v/>
      </c>
      <c r="R96" s="21" t="str">
        <f>IFERROR(INDEX(Table11[President % Change], MATCH(MemberOrgFinalSort[[#This Row],[CFDA]], Table11[Unique CFDA], 0)), "")</f>
        <v/>
      </c>
      <c r="S96" s="20" t="str">
        <f>IFERROR(INDEX(Table11[President $ Change], MATCH(MemberOrgFinalSort[[#This Row],[CFDA]], Table11[Unique CFDA], 0)), "")</f>
        <v/>
      </c>
      <c r="T96" s="32" t="str">
        <f>IFERROR(INDEX(Table11[House % Change], MATCH(MemberOrgFinalSort[[#This Row],[CFDA]], Table11[Unique CFDA], 0)), "")</f>
        <v/>
      </c>
      <c r="U96" s="32" t="str">
        <f>IFERROR(INDEX(Table11[House $ Change], MATCH(MemberOrgFinalSort[[#This Row],[CFDA]], Table11[Unique CFDA], 0)), "")</f>
        <v/>
      </c>
      <c r="V96" s="20"/>
      <c r="X96" s="6"/>
      <c r="Y96" s="6"/>
      <c r="Z96" s="6"/>
      <c r="AA96" s="6"/>
      <c r="AB96" s="6"/>
    </row>
    <row r="97" spans="1:28" x14ac:dyDescent="0.25">
      <c r="A97" t="str">
        <f>IF(MemberOrgControl!$C100 = "", "", INDEX(MemberOrgsData[CFDA], MemberOrgControl!$C100))</f>
        <v/>
      </c>
      <c r="C97" s="6" t="str">
        <f>IFERROR(INDEX(AllFilteredCFDAs[All CFDAs], MATCH(0, INDEX(COUNTIF($C$3:C96, AllFilteredCFDAs[All CFDAs]),),0)), "")</f>
        <v/>
      </c>
      <c r="D97" s="6" t="str">
        <f t="array" ref="D97">IFERROR(INDEX(MemberOrgsData[FEDERALPROGRAMNAME], MATCH(1, (SelectMemberOrgs = MemberOrgsData[Auditee Name])*(Table11[[#This Row],[Unique CFDA]] = MemberOrgsData[CFDA]), 0)), "")</f>
        <v/>
      </c>
      <c r="E97" s="25" t="str">
        <f t="array" ref="E97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97" s="26" t="str">
        <f t="array" ref="F97">IFERROR(INDEX(BudgetAppropData[President % Change], MATCH(1, (Table11[[#This Row],[Unique CFDA]] = BudgetAppropData[CFDA])*(SelectBudgetYear = BudgetAppropData[Fiscal Year]), 0)), "")</f>
        <v/>
      </c>
      <c r="G97" s="25" t="str">
        <f>IF(Table11[[#This Row],[Unique CFDA]] = "", "", IFERROR(Table11[[#This Row],[FY 2018 Total]]*Table11[[#This Row],[President % Change]], ""))</f>
        <v/>
      </c>
      <c r="H97" s="26" t="str">
        <f t="array" ref="H97">IFERROR(INDEX(BudgetAppropData[House % Change], MATCH(1, (Table11[[#This Row],[Unique CFDA]] = BudgetAppropData[CFDA])*(SelectBudgetYear = BudgetAppropData[Fiscal Year]),0)), "")</f>
        <v/>
      </c>
      <c r="I97" s="25" t="str">
        <f>IF(Table11[[#This Row],[Unique CFDA]] = "", "", IFERROR(Table11[[#This Row],[FY 2018 Total]]*Table11[[#This Row],[House % Change]], ""))</f>
        <v/>
      </c>
      <c r="J97" s="6"/>
      <c r="K97" s="25" t="str">
        <f>IF(Table11[[#This Row],[Unique CFDA]] = "", "", IFERROR(Table11[[#This Row],[FY 2018 Total]]*Table11[[#This Row],[Senate Budget]], ""))</f>
        <v/>
      </c>
      <c r="L97" s="6" t="str">
        <f>IF(Table11[[#This Row],[Unique CFDA]] = "", "", IF(ISNUMBER(Table11[[#This Row],[President $ Change]]), RANK(Table11[[#This Row],[President $ Change]], Table11[President $ Change])+COUNTIF($G97:G97, G97)-1,0))</f>
        <v/>
      </c>
      <c r="N97">
        <v>94</v>
      </c>
      <c r="O97" t="str">
        <f>IFERROR(INDEX(Table11[Unique CFDA], MATCH(N97, Table11[Pres. Sort], 0)), "")</f>
        <v/>
      </c>
      <c r="P97" s="1" t="str">
        <f>IFERROR(INDEX(Table11[Grant Name], MATCH(MemberOrgFinalSort[[#This Row],[CFDA]], Table11[Unique CFDA], 0)), "")</f>
        <v/>
      </c>
      <c r="Q97" s="20" t="str">
        <f>IFERROR(INDEX(Table11[FY 2018 Total], MATCH(MemberOrgFinalSort[[#This Row],[CFDA]], Table11[Unique CFDA], 0)), "")</f>
        <v/>
      </c>
      <c r="R97" s="21" t="str">
        <f>IFERROR(INDEX(Table11[President % Change], MATCH(MemberOrgFinalSort[[#This Row],[CFDA]], Table11[Unique CFDA], 0)), "")</f>
        <v/>
      </c>
      <c r="S97" s="20" t="str">
        <f>IFERROR(INDEX(Table11[President $ Change], MATCH(MemberOrgFinalSort[[#This Row],[CFDA]], Table11[Unique CFDA], 0)), "")</f>
        <v/>
      </c>
      <c r="T97" s="32" t="str">
        <f>IFERROR(INDEX(Table11[House % Change], MATCH(MemberOrgFinalSort[[#This Row],[CFDA]], Table11[Unique CFDA], 0)), "")</f>
        <v/>
      </c>
      <c r="U97" s="32" t="str">
        <f>IFERROR(INDEX(Table11[House $ Change], MATCH(MemberOrgFinalSort[[#This Row],[CFDA]], Table11[Unique CFDA], 0)), "")</f>
        <v/>
      </c>
      <c r="V97" s="20"/>
      <c r="X97" s="6"/>
      <c r="Y97" s="6"/>
      <c r="Z97" s="6"/>
      <c r="AA97" s="6"/>
      <c r="AB97" s="6"/>
    </row>
    <row r="98" spans="1:28" x14ac:dyDescent="0.25">
      <c r="A98" t="str">
        <f>IF(MemberOrgControl!$C101 = "", "", INDEX(MemberOrgsData[CFDA], MemberOrgControl!$C101))</f>
        <v/>
      </c>
      <c r="C98" s="6" t="str">
        <f>IFERROR(INDEX(AllFilteredCFDAs[All CFDAs], MATCH(0, INDEX(COUNTIF($C$3:C97, AllFilteredCFDAs[All CFDAs]),),0)), "")</f>
        <v/>
      </c>
      <c r="D98" s="6" t="str">
        <f t="array" ref="D98">IFERROR(INDEX(MemberOrgsData[FEDERALPROGRAMNAME], MATCH(1, (SelectMemberOrgs = MemberOrgsData[Auditee Name])*(Table11[[#This Row],[Unique CFDA]] = MemberOrgsData[CFDA]), 0)), "")</f>
        <v/>
      </c>
      <c r="E98" s="25" t="str">
        <f t="array" ref="E98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98" s="26" t="str">
        <f t="array" ref="F98">IFERROR(INDEX(BudgetAppropData[President % Change], MATCH(1, (Table11[[#This Row],[Unique CFDA]] = BudgetAppropData[CFDA])*(SelectBudgetYear = BudgetAppropData[Fiscal Year]), 0)), "")</f>
        <v/>
      </c>
      <c r="G98" s="25" t="str">
        <f>IF(Table11[[#This Row],[Unique CFDA]] = "", "", IFERROR(Table11[[#This Row],[FY 2018 Total]]*Table11[[#This Row],[President % Change]], ""))</f>
        <v/>
      </c>
      <c r="H98" s="26" t="str">
        <f t="array" ref="H98">IFERROR(INDEX(BudgetAppropData[House % Change], MATCH(1, (Table11[[#This Row],[Unique CFDA]] = BudgetAppropData[CFDA])*(SelectBudgetYear = BudgetAppropData[Fiscal Year]),0)), "")</f>
        <v/>
      </c>
      <c r="I98" s="25" t="str">
        <f>IF(Table11[[#This Row],[Unique CFDA]] = "", "", IFERROR(Table11[[#This Row],[FY 2018 Total]]*Table11[[#This Row],[House % Change]], ""))</f>
        <v/>
      </c>
      <c r="J98" s="6"/>
      <c r="K98" s="25" t="str">
        <f>IF(Table11[[#This Row],[Unique CFDA]] = "", "", IFERROR(Table11[[#This Row],[FY 2018 Total]]*Table11[[#This Row],[Senate Budget]], ""))</f>
        <v/>
      </c>
      <c r="L98" s="6" t="str">
        <f>IF(Table11[[#This Row],[Unique CFDA]] = "", "", IF(ISNUMBER(Table11[[#This Row],[President $ Change]]), RANK(Table11[[#This Row],[President $ Change]], Table11[President $ Change])+COUNTIF($G98:G98, G98)-1,0))</f>
        <v/>
      </c>
      <c r="N98">
        <v>95</v>
      </c>
      <c r="O98" t="str">
        <f>IFERROR(INDEX(Table11[Unique CFDA], MATCH(N98, Table11[Pres. Sort], 0)), "")</f>
        <v/>
      </c>
      <c r="P98" s="1" t="str">
        <f>IFERROR(INDEX(Table11[Grant Name], MATCH(MemberOrgFinalSort[[#This Row],[CFDA]], Table11[Unique CFDA], 0)), "")</f>
        <v/>
      </c>
      <c r="Q98" s="20" t="str">
        <f>IFERROR(INDEX(Table11[FY 2018 Total], MATCH(MemberOrgFinalSort[[#This Row],[CFDA]], Table11[Unique CFDA], 0)), "")</f>
        <v/>
      </c>
      <c r="R98" s="21" t="str">
        <f>IFERROR(INDEX(Table11[President % Change], MATCH(MemberOrgFinalSort[[#This Row],[CFDA]], Table11[Unique CFDA], 0)), "")</f>
        <v/>
      </c>
      <c r="S98" s="20" t="str">
        <f>IFERROR(INDEX(Table11[President $ Change], MATCH(MemberOrgFinalSort[[#This Row],[CFDA]], Table11[Unique CFDA], 0)), "")</f>
        <v/>
      </c>
      <c r="T98" s="32" t="str">
        <f>IFERROR(INDEX(Table11[House % Change], MATCH(MemberOrgFinalSort[[#This Row],[CFDA]], Table11[Unique CFDA], 0)), "")</f>
        <v/>
      </c>
      <c r="U98" s="32" t="str">
        <f>IFERROR(INDEX(Table11[House $ Change], MATCH(MemberOrgFinalSort[[#This Row],[CFDA]], Table11[Unique CFDA], 0)), "")</f>
        <v/>
      </c>
      <c r="V98" s="20"/>
      <c r="X98" s="6"/>
      <c r="Y98" s="6"/>
      <c r="Z98" s="6"/>
      <c r="AA98" s="6"/>
      <c r="AB98" s="6"/>
    </row>
    <row r="99" spans="1:28" x14ac:dyDescent="0.25">
      <c r="A99" t="str">
        <f>IF(MemberOrgControl!$C102 = "", "", INDEX(MemberOrgsData[CFDA], MemberOrgControl!$C102))</f>
        <v/>
      </c>
      <c r="C99" s="6" t="str">
        <f>IFERROR(INDEX(AllFilteredCFDAs[All CFDAs], MATCH(0, INDEX(COUNTIF($C$3:C98, AllFilteredCFDAs[All CFDAs]),),0)), "")</f>
        <v/>
      </c>
      <c r="D99" s="6" t="str">
        <f t="array" ref="D99">IFERROR(INDEX(MemberOrgsData[FEDERALPROGRAMNAME], MATCH(1, (SelectMemberOrgs = MemberOrgsData[Auditee Name])*(Table11[[#This Row],[Unique CFDA]] = MemberOrgsData[CFDA]), 0)), "")</f>
        <v/>
      </c>
      <c r="E99" s="25" t="str">
        <f t="array" ref="E99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99" s="26" t="str">
        <f t="array" ref="F99">IFERROR(INDEX(BudgetAppropData[President % Change], MATCH(1, (Table11[[#This Row],[Unique CFDA]] = BudgetAppropData[CFDA])*(SelectBudgetYear = BudgetAppropData[Fiscal Year]), 0)), "")</f>
        <v/>
      </c>
      <c r="G99" s="25" t="str">
        <f>IF(Table11[[#This Row],[Unique CFDA]] = "", "", IFERROR(Table11[[#This Row],[FY 2018 Total]]*Table11[[#This Row],[President % Change]], ""))</f>
        <v/>
      </c>
      <c r="H99" s="26" t="str">
        <f t="array" ref="H99">IFERROR(INDEX(BudgetAppropData[House % Change], MATCH(1, (Table11[[#This Row],[Unique CFDA]] = BudgetAppropData[CFDA])*(SelectBudgetYear = BudgetAppropData[Fiscal Year]),0)), "")</f>
        <v/>
      </c>
      <c r="I99" s="25" t="str">
        <f>IF(Table11[[#This Row],[Unique CFDA]] = "", "", IFERROR(Table11[[#This Row],[FY 2018 Total]]*Table11[[#This Row],[House % Change]], ""))</f>
        <v/>
      </c>
      <c r="J99" s="6"/>
      <c r="K99" s="25" t="str">
        <f>IF(Table11[[#This Row],[Unique CFDA]] = "", "", IFERROR(Table11[[#This Row],[FY 2018 Total]]*Table11[[#This Row],[Senate Budget]], ""))</f>
        <v/>
      </c>
      <c r="L99" s="6" t="str">
        <f>IF(Table11[[#This Row],[Unique CFDA]] = "", "", IF(ISNUMBER(Table11[[#This Row],[President $ Change]]), RANK(Table11[[#This Row],[President $ Change]], Table11[President $ Change])+COUNTIF($G99:G99, G99)-1,0))</f>
        <v/>
      </c>
      <c r="N99">
        <v>96</v>
      </c>
      <c r="O99" t="str">
        <f>IFERROR(INDEX(Table11[Unique CFDA], MATCH(N99, Table11[Pres. Sort], 0)), "")</f>
        <v/>
      </c>
      <c r="P99" s="1" t="str">
        <f>IFERROR(INDEX(Table11[Grant Name], MATCH(MemberOrgFinalSort[[#This Row],[CFDA]], Table11[Unique CFDA], 0)), "")</f>
        <v/>
      </c>
      <c r="Q99" s="20" t="str">
        <f>IFERROR(INDEX(Table11[FY 2018 Total], MATCH(MemberOrgFinalSort[[#This Row],[CFDA]], Table11[Unique CFDA], 0)), "")</f>
        <v/>
      </c>
      <c r="R99" s="21" t="str">
        <f>IFERROR(INDEX(Table11[President % Change], MATCH(MemberOrgFinalSort[[#This Row],[CFDA]], Table11[Unique CFDA], 0)), "")</f>
        <v/>
      </c>
      <c r="S99" s="20" t="str">
        <f>IFERROR(INDEX(Table11[President $ Change], MATCH(MemberOrgFinalSort[[#This Row],[CFDA]], Table11[Unique CFDA], 0)), "")</f>
        <v/>
      </c>
      <c r="T99" s="32" t="str">
        <f>IFERROR(INDEX(Table11[House % Change], MATCH(MemberOrgFinalSort[[#This Row],[CFDA]], Table11[Unique CFDA], 0)), "")</f>
        <v/>
      </c>
      <c r="U99" s="32" t="str">
        <f>IFERROR(INDEX(Table11[House $ Change], MATCH(MemberOrgFinalSort[[#This Row],[CFDA]], Table11[Unique CFDA], 0)), "")</f>
        <v/>
      </c>
      <c r="V99" s="20"/>
      <c r="X99" s="6"/>
      <c r="Y99" s="6"/>
      <c r="Z99" s="6"/>
      <c r="AA99" s="6"/>
      <c r="AB99" s="6"/>
    </row>
    <row r="100" spans="1:28" x14ac:dyDescent="0.25">
      <c r="A100" t="str">
        <f>IF(MemberOrgControl!$C103 = "", "", INDEX(MemberOrgsData[CFDA], MemberOrgControl!$C103))</f>
        <v/>
      </c>
      <c r="C100" s="6" t="str">
        <f>IFERROR(INDEX(AllFilteredCFDAs[All CFDAs], MATCH(0, INDEX(COUNTIF($C$3:C99, AllFilteredCFDAs[All CFDAs]),),0)), "")</f>
        <v/>
      </c>
      <c r="D100" s="6" t="str">
        <f t="array" ref="D100">IFERROR(INDEX(MemberOrgsData[FEDERALPROGRAMNAME], MATCH(1, (SelectMemberOrgs = MemberOrgsData[Auditee Name])*(Table11[[#This Row],[Unique CFDA]] = MemberOrgsData[CFDA]), 0)), "")</f>
        <v/>
      </c>
      <c r="E100" s="25" t="str">
        <f t="array" ref="E100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00" s="26" t="str">
        <f t="array" ref="F100">IFERROR(INDEX(BudgetAppropData[President % Change], MATCH(1, (Table11[[#This Row],[Unique CFDA]] = BudgetAppropData[CFDA])*(SelectBudgetYear = BudgetAppropData[Fiscal Year]), 0)), "")</f>
        <v/>
      </c>
      <c r="G100" s="25" t="str">
        <f>IF(Table11[[#This Row],[Unique CFDA]] = "", "", IFERROR(Table11[[#This Row],[FY 2018 Total]]*Table11[[#This Row],[President % Change]], ""))</f>
        <v/>
      </c>
      <c r="H100" s="26" t="str">
        <f t="array" ref="H100">IFERROR(INDEX(BudgetAppropData[House % Change], MATCH(1, (Table11[[#This Row],[Unique CFDA]] = BudgetAppropData[CFDA])*(SelectBudgetYear = BudgetAppropData[Fiscal Year]),0)), "")</f>
        <v/>
      </c>
      <c r="I100" s="25" t="str">
        <f>IF(Table11[[#This Row],[Unique CFDA]] = "", "", IFERROR(Table11[[#This Row],[FY 2018 Total]]*Table11[[#This Row],[House % Change]], ""))</f>
        <v/>
      </c>
      <c r="J100" s="6"/>
      <c r="K100" s="25" t="str">
        <f>IF(Table11[[#This Row],[Unique CFDA]] = "", "", IFERROR(Table11[[#This Row],[FY 2018 Total]]*Table11[[#This Row],[Senate Budget]], ""))</f>
        <v/>
      </c>
      <c r="L100" s="6" t="str">
        <f>IF(Table11[[#This Row],[Unique CFDA]] = "", "", IF(ISNUMBER(Table11[[#This Row],[President $ Change]]), RANK(Table11[[#This Row],[President $ Change]], Table11[President $ Change])+COUNTIF($G100:G100, G100)-1,0))</f>
        <v/>
      </c>
      <c r="N100">
        <v>97</v>
      </c>
      <c r="O100" t="str">
        <f>IFERROR(INDEX(Table11[Unique CFDA], MATCH(N100, Table11[Pres. Sort], 0)), "")</f>
        <v/>
      </c>
      <c r="P100" s="1" t="str">
        <f>IFERROR(INDEX(Table11[Grant Name], MATCH(MemberOrgFinalSort[[#This Row],[CFDA]], Table11[Unique CFDA], 0)), "")</f>
        <v/>
      </c>
      <c r="Q100" s="20" t="str">
        <f>IFERROR(INDEX(Table11[FY 2018 Total], MATCH(MemberOrgFinalSort[[#This Row],[CFDA]], Table11[Unique CFDA], 0)), "")</f>
        <v/>
      </c>
      <c r="R100" s="21" t="str">
        <f>IFERROR(INDEX(Table11[President % Change], MATCH(MemberOrgFinalSort[[#This Row],[CFDA]], Table11[Unique CFDA], 0)), "")</f>
        <v/>
      </c>
      <c r="S100" s="20" t="str">
        <f>IFERROR(INDEX(Table11[President $ Change], MATCH(MemberOrgFinalSort[[#This Row],[CFDA]], Table11[Unique CFDA], 0)), "")</f>
        <v/>
      </c>
      <c r="T100" s="32" t="str">
        <f>IFERROR(INDEX(Table11[House % Change], MATCH(MemberOrgFinalSort[[#This Row],[CFDA]], Table11[Unique CFDA], 0)), "")</f>
        <v/>
      </c>
      <c r="U100" s="32" t="str">
        <f>IFERROR(INDEX(Table11[House $ Change], MATCH(MemberOrgFinalSort[[#This Row],[CFDA]], Table11[Unique CFDA], 0)), "")</f>
        <v/>
      </c>
      <c r="V100" s="20"/>
      <c r="X100" s="6"/>
      <c r="Y100" s="6"/>
      <c r="Z100" s="6"/>
      <c r="AA100" s="6"/>
      <c r="AB100" s="6"/>
    </row>
    <row r="101" spans="1:28" x14ac:dyDescent="0.25">
      <c r="A101" t="str">
        <f>IF(MemberOrgControl!$C104 = "", "", INDEX(MemberOrgsData[CFDA], MemberOrgControl!$C104))</f>
        <v/>
      </c>
      <c r="C101" s="6" t="str">
        <f>IFERROR(INDEX(AllFilteredCFDAs[All CFDAs], MATCH(0, INDEX(COUNTIF($C$3:C100, AllFilteredCFDAs[All CFDAs]),),0)), "")</f>
        <v/>
      </c>
      <c r="D101" s="6" t="str">
        <f t="array" ref="D101">IFERROR(INDEX(MemberOrgsData[FEDERALPROGRAMNAME], MATCH(1, (SelectMemberOrgs = MemberOrgsData[Auditee Name])*(Table11[[#This Row],[Unique CFDA]] = MemberOrgsData[CFDA]), 0)), "")</f>
        <v/>
      </c>
      <c r="E101" s="25" t="str">
        <f t="array" ref="E101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01" s="26" t="str">
        <f t="array" ref="F101">IFERROR(INDEX(BudgetAppropData[President % Change], MATCH(1, (Table11[[#This Row],[Unique CFDA]] = BudgetAppropData[CFDA])*(SelectBudgetYear = BudgetAppropData[Fiscal Year]), 0)), "")</f>
        <v/>
      </c>
      <c r="G101" s="25" t="str">
        <f>IF(Table11[[#This Row],[Unique CFDA]] = "", "", IFERROR(Table11[[#This Row],[FY 2018 Total]]*Table11[[#This Row],[President % Change]], ""))</f>
        <v/>
      </c>
      <c r="H101" s="26" t="str">
        <f t="array" ref="H101">IFERROR(INDEX(BudgetAppropData[House % Change], MATCH(1, (Table11[[#This Row],[Unique CFDA]] = BudgetAppropData[CFDA])*(SelectBudgetYear = BudgetAppropData[Fiscal Year]),0)), "")</f>
        <v/>
      </c>
      <c r="I101" s="25" t="str">
        <f>IF(Table11[[#This Row],[Unique CFDA]] = "", "", IFERROR(Table11[[#This Row],[FY 2018 Total]]*Table11[[#This Row],[House % Change]], ""))</f>
        <v/>
      </c>
      <c r="J101" s="6"/>
      <c r="K101" s="25" t="str">
        <f>IF(Table11[[#This Row],[Unique CFDA]] = "", "", IFERROR(Table11[[#This Row],[FY 2018 Total]]*Table11[[#This Row],[Senate Budget]], ""))</f>
        <v/>
      </c>
      <c r="L101" s="6" t="str">
        <f>IF(Table11[[#This Row],[Unique CFDA]] = "", "", IF(ISNUMBER(Table11[[#This Row],[President $ Change]]), RANK(Table11[[#This Row],[President $ Change]], Table11[President $ Change])+COUNTIF($G101:G101, G101)-1,0))</f>
        <v/>
      </c>
      <c r="N101">
        <v>98</v>
      </c>
      <c r="O101" t="str">
        <f>IFERROR(INDEX(Table11[Unique CFDA], MATCH(N101, Table11[Pres. Sort], 0)), "")</f>
        <v/>
      </c>
      <c r="P101" s="1" t="str">
        <f>IFERROR(INDEX(Table11[Grant Name], MATCH(MemberOrgFinalSort[[#This Row],[CFDA]], Table11[Unique CFDA], 0)), "")</f>
        <v/>
      </c>
      <c r="Q101" s="20" t="str">
        <f>IFERROR(INDEX(Table11[FY 2018 Total], MATCH(MemberOrgFinalSort[[#This Row],[CFDA]], Table11[Unique CFDA], 0)), "")</f>
        <v/>
      </c>
      <c r="R101" s="21" t="str">
        <f>IFERROR(INDEX(Table11[President % Change], MATCH(MemberOrgFinalSort[[#This Row],[CFDA]], Table11[Unique CFDA], 0)), "")</f>
        <v/>
      </c>
      <c r="S101" s="20" t="str">
        <f>IFERROR(INDEX(Table11[President $ Change], MATCH(MemberOrgFinalSort[[#This Row],[CFDA]], Table11[Unique CFDA], 0)), "")</f>
        <v/>
      </c>
      <c r="T101" s="32" t="str">
        <f>IFERROR(INDEX(Table11[House % Change], MATCH(MemberOrgFinalSort[[#This Row],[CFDA]], Table11[Unique CFDA], 0)), "")</f>
        <v/>
      </c>
      <c r="U101" s="32" t="str">
        <f>IFERROR(INDEX(Table11[House $ Change], MATCH(MemberOrgFinalSort[[#This Row],[CFDA]], Table11[Unique CFDA], 0)), "")</f>
        <v/>
      </c>
      <c r="V101" s="20"/>
      <c r="X101" s="6"/>
      <c r="Y101" s="6"/>
      <c r="Z101" s="6"/>
      <c r="AA101" s="6"/>
      <c r="AB101" s="6"/>
    </row>
    <row r="102" spans="1:28" x14ac:dyDescent="0.25">
      <c r="A102" t="str">
        <f>IF(MemberOrgControl!$C105 = "", "", INDEX(MemberOrgsData[CFDA], MemberOrgControl!$C105))</f>
        <v/>
      </c>
      <c r="C102" s="6" t="str">
        <f>IFERROR(INDEX(AllFilteredCFDAs[All CFDAs], MATCH(0, INDEX(COUNTIF($C$3:C101, AllFilteredCFDAs[All CFDAs]),),0)), "")</f>
        <v/>
      </c>
      <c r="D102" s="6" t="str">
        <f t="array" ref="D102">IFERROR(INDEX(MemberOrgsData[FEDERALPROGRAMNAME], MATCH(1, (SelectMemberOrgs = MemberOrgsData[Auditee Name])*(Table11[[#This Row],[Unique CFDA]] = MemberOrgsData[CFDA]), 0)), "")</f>
        <v/>
      </c>
      <c r="E102" s="25" t="str">
        <f t="array" ref="E102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02" s="26" t="str">
        <f t="array" ref="F102">IFERROR(INDEX(BudgetAppropData[President % Change], MATCH(1, (Table11[[#This Row],[Unique CFDA]] = BudgetAppropData[CFDA])*(SelectBudgetYear = BudgetAppropData[Fiscal Year]), 0)), "")</f>
        <v/>
      </c>
      <c r="G102" s="25" t="str">
        <f>IF(Table11[[#This Row],[Unique CFDA]] = "", "", IFERROR(Table11[[#This Row],[FY 2018 Total]]*Table11[[#This Row],[President % Change]], ""))</f>
        <v/>
      </c>
      <c r="H102" s="26" t="str">
        <f t="array" ref="H102">IFERROR(INDEX(BudgetAppropData[House % Change], MATCH(1, (Table11[[#This Row],[Unique CFDA]] = BudgetAppropData[CFDA])*(SelectBudgetYear = BudgetAppropData[Fiscal Year]),0)), "")</f>
        <v/>
      </c>
      <c r="I102" s="25" t="str">
        <f>IF(Table11[[#This Row],[Unique CFDA]] = "", "", IFERROR(Table11[[#This Row],[FY 2018 Total]]*Table11[[#This Row],[House % Change]], ""))</f>
        <v/>
      </c>
      <c r="J102" s="6"/>
      <c r="K102" s="25" t="str">
        <f>IF(Table11[[#This Row],[Unique CFDA]] = "", "", IFERROR(Table11[[#This Row],[FY 2018 Total]]*Table11[[#This Row],[Senate Budget]], ""))</f>
        <v/>
      </c>
      <c r="L102" s="6" t="str">
        <f>IF(Table11[[#This Row],[Unique CFDA]] = "", "", IF(ISNUMBER(Table11[[#This Row],[President $ Change]]), RANK(Table11[[#This Row],[President $ Change]], Table11[President $ Change])+COUNTIF($G102:G102, G102)-1,0))</f>
        <v/>
      </c>
      <c r="N102">
        <v>99</v>
      </c>
      <c r="O102" t="str">
        <f>IFERROR(INDEX(Table11[Unique CFDA], MATCH(N102, Table11[Pres. Sort], 0)), "")</f>
        <v/>
      </c>
      <c r="P102" s="1" t="str">
        <f>IFERROR(INDEX(Table11[Grant Name], MATCH(MemberOrgFinalSort[[#This Row],[CFDA]], Table11[Unique CFDA], 0)), "")</f>
        <v/>
      </c>
      <c r="Q102" s="20" t="str">
        <f>IFERROR(INDEX(Table11[FY 2018 Total], MATCH(MemberOrgFinalSort[[#This Row],[CFDA]], Table11[Unique CFDA], 0)), "")</f>
        <v/>
      </c>
      <c r="R102" s="21" t="str">
        <f>IFERROR(INDEX(Table11[President % Change], MATCH(MemberOrgFinalSort[[#This Row],[CFDA]], Table11[Unique CFDA], 0)), "")</f>
        <v/>
      </c>
      <c r="S102" s="20" t="str">
        <f>IFERROR(INDEX(Table11[President $ Change], MATCH(MemberOrgFinalSort[[#This Row],[CFDA]], Table11[Unique CFDA], 0)), "")</f>
        <v/>
      </c>
      <c r="T102" s="32" t="str">
        <f>IFERROR(INDEX(Table11[House % Change], MATCH(MemberOrgFinalSort[[#This Row],[CFDA]], Table11[Unique CFDA], 0)), "")</f>
        <v/>
      </c>
      <c r="U102" s="32" t="str">
        <f>IFERROR(INDEX(Table11[House $ Change], MATCH(MemberOrgFinalSort[[#This Row],[CFDA]], Table11[Unique CFDA], 0)), "")</f>
        <v/>
      </c>
      <c r="V102" s="20"/>
      <c r="X102" s="6"/>
      <c r="Y102" s="6"/>
      <c r="Z102" s="6"/>
      <c r="AA102" s="6"/>
      <c r="AB102" s="6"/>
    </row>
    <row r="103" spans="1:28" x14ac:dyDescent="0.25">
      <c r="A103" t="str">
        <f>IF(MemberOrgControl!$C106 = "", "", INDEX(MemberOrgsData[CFDA], MemberOrgControl!$C106))</f>
        <v/>
      </c>
      <c r="C103" s="6" t="str">
        <f>IFERROR(INDEX(AllFilteredCFDAs[All CFDAs], MATCH(0, INDEX(COUNTIF($C$3:C102, AllFilteredCFDAs[All CFDAs]),),0)), "")</f>
        <v/>
      </c>
      <c r="D103" s="6" t="str">
        <f t="array" ref="D103">IFERROR(INDEX(MemberOrgsData[FEDERALPROGRAMNAME], MATCH(1, (SelectMemberOrgs = MemberOrgsData[Auditee Name])*(Table11[[#This Row],[Unique CFDA]] = MemberOrgsData[CFDA]), 0)), "")</f>
        <v/>
      </c>
      <c r="E103" s="25" t="str">
        <f t="array" ref="E103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03" s="26" t="str">
        <f t="array" ref="F103">IFERROR(INDEX(BudgetAppropData[President % Change], MATCH(1, (Table11[[#This Row],[Unique CFDA]] = BudgetAppropData[CFDA])*(SelectBudgetYear = BudgetAppropData[Fiscal Year]), 0)), "")</f>
        <v/>
      </c>
      <c r="G103" s="25" t="str">
        <f>IF(Table11[[#This Row],[Unique CFDA]] = "", "", IFERROR(Table11[[#This Row],[FY 2018 Total]]*Table11[[#This Row],[President % Change]], ""))</f>
        <v/>
      </c>
      <c r="H103" s="26" t="str">
        <f t="array" ref="H103">IFERROR(INDEX(BudgetAppropData[House % Change], MATCH(1, (Table11[[#This Row],[Unique CFDA]] = BudgetAppropData[CFDA])*(SelectBudgetYear = BudgetAppropData[Fiscal Year]),0)), "")</f>
        <v/>
      </c>
      <c r="I103" s="25" t="str">
        <f>IF(Table11[[#This Row],[Unique CFDA]] = "", "", IFERROR(Table11[[#This Row],[FY 2018 Total]]*Table11[[#This Row],[House % Change]], ""))</f>
        <v/>
      </c>
      <c r="J103" s="6"/>
      <c r="K103" s="25" t="str">
        <f>IF(Table11[[#This Row],[Unique CFDA]] = "", "", IFERROR(Table11[[#This Row],[FY 2018 Total]]*Table11[[#This Row],[Senate Budget]], ""))</f>
        <v/>
      </c>
      <c r="L103" s="6" t="str">
        <f>IF(Table11[[#This Row],[Unique CFDA]] = "", "", IF(ISNUMBER(Table11[[#This Row],[President $ Change]]), RANK(Table11[[#This Row],[President $ Change]], Table11[President $ Change])+COUNTIF($G103:G103, G103)-1,0))</f>
        <v/>
      </c>
      <c r="N103">
        <v>100</v>
      </c>
      <c r="O103" t="str">
        <f>IFERROR(INDEX(Table11[Unique CFDA], MATCH(N103, Table11[Pres. Sort], 0)), "")</f>
        <v/>
      </c>
      <c r="P103" s="1" t="str">
        <f>IFERROR(INDEX(Table11[Grant Name], MATCH(MemberOrgFinalSort[[#This Row],[CFDA]], Table11[Unique CFDA], 0)), "")</f>
        <v/>
      </c>
      <c r="Q103" s="20" t="str">
        <f>IFERROR(INDEX(Table11[FY 2018 Total], MATCH(MemberOrgFinalSort[[#This Row],[CFDA]], Table11[Unique CFDA], 0)), "")</f>
        <v/>
      </c>
      <c r="R103" s="21" t="str">
        <f>IFERROR(INDEX(Table11[President % Change], MATCH(MemberOrgFinalSort[[#This Row],[CFDA]], Table11[Unique CFDA], 0)), "")</f>
        <v/>
      </c>
      <c r="S103" s="20" t="str">
        <f>IFERROR(INDEX(Table11[President $ Change], MATCH(MemberOrgFinalSort[[#This Row],[CFDA]], Table11[Unique CFDA], 0)), "")</f>
        <v/>
      </c>
      <c r="T103" s="32" t="str">
        <f>IFERROR(INDEX(Table11[House % Change], MATCH(MemberOrgFinalSort[[#This Row],[CFDA]], Table11[Unique CFDA], 0)), "")</f>
        <v/>
      </c>
      <c r="U103" s="32" t="str">
        <f>IFERROR(INDEX(Table11[House $ Change], MATCH(MemberOrgFinalSort[[#This Row],[CFDA]], Table11[Unique CFDA], 0)), "")</f>
        <v/>
      </c>
      <c r="V103" s="20"/>
      <c r="X103" s="6"/>
      <c r="Y103" s="6"/>
      <c r="Z103" s="6"/>
      <c r="AA103" s="6"/>
      <c r="AB103" s="6"/>
    </row>
    <row r="104" spans="1:28" x14ac:dyDescent="0.25">
      <c r="A104" t="str">
        <f>IF(MemberOrgControl!$C107 = "", "", INDEX(MemberOrgsData[CFDA], MemberOrgControl!$C107))</f>
        <v/>
      </c>
      <c r="C104" s="6" t="str">
        <f>IFERROR(INDEX(AllFilteredCFDAs[All CFDAs], MATCH(0, INDEX(COUNTIF($C$3:C103, AllFilteredCFDAs[All CFDAs]),),0)), "")</f>
        <v/>
      </c>
      <c r="D104" s="6" t="str">
        <f t="array" ref="D104">IFERROR(INDEX(MemberOrgsData[FEDERALPROGRAMNAME], MATCH(1, (SelectMemberOrgs = MemberOrgsData[Auditee Name])*(Table11[[#This Row],[Unique CFDA]] = MemberOrgsData[CFDA]), 0)), "")</f>
        <v/>
      </c>
      <c r="E104" s="25" t="str">
        <f t="array" ref="E104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04" s="26" t="str">
        <f t="array" ref="F104">IFERROR(INDEX(BudgetAppropData[President % Change], MATCH(1, (Table11[[#This Row],[Unique CFDA]] = BudgetAppropData[CFDA])*(SelectBudgetYear = BudgetAppropData[Fiscal Year]), 0)), "")</f>
        <v/>
      </c>
      <c r="G104" s="25" t="str">
        <f>IF(Table11[[#This Row],[Unique CFDA]] = "", "", IFERROR(Table11[[#This Row],[FY 2018 Total]]*Table11[[#This Row],[President % Change]], ""))</f>
        <v/>
      </c>
      <c r="H104" s="26" t="str">
        <f t="array" ref="H104">IFERROR(INDEX(BudgetAppropData[House % Change], MATCH(1, (Table11[[#This Row],[Unique CFDA]] = BudgetAppropData[CFDA])*(SelectBudgetYear = BudgetAppropData[Fiscal Year]),0)), "")</f>
        <v/>
      </c>
      <c r="I104" s="25" t="str">
        <f>IF(Table11[[#This Row],[Unique CFDA]] = "", "", IFERROR(Table11[[#This Row],[FY 2018 Total]]*Table11[[#This Row],[House % Change]], ""))</f>
        <v/>
      </c>
      <c r="J104" s="6"/>
      <c r="K104" s="25" t="str">
        <f>IF(Table11[[#This Row],[Unique CFDA]] = "", "", IFERROR(Table11[[#This Row],[FY 2018 Total]]*Table11[[#This Row],[Senate Budget]], ""))</f>
        <v/>
      </c>
      <c r="L104" s="6" t="str">
        <f>IF(Table11[[#This Row],[Unique CFDA]] = "", "", IF(ISNUMBER(Table11[[#This Row],[President $ Change]]), RANK(Table11[[#This Row],[President $ Change]], Table11[President $ Change])+COUNTIF($G104:G104, G104)-1,0))</f>
        <v/>
      </c>
      <c r="N104">
        <v>101</v>
      </c>
      <c r="O104" t="str">
        <f>IFERROR(INDEX(Table11[Unique CFDA], MATCH(N104, Table11[Pres. Sort], 0)), "")</f>
        <v/>
      </c>
      <c r="P104" s="1" t="str">
        <f>IFERROR(INDEX(Table11[Grant Name], MATCH(MemberOrgFinalSort[[#This Row],[CFDA]], Table11[Unique CFDA], 0)), "")</f>
        <v/>
      </c>
      <c r="Q104" s="20" t="str">
        <f>IFERROR(INDEX(Table11[FY 2018 Total], MATCH(MemberOrgFinalSort[[#This Row],[CFDA]], Table11[Unique CFDA], 0)), "")</f>
        <v/>
      </c>
      <c r="R104" s="21" t="str">
        <f>IFERROR(INDEX(Table11[President % Change], MATCH(MemberOrgFinalSort[[#This Row],[CFDA]], Table11[Unique CFDA], 0)), "")</f>
        <v/>
      </c>
      <c r="S104" s="20" t="str">
        <f>IFERROR(INDEX(Table11[President $ Change], MATCH(MemberOrgFinalSort[[#This Row],[CFDA]], Table11[Unique CFDA], 0)), "")</f>
        <v/>
      </c>
      <c r="T104" s="32" t="str">
        <f>IFERROR(INDEX(Table11[House % Change], MATCH(MemberOrgFinalSort[[#This Row],[CFDA]], Table11[Unique CFDA], 0)), "")</f>
        <v/>
      </c>
      <c r="U104" s="32" t="str">
        <f>IFERROR(INDEX(Table11[House $ Change], MATCH(MemberOrgFinalSort[[#This Row],[CFDA]], Table11[Unique CFDA], 0)), "")</f>
        <v/>
      </c>
      <c r="V104" s="20"/>
      <c r="X104" s="6"/>
      <c r="Y104" s="6"/>
      <c r="Z104" s="6"/>
      <c r="AA104" s="6"/>
      <c r="AB104" s="6"/>
    </row>
    <row r="105" spans="1:28" x14ac:dyDescent="0.25">
      <c r="A105" t="str">
        <f>IF(MemberOrgControl!$C108 = "", "", INDEX(MemberOrgsData[CFDA], MemberOrgControl!$C108))</f>
        <v/>
      </c>
      <c r="C105" s="6" t="str">
        <f>IFERROR(INDEX(AllFilteredCFDAs[All CFDAs], MATCH(0, INDEX(COUNTIF($C$3:C104, AllFilteredCFDAs[All CFDAs]),),0)), "")</f>
        <v/>
      </c>
      <c r="D105" s="6" t="str">
        <f t="array" ref="D105">IFERROR(INDEX(MemberOrgsData[FEDERALPROGRAMNAME], MATCH(1, (SelectMemberOrgs = MemberOrgsData[Auditee Name])*(Table11[[#This Row],[Unique CFDA]] = MemberOrgsData[CFDA]), 0)), "")</f>
        <v/>
      </c>
      <c r="E105" s="25" t="str">
        <f t="array" ref="E105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05" s="26" t="str">
        <f t="array" ref="F105">IFERROR(INDEX(BudgetAppropData[President % Change], MATCH(1, (Table11[[#This Row],[Unique CFDA]] = BudgetAppropData[CFDA])*(SelectBudgetYear = BudgetAppropData[Fiscal Year]), 0)), "")</f>
        <v/>
      </c>
      <c r="G105" s="25" t="str">
        <f>IF(Table11[[#This Row],[Unique CFDA]] = "", "", IFERROR(Table11[[#This Row],[FY 2018 Total]]*Table11[[#This Row],[President % Change]], ""))</f>
        <v/>
      </c>
      <c r="H105" s="26" t="str">
        <f t="array" ref="H105">IFERROR(INDEX(BudgetAppropData[House % Change], MATCH(1, (Table11[[#This Row],[Unique CFDA]] = BudgetAppropData[CFDA])*(SelectBudgetYear = BudgetAppropData[Fiscal Year]),0)), "")</f>
        <v/>
      </c>
      <c r="I105" s="25" t="str">
        <f>IF(Table11[[#This Row],[Unique CFDA]] = "", "", IFERROR(Table11[[#This Row],[FY 2018 Total]]*Table11[[#This Row],[House % Change]], ""))</f>
        <v/>
      </c>
      <c r="J105" s="6"/>
      <c r="K105" s="25" t="str">
        <f>IF(Table11[[#This Row],[Unique CFDA]] = "", "", IFERROR(Table11[[#This Row],[FY 2018 Total]]*Table11[[#This Row],[Senate Budget]], ""))</f>
        <v/>
      </c>
      <c r="L105" s="6" t="str">
        <f>IF(Table11[[#This Row],[Unique CFDA]] = "", "", IF(ISNUMBER(Table11[[#This Row],[President $ Change]]), RANK(Table11[[#This Row],[President $ Change]], Table11[President $ Change])+COUNTIF($G105:G105, G105)-1,0))</f>
        <v/>
      </c>
      <c r="N105">
        <v>102</v>
      </c>
      <c r="O105" t="str">
        <f>IFERROR(INDEX(Table11[Unique CFDA], MATCH(N105, Table11[Pres. Sort], 0)), "")</f>
        <v/>
      </c>
      <c r="P105" s="1" t="str">
        <f>IFERROR(INDEX(Table11[Grant Name], MATCH(MemberOrgFinalSort[[#This Row],[CFDA]], Table11[Unique CFDA], 0)), "")</f>
        <v/>
      </c>
      <c r="Q105" s="20" t="str">
        <f>IFERROR(INDEX(Table11[FY 2018 Total], MATCH(MemberOrgFinalSort[[#This Row],[CFDA]], Table11[Unique CFDA], 0)), "")</f>
        <v/>
      </c>
      <c r="R105" s="21" t="str">
        <f>IFERROR(INDEX(Table11[President % Change], MATCH(MemberOrgFinalSort[[#This Row],[CFDA]], Table11[Unique CFDA], 0)), "")</f>
        <v/>
      </c>
      <c r="S105" s="20" t="str">
        <f>IFERROR(INDEX(Table11[President $ Change], MATCH(MemberOrgFinalSort[[#This Row],[CFDA]], Table11[Unique CFDA], 0)), "")</f>
        <v/>
      </c>
      <c r="T105" s="32" t="str">
        <f>IFERROR(INDEX(Table11[House % Change], MATCH(MemberOrgFinalSort[[#This Row],[CFDA]], Table11[Unique CFDA], 0)), "")</f>
        <v/>
      </c>
      <c r="U105" s="32" t="str">
        <f>IFERROR(INDEX(Table11[House $ Change], MATCH(MemberOrgFinalSort[[#This Row],[CFDA]], Table11[Unique CFDA], 0)), "")</f>
        <v/>
      </c>
      <c r="V105" s="20"/>
      <c r="X105" s="6"/>
      <c r="Y105" s="6"/>
      <c r="Z105" s="6"/>
      <c r="AA105" s="6"/>
      <c r="AB105" s="6"/>
    </row>
    <row r="106" spans="1:28" x14ac:dyDescent="0.25">
      <c r="A106" t="str">
        <f>IF(MemberOrgControl!$C109 = "", "", INDEX(MemberOrgsData[CFDA], MemberOrgControl!$C109))</f>
        <v/>
      </c>
      <c r="C106" s="6" t="str">
        <f>IFERROR(INDEX(AllFilteredCFDAs[All CFDAs], MATCH(0, INDEX(COUNTIF($C$3:C105, AllFilteredCFDAs[All CFDAs]),),0)), "")</f>
        <v/>
      </c>
      <c r="D106" s="6" t="str">
        <f t="array" ref="D106">IFERROR(INDEX(MemberOrgsData[FEDERALPROGRAMNAME], MATCH(1, (SelectMemberOrgs = MemberOrgsData[Auditee Name])*(Table11[[#This Row],[Unique CFDA]] = MemberOrgsData[CFDA]), 0)), "")</f>
        <v/>
      </c>
      <c r="E106" s="25" t="str">
        <f t="array" ref="E106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06" s="26" t="str">
        <f t="array" ref="F106">IFERROR(INDEX(BudgetAppropData[President % Change], MATCH(1, (Table11[[#This Row],[Unique CFDA]] = BudgetAppropData[CFDA])*(SelectBudgetYear = BudgetAppropData[Fiscal Year]), 0)), "")</f>
        <v/>
      </c>
      <c r="G106" s="25" t="str">
        <f>IF(Table11[[#This Row],[Unique CFDA]] = "", "", IFERROR(Table11[[#This Row],[FY 2018 Total]]*Table11[[#This Row],[President % Change]], ""))</f>
        <v/>
      </c>
      <c r="H106" s="26" t="str">
        <f t="array" ref="H106">IFERROR(INDEX(BudgetAppropData[House % Change], MATCH(1, (Table11[[#This Row],[Unique CFDA]] = BudgetAppropData[CFDA])*(SelectBudgetYear = BudgetAppropData[Fiscal Year]),0)), "")</f>
        <v/>
      </c>
      <c r="I106" s="25" t="str">
        <f>IF(Table11[[#This Row],[Unique CFDA]] = "", "", IFERROR(Table11[[#This Row],[FY 2018 Total]]*Table11[[#This Row],[House % Change]], ""))</f>
        <v/>
      </c>
      <c r="J106" s="6"/>
      <c r="K106" s="25" t="str">
        <f>IF(Table11[[#This Row],[Unique CFDA]] = "", "", IFERROR(Table11[[#This Row],[FY 2018 Total]]*Table11[[#This Row],[Senate Budget]], ""))</f>
        <v/>
      </c>
      <c r="L106" s="6" t="str">
        <f>IF(Table11[[#This Row],[Unique CFDA]] = "", "", IF(ISNUMBER(Table11[[#This Row],[President $ Change]]), RANK(Table11[[#This Row],[President $ Change]], Table11[President $ Change])+COUNTIF($G106:G106, G106)-1,0))</f>
        <v/>
      </c>
      <c r="N106">
        <v>103</v>
      </c>
      <c r="O106" t="str">
        <f>IFERROR(INDEX(Table11[Unique CFDA], MATCH(N106, Table11[Pres. Sort], 0)), "")</f>
        <v/>
      </c>
      <c r="P106" s="1" t="str">
        <f>IFERROR(INDEX(Table11[Grant Name], MATCH(MemberOrgFinalSort[[#This Row],[CFDA]], Table11[Unique CFDA], 0)), "")</f>
        <v/>
      </c>
      <c r="Q106" s="20" t="str">
        <f>IFERROR(INDEX(Table11[FY 2018 Total], MATCH(MemberOrgFinalSort[[#This Row],[CFDA]], Table11[Unique CFDA], 0)), "")</f>
        <v/>
      </c>
      <c r="R106" s="21" t="str">
        <f>IFERROR(INDEX(Table11[President % Change], MATCH(MemberOrgFinalSort[[#This Row],[CFDA]], Table11[Unique CFDA], 0)), "")</f>
        <v/>
      </c>
      <c r="S106" s="20" t="str">
        <f>IFERROR(INDEX(Table11[President $ Change], MATCH(MemberOrgFinalSort[[#This Row],[CFDA]], Table11[Unique CFDA], 0)), "")</f>
        <v/>
      </c>
      <c r="T106" s="32" t="str">
        <f>IFERROR(INDEX(Table11[House % Change], MATCH(MemberOrgFinalSort[[#This Row],[CFDA]], Table11[Unique CFDA], 0)), "")</f>
        <v/>
      </c>
      <c r="U106" s="32" t="str">
        <f>IFERROR(INDEX(Table11[House $ Change], MATCH(MemberOrgFinalSort[[#This Row],[CFDA]], Table11[Unique CFDA], 0)), "")</f>
        <v/>
      </c>
      <c r="V106" s="20"/>
      <c r="X106" s="6"/>
      <c r="Y106" s="6"/>
      <c r="Z106" s="6"/>
      <c r="AA106" s="6"/>
      <c r="AB106" s="6"/>
    </row>
    <row r="107" spans="1:28" x14ac:dyDescent="0.25">
      <c r="A107" t="str">
        <f>IF(MemberOrgControl!$C110 = "", "", INDEX(MemberOrgsData[CFDA], MemberOrgControl!$C110))</f>
        <v/>
      </c>
      <c r="C107" s="6" t="str">
        <f>IFERROR(INDEX(AllFilteredCFDAs[All CFDAs], MATCH(0, INDEX(COUNTIF($C$3:C106, AllFilteredCFDAs[All CFDAs]),),0)), "")</f>
        <v/>
      </c>
      <c r="D107" s="6" t="str">
        <f t="array" ref="D107">IFERROR(INDEX(MemberOrgsData[FEDERALPROGRAMNAME], MATCH(1, (SelectMemberOrgs = MemberOrgsData[Auditee Name])*(Table11[[#This Row],[Unique CFDA]] = MemberOrgsData[CFDA]), 0)), "")</f>
        <v/>
      </c>
      <c r="E107" s="25" t="str">
        <f t="array" ref="E107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07" s="26" t="str">
        <f t="array" ref="F107">IFERROR(INDEX(BudgetAppropData[President % Change], MATCH(1, (Table11[[#This Row],[Unique CFDA]] = BudgetAppropData[CFDA])*(SelectBudgetYear = BudgetAppropData[Fiscal Year]), 0)), "")</f>
        <v/>
      </c>
      <c r="G107" s="25" t="str">
        <f>IF(Table11[[#This Row],[Unique CFDA]] = "", "", IFERROR(Table11[[#This Row],[FY 2018 Total]]*Table11[[#This Row],[President % Change]], ""))</f>
        <v/>
      </c>
      <c r="H107" s="26" t="str">
        <f t="array" ref="H107">IFERROR(INDEX(BudgetAppropData[House % Change], MATCH(1, (Table11[[#This Row],[Unique CFDA]] = BudgetAppropData[CFDA])*(SelectBudgetYear = BudgetAppropData[Fiscal Year]),0)), "")</f>
        <v/>
      </c>
      <c r="I107" s="25" t="str">
        <f>IF(Table11[[#This Row],[Unique CFDA]] = "", "", IFERROR(Table11[[#This Row],[FY 2018 Total]]*Table11[[#This Row],[House % Change]], ""))</f>
        <v/>
      </c>
      <c r="J107" s="6"/>
      <c r="K107" s="25" t="str">
        <f>IF(Table11[[#This Row],[Unique CFDA]] = "", "", IFERROR(Table11[[#This Row],[FY 2018 Total]]*Table11[[#This Row],[Senate Budget]], ""))</f>
        <v/>
      </c>
      <c r="L107" s="6" t="str">
        <f>IF(Table11[[#This Row],[Unique CFDA]] = "", "", IF(ISNUMBER(Table11[[#This Row],[President $ Change]]), RANK(Table11[[#This Row],[President $ Change]], Table11[President $ Change])+COUNTIF($G107:G107, G107)-1,0))</f>
        <v/>
      </c>
      <c r="N107">
        <v>104</v>
      </c>
      <c r="O107" t="str">
        <f>IFERROR(INDEX(Table11[Unique CFDA], MATCH(N107, Table11[Pres. Sort], 0)), "")</f>
        <v/>
      </c>
      <c r="P107" s="1" t="str">
        <f>IFERROR(INDEX(Table11[Grant Name], MATCH(MemberOrgFinalSort[[#This Row],[CFDA]], Table11[Unique CFDA], 0)), "")</f>
        <v/>
      </c>
      <c r="Q107" s="20" t="str">
        <f>IFERROR(INDEX(Table11[FY 2018 Total], MATCH(MemberOrgFinalSort[[#This Row],[CFDA]], Table11[Unique CFDA], 0)), "")</f>
        <v/>
      </c>
      <c r="R107" s="21" t="str">
        <f>IFERROR(INDEX(Table11[President % Change], MATCH(MemberOrgFinalSort[[#This Row],[CFDA]], Table11[Unique CFDA], 0)), "")</f>
        <v/>
      </c>
      <c r="S107" s="20" t="str">
        <f>IFERROR(INDEX(Table11[President $ Change], MATCH(MemberOrgFinalSort[[#This Row],[CFDA]], Table11[Unique CFDA], 0)), "")</f>
        <v/>
      </c>
      <c r="T107" s="32" t="str">
        <f>IFERROR(INDEX(Table11[House % Change], MATCH(MemberOrgFinalSort[[#This Row],[CFDA]], Table11[Unique CFDA], 0)), "")</f>
        <v/>
      </c>
      <c r="U107" s="32" t="str">
        <f>IFERROR(INDEX(Table11[House $ Change], MATCH(MemberOrgFinalSort[[#This Row],[CFDA]], Table11[Unique CFDA], 0)), "")</f>
        <v/>
      </c>
      <c r="V107" s="20"/>
      <c r="X107" s="6"/>
      <c r="Y107" s="6"/>
      <c r="Z107" s="6"/>
      <c r="AA107" s="6"/>
      <c r="AB107" s="6"/>
    </row>
    <row r="108" spans="1:28" x14ac:dyDescent="0.25">
      <c r="A108" t="str">
        <f>IF(MemberOrgControl!$C111 = "", "", INDEX(MemberOrgsData[CFDA], MemberOrgControl!$C111))</f>
        <v/>
      </c>
      <c r="C108" s="6" t="str">
        <f>IFERROR(INDEX(AllFilteredCFDAs[All CFDAs], MATCH(0, INDEX(COUNTIF($C$3:C107, AllFilteredCFDAs[All CFDAs]),),0)), "")</f>
        <v/>
      </c>
      <c r="D108" s="6" t="str">
        <f t="array" ref="D108">IFERROR(INDEX(MemberOrgsData[FEDERALPROGRAMNAME], MATCH(1, (SelectMemberOrgs = MemberOrgsData[Auditee Name])*(Table11[[#This Row],[Unique CFDA]] = MemberOrgsData[CFDA]), 0)), "")</f>
        <v/>
      </c>
      <c r="E108" s="25" t="str">
        <f t="array" ref="E108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08" s="26" t="str">
        <f t="array" ref="F108">IFERROR(INDEX(BudgetAppropData[President % Change], MATCH(1, (Table11[[#This Row],[Unique CFDA]] = BudgetAppropData[CFDA])*(SelectBudgetYear = BudgetAppropData[Fiscal Year]), 0)), "")</f>
        <v/>
      </c>
      <c r="G108" s="25" t="str">
        <f>IF(Table11[[#This Row],[Unique CFDA]] = "", "", IFERROR(Table11[[#This Row],[FY 2018 Total]]*Table11[[#This Row],[President % Change]], ""))</f>
        <v/>
      </c>
      <c r="H108" s="26" t="str">
        <f t="array" ref="H108">IFERROR(INDEX(BudgetAppropData[House % Change], MATCH(1, (Table11[[#This Row],[Unique CFDA]] = BudgetAppropData[CFDA])*(SelectBudgetYear = BudgetAppropData[Fiscal Year]),0)), "")</f>
        <v/>
      </c>
      <c r="I108" s="25" t="str">
        <f>IF(Table11[[#This Row],[Unique CFDA]] = "", "", IFERROR(Table11[[#This Row],[FY 2018 Total]]*Table11[[#This Row],[House % Change]], ""))</f>
        <v/>
      </c>
      <c r="J108" s="6"/>
      <c r="K108" s="25" t="str">
        <f>IF(Table11[[#This Row],[Unique CFDA]] = "", "", IFERROR(Table11[[#This Row],[FY 2018 Total]]*Table11[[#This Row],[Senate Budget]], ""))</f>
        <v/>
      </c>
      <c r="L108" s="6" t="str">
        <f>IF(Table11[[#This Row],[Unique CFDA]] = "", "", IF(ISNUMBER(Table11[[#This Row],[President $ Change]]), RANK(Table11[[#This Row],[President $ Change]], Table11[President $ Change])+COUNTIF($G108:G108, G108)-1,0))</f>
        <v/>
      </c>
      <c r="N108">
        <v>105</v>
      </c>
      <c r="O108" t="str">
        <f>IFERROR(INDEX(Table11[Unique CFDA], MATCH(N108, Table11[Pres. Sort], 0)), "")</f>
        <v/>
      </c>
      <c r="P108" s="1" t="str">
        <f>IFERROR(INDEX(Table11[Grant Name], MATCH(MemberOrgFinalSort[[#This Row],[CFDA]], Table11[Unique CFDA], 0)), "")</f>
        <v/>
      </c>
      <c r="Q108" s="20" t="str">
        <f>IFERROR(INDEX(Table11[FY 2018 Total], MATCH(MemberOrgFinalSort[[#This Row],[CFDA]], Table11[Unique CFDA], 0)), "")</f>
        <v/>
      </c>
      <c r="R108" s="21" t="str">
        <f>IFERROR(INDEX(Table11[President % Change], MATCH(MemberOrgFinalSort[[#This Row],[CFDA]], Table11[Unique CFDA], 0)), "")</f>
        <v/>
      </c>
      <c r="S108" s="20" t="str">
        <f>IFERROR(INDEX(Table11[President $ Change], MATCH(MemberOrgFinalSort[[#This Row],[CFDA]], Table11[Unique CFDA], 0)), "")</f>
        <v/>
      </c>
      <c r="T108" s="32" t="str">
        <f>IFERROR(INDEX(Table11[House % Change], MATCH(MemberOrgFinalSort[[#This Row],[CFDA]], Table11[Unique CFDA], 0)), "")</f>
        <v/>
      </c>
      <c r="U108" s="32" t="str">
        <f>IFERROR(INDEX(Table11[House $ Change], MATCH(MemberOrgFinalSort[[#This Row],[CFDA]], Table11[Unique CFDA], 0)), "")</f>
        <v/>
      </c>
      <c r="V108" s="20"/>
      <c r="X108" s="6"/>
      <c r="Y108" s="6"/>
      <c r="Z108" s="6"/>
      <c r="AA108" s="6"/>
      <c r="AB108" s="6"/>
    </row>
    <row r="109" spans="1:28" x14ac:dyDescent="0.25">
      <c r="A109" t="str">
        <f>IF(MemberOrgControl!$C112 = "", "", INDEX(MemberOrgsData[CFDA], MemberOrgControl!$C112))</f>
        <v/>
      </c>
      <c r="C109" s="6" t="str">
        <f>IFERROR(INDEX(AllFilteredCFDAs[All CFDAs], MATCH(0, INDEX(COUNTIF($C$3:C108, AllFilteredCFDAs[All CFDAs]),),0)), "")</f>
        <v/>
      </c>
      <c r="D109" s="6" t="str">
        <f t="array" ref="D109">IFERROR(INDEX(MemberOrgsData[FEDERALPROGRAMNAME], MATCH(1, (SelectMemberOrgs = MemberOrgsData[Auditee Name])*(Table11[[#This Row],[Unique CFDA]] = MemberOrgsData[CFDA]), 0)), "")</f>
        <v/>
      </c>
      <c r="E109" s="25" t="str">
        <f t="array" ref="E109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09" s="26" t="str">
        <f t="array" ref="F109">IFERROR(INDEX(BudgetAppropData[President % Change], MATCH(1, (Table11[[#This Row],[Unique CFDA]] = BudgetAppropData[CFDA])*(SelectBudgetYear = BudgetAppropData[Fiscal Year]), 0)), "")</f>
        <v/>
      </c>
      <c r="G109" s="25" t="str">
        <f>IF(Table11[[#This Row],[Unique CFDA]] = "", "", IFERROR(Table11[[#This Row],[FY 2018 Total]]*Table11[[#This Row],[President % Change]], ""))</f>
        <v/>
      </c>
      <c r="H109" s="26" t="str">
        <f t="array" ref="H109">IFERROR(INDEX(BudgetAppropData[House % Change], MATCH(1, (Table11[[#This Row],[Unique CFDA]] = BudgetAppropData[CFDA])*(SelectBudgetYear = BudgetAppropData[Fiscal Year]),0)), "")</f>
        <v/>
      </c>
      <c r="I109" s="25" t="str">
        <f>IF(Table11[[#This Row],[Unique CFDA]] = "", "", IFERROR(Table11[[#This Row],[FY 2018 Total]]*Table11[[#This Row],[House % Change]], ""))</f>
        <v/>
      </c>
      <c r="J109" s="6"/>
      <c r="K109" s="25" t="str">
        <f>IF(Table11[[#This Row],[Unique CFDA]] = "", "", IFERROR(Table11[[#This Row],[FY 2018 Total]]*Table11[[#This Row],[Senate Budget]], ""))</f>
        <v/>
      </c>
      <c r="L109" s="6" t="str">
        <f>IF(Table11[[#This Row],[Unique CFDA]] = "", "", IF(ISNUMBER(Table11[[#This Row],[President $ Change]]), RANK(Table11[[#This Row],[President $ Change]], Table11[President $ Change])+COUNTIF($G109:G109, G109)-1,0))</f>
        <v/>
      </c>
      <c r="N109">
        <v>106</v>
      </c>
      <c r="O109" t="str">
        <f>IFERROR(INDEX(Table11[Unique CFDA], MATCH(N109, Table11[Pres. Sort], 0)), "")</f>
        <v/>
      </c>
      <c r="P109" s="1" t="str">
        <f>IFERROR(INDEX(Table11[Grant Name], MATCH(MemberOrgFinalSort[[#This Row],[CFDA]], Table11[Unique CFDA], 0)), "")</f>
        <v/>
      </c>
      <c r="Q109" s="20" t="str">
        <f>IFERROR(INDEX(Table11[FY 2018 Total], MATCH(MemberOrgFinalSort[[#This Row],[CFDA]], Table11[Unique CFDA], 0)), "")</f>
        <v/>
      </c>
      <c r="R109" s="21" t="str">
        <f>IFERROR(INDEX(Table11[President % Change], MATCH(MemberOrgFinalSort[[#This Row],[CFDA]], Table11[Unique CFDA], 0)), "")</f>
        <v/>
      </c>
      <c r="S109" s="20" t="str">
        <f>IFERROR(INDEX(Table11[President $ Change], MATCH(MemberOrgFinalSort[[#This Row],[CFDA]], Table11[Unique CFDA], 0)), "")</f>
        <v/>
      </c>
      <c r="T109" s="32" t="str">
        <f>IFERROR(INDEX(Table11[House % Change], MATCH(MemberOrgFinalSort[[#This Row],[CFDA]], Table11[Unique CFDA], 0)), "")</f>
        <v/>
      </c>
      <c r="U109" s="32" t="str">
        <f>IFERROR(INDEX(Table11[House $ Change], MATCH(MemberOrgFinalSort[[#This Row],[CFDA]], Table11[Unique CFDA], 0)), "")</f>
        <v/>
      </c>
      <c r="V109" s="20"/>
      <c r="X109" s="6"/>
      <c r="Y109" s="6"/>
      <c r="Z109" s="6"/>
      <c r="AA109" s="6"/>
      <c r="AB109" s="6"/>
    </row>
    <row r="110" spans="1:28" x14ac:dyDescent="0.25">
      <c r="A110" t="str">
        <f>IF(MemberOrgControl!$C113 = "", "", INDEX(MemberOrgsData[CFDA], MemberOrgControl!$C113))</f>
        <v/>
      </c>
      <c r="C110" s="6" t="str">
        <f>IFERROR(INDEX(AllFilteredCFDAs[All CFDAs], MATCH(0, INDEX(COUNTIF($C$3:C109, AllFilteredCFDAs[All CFDAs]),),0)), "")</f>
        <v/>
      </c>
      <c r="D110" s="6" t="str">
        <f t="array" ref="D110">IFERROR(INDEX(MemberOrgsData[FEDERALPROGRAMNAME], MATCH(1, (SelectMemberOrgs = MemberOrgsData[Auditee Name])*(Table11[[#This Row],[Unique CFDA]] = MemberOrgsData[CFDA]), 0)), "")</f>
        <v/>
      </c>
      <c r="E110" s="25" t="str">
        <f t="array" ref="E110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10" s="26" t="str">
        <f t="array" ref="F110">IFERROR(INDEX(BudgetAppropData[President % Change], MATCH(1, (Table11[[#This Row],[Unique CFDA]] = BudgetAppropData[CFDA])*(SelectBudgetYear = BudgetAppropData[Fiscal Year]), 0)), "")</f>
        <v/>
      </c>
      <c r="G110" s="25" t="str">
        <f>IF(Table11[[#This Row],[Unique CFDA]] = "", "", IFERROR(Table11[[#This Row],[FY 2018 Total]]*Table11[[#This Row],[President % Change]], ""))</f>
        <v/>
      </c>
      <c r="H110" s="26" t="str">
        <f t="array" ref="H110">IFERROR(INDEX(BudgetAppropData[House % Change], MATCH(1, (Table11[[#This Row],[Unique CFDA]] = BudgetAppropData[CFDA])*(SelectBudgetYear = BudgetAppropData[Fiscal Year]),0)), "")</f>
        <v/>
      </c>
      <c r="I110" s="25" t="str">
        <f>IF(Table11[[#This Row],[Unique CFDA]] = "", "", IFERROR(Table11[[#This Row],[FY 2018 Total]]*Table11[[#This Row],[House % Change]], ""))</f>
        <v/>
      </c>
      <c r="J110" s="6"/>
      <c r="K110" s="25" t="str">
        <f>IF(Table11[[#This Row],[Unique CFDA]] = "", "", IFERROR(Table11[[#This Row],[FY 2018 Total]]*Table11[[#This Row],[Senate Budget]], ""))</f>
        <v/>
      </c>
      <c r="L110" s="6" t="str">
        <f>IF(Table11[[#This Row],[Unique CFDA]] = "", "", IF(ISNUMBER(Table11[[#This Row],[President $ Change]]), RANK(Table11[[#This Row],[President $ Change]], Table11[President $ Change])+COUNTIF($G110:G110, G110)-1,0))</f>
        <v/>
      </c>
      <c r="N110">
        <v>107</v>
      </c>
      <c r="O110" t="str">
        <f>IFERROR(INDEX(Table11[Unique CFDA], MATCH(N110, Table11[Pres. Sort], 0)), "")</f>
        <v/>
      </c>
      <c r="P110" s="1" t="str">
        <f>IFERROR(INDEX(Table11[Grant Name], MATCH(MemberOrgFinalSort[[#This Row],[CFDA]], Table11[Unique CFDA], 0)), "")</f>
        <v/>
      </c>
      <c r="Q110" s="20" t="str">
        <f>IFERROR(INDEX(Table11[FY 2018 Total], MATCH(MemberOrgFinalSort[[#This Row],[CFDA]], Table11[Unique CFDA], 0)), "")</f>
        <v/>
      </c>
      <c r="R110" s="21" t="str">
        <f>IFERROR(INDEX(Table11[President % Change], MATCH(MemberOrgFinalSort[[#This Row],[CFDA]], Table11[Unique CFDA], 0)), "")</f>
        <v/>
      </c>
      <c r="S110" s="20" t="str">
        <f>IFERROR(INDEX(Table11[President $ Change], MATCH(MemberOrgFinalSort[[#This Row],[CFDA]], Table11[Unique CFDA], 0)), "")</f>
        <v/>
      </c>
      <c r="T110" s="32" t="str">
        <f>IFERROR(INDEX(Table11[House % Change], MATCH(MemberOrgFinalSort[[#This Row],[CFDA]], Table11[Unique CFDA], 0)), "")</f>
        <v/>
      </c>
      <c r="U110" s="32" t="str">
        <f>IFERROR(INDEX(Table11[House $ Change], MATCH(MemberOrgFinalSort[[#This Row],[CFDA]], Table11[Unique CFDA], 0)), "")</f>
        <v/>
      </c>
      <c r="V110" s="20"/>
      <c r="X110" s="6"/>
      <c r="Y110" s="6"/>
      <c r="Z110" s="6"/>
      <c r="AA110" s="6"/>
      <c r="AB110" s="6"/>
    </row>
    <row r="111" spans="1:28" x14ac:dyDescent="0.25">
      <c r="A111" t="str">
        <f>IF(MemberOrgControl!$C114 = "", "", INDEX(MemberOrgsData[CFDA], MemberOrgControl!$C114))</f>
        <v/>
      </c>
      <c r="C111" s="6" t="str">
        <f>IFERROR(INDEX(AllFilteredCFDAs[All CFDAs], MATCH(0, INDEX(COUNTIF($C$3:C110, AllFilteredCFDAs[All CFDAs]),),0)), "")</f>
        <v/>
      </c>
      <c r="D111" s="6" t="str">
        <f t="array" ref="D111">IFERROR(INDEX(MemberOrgsData[FEDERALPROGRAMNAME], MATCH(1, (SelectMemberOrgs = MemberOrgsData[Auditee Name])*(Table11[[#This Row],[Unique CFDA]] = MemberOrgsData[CFDA]), 0)), "")</f>
        <v/>
      </c>
      <c r="E111" s="25" t="str">
        <f t="array" ref="E111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11" s="26" t="str">
        <f t="array" ref="F111">IFERROR(INDEX(BudgetAppropData[President % Change], MATCH(1, (Table11[[#This Row],[Unique CFDA]] = BudgetAppropData[CFDA])*(SelectBudgetYear = BudgetAppropData[Fiscal Year]), 0)), "")</f>
        <v/>
      </c>
      <c r="G111" s="25" t="str">
        <f>IF(Table11[[#This Row],[Unique CFDA]] = "", "", IFERROR(Table11[[#This Row],[FY 2018 Total]]*Table11[[#This Row],[President % Change]], ""))</f>
        <v/>
      </c>
      <c r="H111" s="26" t="str">
        <f t="array" ref="H111">IFERROR(INDEX(BudgetAppropData[House % Change], MATCH(1, (Table11[[#This Row],[Unique CFDA]] = BudgetAppropData[CFDA])*(SelectBudgetYear = BudgetAppropData[Fiscal Year]),0)), "")</f>
        <v/>
      </c>
      <c r="I111" s="25" t="str">
        <f>IF(Table11[[#This Row],[Unique CFDA]] = "", "", IFERROR(Table11[[#This Row],[FY 2018 Total]]*Table11[[#This Row],[House % Change]], ""))</f>
        <v/>
      </c>
      <c r="J111" s="6"/>
      <c r="K111" s="25" t="str">
        <f>IF(Table11[[#This Row],[Unique CFDA]] = "", "", IFERROR(Table11[[#This Row],[FY 2018 Total]]*Table11[[#This Row],[Senate Budget]], ""))</f>
        <v/>
      </c>
      <c r="L111" s="6" t="str">
        <f>IF(Table11[[#This Row],[Unique CFDA]] = "", "", IF(ISNUMBER(Table11[[#This Row],[President $ Change]]), RANK(Table11[[#This Row],[President $ Change]], Table11[President $ Change])+COUNTIF($G111:G111, G111)-1,0))</f>
        <v/>
      </c>
      <c r="N111">
        <v>108</v>
      </c>
      <c r="O111" t="str">
        <f>IFERROR(INDEX(Table11[Unique CFDA], MATCH(N111, Table11[Pres. Sort], 0)), "")</f>
        <v/>
      </c>
      <c r="P111" s="1" t="str">
        <f>IFERROR(INDEX(Table11[Grant Name], MATCH(MemberOrgFinalSort[[#This Row],[CFDA]], Table11[Unique CFDA], 0)), "")</f>
        <v/>
      </c>
      <c r="Q111" s="20" t="str">
        <f>IFERROR(INDEX(Table11[FY 2018 Total], MATCH(MemberOrgFinalSort[[#This Row],[CFDA]], Table11[Unique CFDA], 0)), "")</f>
        <v/>
      </c>
      <c r="R111" s="21" t="str">
        <f>IFERROR(INDEX(Table11[President % Change], MATCH(MemberOrgFinalSort[[#This Row],[CFDA]], Table11[Unique CFDA], 0)), "")</f>
        <v/>
      </c>
      <c r="S111" s="20" t="str">
        <f>IFERROR(INDEX(Table11[President $ Change], MATCH(MemberOrgFinalSort[[#This Row],[CFDA]], Table11[Unique CFDA], 0)), "")</f>
        <v/>
      </c>
      <c r="T111" s="32" t="str">
        <f>IFERROR(INDEX(Table11[House % Change], MATCH(MemberOrgFinalSort[[#This Row],[CFDA]], Table11[Unique CFDA], 0)), "")</f>
        <v/>
      </c>
      <c r="U111" s="32" t="str">
        <f>IFERROR(INDEX(Table11[House $ Change], MATCH(MemberOrgFinalSort[[#This Row],[CFDA]], Table11[Unique CFDA], 0)), "")</f>
        <v/>
      </c>
      <c r="V111" s="20"/>
      <c r="X111" s="6"/>
      <c r="Y111" s="6"/>
      <c r="Z111" s="6"/>
      <c r="AA111" s="6"/>
      <c r="AB111" s="6"/>
    </row>
    <row r="112" spans="1:28" x14ac:dyDescent="0.25">
      <c r="A112" t="str">
        <f>IF(MemberOrgControl!$C115 = "", "", INDEX(MemberOrgsData[CFDA], MemberOrgControl!$C115))</f>
        <v/>
      </c>
      <c r="C112" s="6" t="str">
        <f>IFERROR(INDEX(AllFilteredCFDAs[All CFDAs], MATCH(0, INDEX(COUNTIF($C$3:C111, AllFilteredCFDAs[All CFDAs]),),0)), "")</f>
        <v/>
      </c>
      <c r="D112" s="6" t="str">
        <f t="array" ref="D112">IFERROR(INDEX(MemberOrgsData[FEDERALPROGRAMNAME], MATCH(1, (SelectMemberOrgs = MemberOrgsData[Auditee Name])*(Table11[[#This Row],[Unique CFDA]] = MemberOrgsData[CFDA]), 0)), "")</f>
        <v/>
      </c>
      <c r="E112" s="25" t="str">
        <f t="array" ref="E112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12" s="26" t="str">
        <f t="array" ref="F112">IFERROR(INDEX(BudgetAppropData[President % Change], MATCH(1, (Table11[[#This Row],[Unique CFDA]] = BudgetAppropData[CFDA])*(SelectBudgetYear = BudgetAppropData[Fiscal Year]), 0)), "")</f>
        <v/>
      </c>
      <c r="G112" s="25" t="str">
        <f>IF(Table11[[#This Row],[Unique CFDA]] = "", "", IFERROR(Table11[[#This Row],[FY 2018 Total]]*Table11[[#This Row],[President % Change]], ""))</f>
        <v/>
      </c>
      <c r="H112" s="26" t="str">
        <f t="array" ref="H112">IFERROR(INDEX(BudgetAppropData[House % Change], MATCH(1, (Table11[[#This Row],[Unique CFDA]] = BudgetAppropData[CFDA])*(SelectBudgetYear = BudgetAppropData[Fiscal Year]),0)), "")</f>
        <v/>
      </c>
      <c r="I112" s="25" t="str">
        <f>IF(Table11[[#This Row],[Unique CFDA]] = "", "", IFERROR(Table11[[#This Row],[FY 2018 Total]]*Table11[[#This Row],[House % Change]], ""))</f>
        <v/>
      </c>
      <c r="J112" s="6"/>
      <c r="K112" s="25" t="str">
        <f>IF(Table11[[#This Row],[Unique CFDA]] = "", "", IFERROR(Table11[[#This Row],[FY 2018 Total]]*Table11[[#This Row],[Senate Budget]], ""))</f>
        <v/>
      </c>
      <c r="L112" s="6" t="str">
        <f>IF(Table11[[#This Row],[Unique CFDA]] = "", "", IF(ISNUMBER(Table11[[#This Row],[President $ Change]]), RANK(Table11[[#This Row],[President $ Change]], Table11[President $ Change])+COUNTIF($G112:G112, G112)-1,0))</f>
        <v/>
      </c>
      <c r="N112">
        <v>109</v>
      </c>
      <c r="O112" t="str">
        <f>IFERROR(INDEX(Table11[Unique CFDA], MATCH(N112, Table11[Pres. Sort], 0)), "")</f>
        <v/>
      </c>
      <c r="P112" s="1" t="str">
        <f>IFERROR(INDEX(Table11[Grant Name], MATCH(MemberOrgFinalSort[[#This Row],[CFDA]], Table11[Unique CFDA], 0)), "")</f>
        <v/>
      </c>
      <c r="Q112" s="20" t="str">
        <f>IFERROR(INDEX(Table11[FY 2018 Total], MATCH(MemberOrgFinalSort[[#This Row],[CFDA]], Table11[Unique CFDA], 0)), "")</f>
        <v/>
      </c>
      <c r="R112" s="21" t="str">
        <f>IFERROR(INDEX(Table11[President % Change], MATCH(MemberOrgFinalSort[[#This Row],[CFDA]], Table11[Unique CFDA], 0)), "")</f>
        <v/>
      </c>
      <c r="S112" s="20" t="str">
        <f>IFERROR(INDEX(Table11[President $ Change], MATCH(MemberOrgFinalSort[[#This Row],[CFDA]], Table11[Unique CFDA], 0)), "")</f>
        <v/>
      </c>
      <c r="T112" s="32" t="str">
        <f>IFERROR(INDEX(Table11[House % Change], MATCH(MemberOrgFinalSort[[#This Row],[CFDA]], Table11[Unique CFDA], 0)), "")</f>
        <v/>
      </c>
      <c r="U112" s="32" t="str">
        <f>IFERROR(INDEX(Table11[House $ Change], MATCH(MemberOrgFinalSort[[#This Row],[CFDA]], Table11[Unique CFDA], 0)), "")</f>
        <v/>
      </c>
      <c r="V112" s="20"/>
      <c r="X112" s="6"/>
      <c r="Y112" s="6"/>
      <c r="Z112" s="6"/>
      <c r="AA112" s="6"/>
      <c r="AB112" s="6"/>
    </row>
    <row r="113" spans="1:28" x14ac:dyDescent="0.25">
      <c r="A113" t="str">
        <f>IF(MemberOrgControl!$C116 = "", "", INDEX(MemberOrgsData[CFDA], MemberOrgControl!$C116))</f>
        <v/>
      </c>
      <c r="C113" s="6" t="str">
        <f>IFERROR(INDEX(AllFilteredCFDAs[All CFDAs], MATCH(0, INDEX(COUNTIF($C$3:C112, AllFilteredCFDAs[All CFDAs]),),0)), "")</f>
        <v/>
      </c>
      <c r="D113" s="6" t="str">
        <f t="array" ref="D113">IFERROR(INDEX(MemberOrgsData[FEDERALPROGRAMNAME], MATCH(1, (SelectMemberOrgs = MemberOrgsData[Auditee Name])*(Table11[[#This Row],[Unique CFDA]] = MemberOrgsData[CFDA]), 0)), "")</f>
        <v/>
      </c>
      <c r="E113" s="25" t="str">
        <f t="array" ref="E113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13" s="26" t="str">
        <f t="array" ref="F113">IFERROR(INDEX(BudgetAppropData[President % Change], MATCH(1, (Table11[[#This Row],[Unique CFDA]] = BudgetAppropData[CFDA])*(SelectBudgetYear = BudgetAppropData[Fiscal Year]), 0)), "")</f>
        <v/>
      </c>
      <c r="G113" s="25" t="str">
        <f>IF(Table11[[#This Row],[Unique CFDA]] = "", "", IFERROR(Table11[[#This Row],[FY 2018 Total]]*Table11[[#This Row],[President % Change]], ""))</f>
        <v/>
      </c>
      <c r="H113" s="26" t="str">
        <f t="array" ref="H113">IFERROR(INDEX(BudgetAppropData[House % Change], MATCH(1, (Table11[[#This Row],[Unique CFDA]] = BudgetAppropData[CFDA])*(SelectBudgetYear = BudgetAppropData[Fiscal Year]),0)), "")</f>
        <v/>
      </c>
      <c r="I113" s="25" t="str">
        <f>IF(Table11[[#This Row],[Unique CFDA]] = "", "", IFERROR(Table11[[#This Row],[FY 2018 Total]]*Table11[[#This Row],[House % Change]], ""))</f>
        <v/>
      </c>
      <c r="J113" s="6"/>
      <c r="K113" s="25" t="str">
        <f>IF(Table11[[#This Row],[Unique CFDA]] = "", "", IFERROR(Table11[[#This Row],[FY 2018 Total]]*Table11[[#This Row],[Senate Budget]], ""))</f>
        <v/>
      </c>
      <c r="L113" s="6" t="str">
        <f>IF(Table11[[#This Row],[Unique CFDA]] = "", "", IF(ISNUMBER(Table11[[#This Row],[President $ Change]]), RANK(Table11[[#This Row],[President $ Change]], Table11[President $ Change])+COUNTIF($G113:G113, G113)-1,0))</f>
        <v/>
      </c>
      <c r="N113">
        <v>110</v>
      </c>
      <c r="O113" t="str">
        <f>IFERROR(INDEX(Table11[Unique CFDA], MATCH(N113, Table11[Pres. Sort], 0)), "")</f>
        <v/>
      </c>
      <c r="P113" s="1" t="str">
        <f>IFERROR(INDEX(Table11[Grant Name], MATCH(MemberOrgFinalSort[[#This Row],[CFDA]], Table11[Unique CFDA], 0)), "")</f>
        <v/>
      </c>
      <c r="Q113" s="20" t="str">
        <f>IFERROR(INDEX(Table11[FY 2018 Total], MATCH(MemberOrgFinalSort[[#This Row],[CFDA]], Table11[Unique CFDA], 0)), "")</f>
        <v/>
      </c>
      <c r="R113" s="21" t="str">
        <f>IFERROR(INDEX(Table11[President % Change], MATCH(MemberOrgFinalSort[[#This Row],[CFDA]], Table11[Unique CFDA], 0)), "")</f>
        <v/>
      </c>
      <c r="S113" s="20" t="str">
        <f>IFERROR(INDEX(Table11[President $ Change], MATCH(MemberOrgFinalSort[[#This Row],[CFDA]], Table11[Unique CFDA], 0)), "")</f>
        <v/>
      </c>
      <c r="T113" s="32" t="str">
        <f>IFERROR(INDEX(Table11[House % Change], MATCH(MemberOrgFinalSort[[#This Row],[CFDA]], Table11[Unique CFDA], 0)), "")</f>
        <v/>
      </c>
      <c r="U113" s="32" t="str">
        <f>IFERROR(INDEX(Table11[House $ Change], MATCH(MemberOrgFinalSort[[#This Row],[CFDA]], Table11[Unique CFDA], 0)), "")</f>
        <v/>
      </c>
      <c r="V113" s="20"/>
      <c r="X113" s="6"/>
      <c r="Y113" s="6"/>
      <c r="Z113" s="6"/>
      <c r="AA113" s="6"/>
      <c r="AB113" s="6"/>
    </row>
    <row r="114" spans="1:28" x14ac:dyDescent="0.25">
      <c r="A114" t="str">
        <f>IF(MemberOrgControl!$C117 = "", "", INDEX(MemberOrgsData[CFDA], MemberOrgControl!$C117))</f>
        <v/>
      </c>
      <c r="C114" s="6" t="str">
        <f>IFERROR(INDEX(AllFilteredCFDAs[All CFDAs], MATCH(0, INDEX(COUNTIF($C$3:C113, AllFilteredCFDAs[All CFDAs]),),0)), "")</f>
        <v/>
      </c>
      <c r="D114" s="6" t="str">
        <f t="array" ref="D114">IFERROR(INDEX(MemberOrgsData[FEDERALPROGRAMNAME], MATCH(1, (SelectMemberOrgs = MemberOrgsData[Auditee Name])*(Table11[[#This Row],[Unique CFDA]] = MemberOrgsData[CFDA]), 0)), "")</f>
        <v/>
      </c>
      <c r="E114" s="25" t="str">
        <f t="array" ref="E114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14" s="26" t="str">
        <f t="array" ref="F114">IFERROR(INDEX(BudgetAppropData[President % Change], MATCH(1, (Table11[[#This Row],[Unique CFDA]] = BudgetAppropData[CFDA])*(SelectBudgetYear = BudgetAppropData[Fiscal Year]), 0)), "")</f>
        <v/>
      </c>
      <c r="G114" s="25" t="str">
        <f>IF(Table11[[#This Row],[Unique CFDA]] = "", "", IFERROR(Table11[[#This Row],[FY 2018 Total]]*Table11[[#This Row],[President % Change]], ""))</f>
        <v/>
      </c>
      <c r="H114" s="26" t="str">
        <f t="array" ref="H114">IFERROR(INDEX(BudgetAppropData[House % Change], MATCH(1, (Table11[[#This Row],[Unique CFDA]] = BudgetAppropData[CFDA])*(SelectBudgetYear = BudgetAppropData[Fiscal Year]),0)), "")</f>
        <v/>
      </c>
      <c r="I114" s="25" t="str">
        <f>IF(Table11[[#This Row],[Unique CFDA]] = "", "", IFERROR(Table11[[#This Row],[FY 2018 Total]]*Table11[[#This Row],[House % Change]], ""))</f>
        <v/>
      </c>
      <c r="J114" s="6"/>
      <c r="K114" s="25" t="str">
        <f>IF(Table11[[#This Row],[Unique CFDA]] = "", "", IFERROR(Table11[[#This Row],[FY 2018 Total]]*Table11[[#This Row],[Senate Budget]], ""))</f>
        <v/>
      </c>
      <c r="L114" s="6" t="str">
        <f>IF(Table11[[#This Row],[Unique CFDA]] = "", "", IF(ISNUMBER(Table11[[#This Row],[President $ Change]]), RANK(Table11[[#This Row],[President $ Change]], Table11[President $ Change])+COUNTIF($G114:G114, G114)-1,0))</f>
        <v/>
      </c>
      <c r="N114">
        <v>111</v>
      </c>
      <c r="O114" t="str">
        <f>IFERROR(INDEX(Table11[Unique CFDA], MATCH(N114, Table11[Pres. Sort], 0)), "")</f>
        <v/>
      </c>
      <c r="P114" s="1" t="str">
        <f>IFERROR(INDEX(Table11[Grant Name], MATCH(MemberOrgFinalSort[[#This Row],[CFDA]], Table11[Unique CFDA], 0)), "")</f>
        <v/>
      </c>
      <c r="Q114" s="20" t="str">
        <f>IFERROR(INDEX(Table11[FY 2018 Total], MATCH(MemberOrgFinalSort[[#This Row],[CFDA]], Table11[Unique CFDA], 0)), "")</f>
        <v/>
      </c>
      <c r="R114" s="21" t="str">
        <f>IFERROR(INDEX(Table11[President % Change], MATCH(MemberOrgFinalSort[[#This Row],[CFDA]], Table11[Unique CFDA], 0)), "")</f>
        <v/>
      </c>
      <c r="S114" s="20" t="str">
        <f>IFERROR(INDEX(Table11[President $ Change], MATCH(MemberOrgFinalSort[[#This Row],[CFDA]], Table11[Unique CFDA], 0)), "")</f>
        <v/>
      </c>
      <c r="T114" s="32" t="str">
        <f>IFERROR(INDEX(Table11[House % Change], MATCH(MemberOrgFinalSort[[#This Row],[CFDA]], Table11[Unique CFDA], 0)), "")</f>
        <v/>
      </c>
      <c r="U114" s="32" t="str">
        <f>IFERROR(INDEX(Table11[House $ Change], MATCH(MemberOrgFinalSort[[#This Row],[CFDA]], Table11[Unique CFDA], 0)), "")</f>
        <v/>
      </c>
      <c r="V114" s="20"/>
      <c r="X114" s="6"/>
      <c r="Y114" s="6"/>
      <c r="Z114" s="6"/>
      <c r="AA114" s="6"/>
      <c r="AB114" s="6"/>
    </row>
    <row r="115" spans="1:28" x14ac:dyDescent="0.25">
      <c r="A115" t="str">
        <f>IF(MemberOrgControl!$C118 = "", "", INDEX(MemberOrgsData[CFDA], MemberOrgControl!$C118))</f>
        <v/>
      </c>
      <c r="C115" s="6" t="str">
        <f>IFERROR(INDEX(AllFilteredCFDAs[All CFDAs], MATCH(0, INDEX(COUNTIF($C$3:C114, AllFilteredCFDAs[All CFDAs]),),0)), "")</f>
        <v/>
      </c>
      <c r="D115" s="6" t="str">
        <f t="array" ref="D115">IFERROR(INDEX(MemberOrgsData[FEDERALPROGRAMNAME], MATCH(1, (SelectMemberOrgs = MemberOrgsData[Auditee Name])*(Table11[[#This Row],[Unique CFDA]] = MemberOrgsData[CFDA]), 0)), "")</f>
        <v/>
      </c>
      <c r="E115" s="25" t="str">
        <f t="array" ref="E115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15" s="26" t="str">
        <f t="array" ref="F115">IFERROR(INDEX(BudgetAppropData[President % Change], MATCH(1, (Table11[[#This Row],[Unique CFDA]] = BudgetAppropData[CFDA])*(SelectBudgetYear = BudgetAppropData[Fiscal Year]), 0)), "")</f>
        <v/>
      </c>
      <c r="G115" s="25" t="str">
        <f>IF(Table11[[#This Row],[Unique CFDA]] = "", "", IFERROR(Table11[[#This Row],[FY 2018 Total]]*Table11[[#This Row],[President % Change]], ""))</f>
        <v/>
      </c>
      <c r="H115" s="26" t="str">
        <f t="array" ref="H115">IFERROR(INDEX(BudgetAppropData[House % Change], MATCH(1, (Table11[[#This Row],[Unique CFDA]] = BudgetAppropData[CFDA])*(SelectBudgetYear = BudgetAppropData[Fiscal Year]),0)), "")</f>
        <v/>
      </c>
      <c r="I115" s="25" t="str">
        <f>IF(Table11[[#This Row],[Unique CFDA]] = "", "", IFERROR(Table11[[#This Row],[FY 2018 Total]]*Table11[[#This Row],[House % Change]], ""))</f>
        <v/>
      </c>
      <c r="J115" s="6"/>
      <c r="K115" s="25" t="str">
        <f>IF(Table11[[#This Row],[Unique CFDA]] = "", "", IFERROR(Table11[[#This Row],[FY 2018 Total]]*Table11[[#This Row],[Senate Budget]], ""))</f>
        <v/>
      </c>
      <c r="L115" s="6" t="str">
        <f>IF(Table11[[#This Row],[Unique CFDA]] = "", "", IF(ISNUMBER(Table11[[#This Row],[President $ Change]]), RANK(Table11[[#This Row],[President $ Change]], Table11[President $ Change])+COUNTIF($G115:G115, G115)-1,0))</f>
        <v/>
      </c>
      <c r="N115">
        <v>112</v>
      </c>
      <c r="O115" t="str">
        <f>IFERROR(INDEX(Table11[Unique CFDA], MATCH(N115, Table11[Pres. Sort], 0)), "")</f>
        <v/>
      </c>
      <c r="P115" s="1" t="str">
        <f>IFERROR(INDEX(Table11[Grant Name], MATCH(MemberOrgFinalSort[[#This Row],[CFDA]], Table11[Unique CFDA], 0)), "")</f>
        <v/>
      </c>
      <c r="Q115" s="20" t="str">
        <f>IFERROR(INDEX(Table11[FY 2018 Total], MATCH(MemberOrgFinalSort[[#This Row],[CFDA]], Table11[Unique CFDA], 0)), "")</f>
        <v/>
      </c>
      <c r="R115" s="21" t="str">
        <f>IFERROR(INDEX(Table11[President % Change], MATCH(MemberOrgFinalSort[[#This Row],[CFDA]], Table11[Unique CFDA], 0)), "")</f>
        <v/>
      </c>
      <c r="S115" s="20" t="str">
        <f>IFERROR(INDEX(Table11[President $ Change], MATCH(MemberOrgFinalSort[[#This Row],[CFDA]], Table11[Unique CFDA], 0)), "")</f>
        <v/>
      </c>
      <c r="T115" s="32" t="str">
        <f>IFERROR(INDEX(Table11[House % Change], MATCH(MemberOrgFinalSort[[#This Row],[CFDA]], Table11[Unique CFDA], 0)), "")</f>
        <v/>
      </c>
      <c r="U115" s="32" t="str">
        <f>IFERROR(INDEX(Table11[House $ Change], MATCH(MemberOrgFinalSort[[#This Row],[CFDA]], Table11[Unique CFDA], 0)), "")</f>
        <v/>
      </c>
      <c r="V115" s="20"/>
      <c r="X115" s="6"/>
      <c r="Y115" s="6"/>
      <c r="Z115" s="6"/>
      <c r="AA115" s="6"/>
      <c r="AB115" s="6"/>
    </row>
    <row r="116" spans="1:28" x14ac:dyDescent="0.25">
      <c r="A116" t="str">
        <f>IF(MemberOrgControl!$C119 = "", "", INDEX(MemberOrgsData[CFDA], MemberOrgControl!$C119))</f>
        <v/>
      </c>
      <c r="C116" s="6" t="str">
        <f>IFERROR(INDEX(AllFilteredCFDAs[All CFDAs], MATCH(0, INDEX(COUNTIF($C$3:C115, AllFilteredCFDAs[All CFDAs]),),0)), "")</f>
        <v/>
      </c>
      <c r="D116" s="6" t="str">
        <f t="array" ref="D116">IFERROR(INDEX(MemberOrgsData[FEDERALPROGRAMNAME], MATCH(1, (SelectMemberOrgs = MemberOrgsData[Auditee Name])*(Table11[[#This Row],[Unique CFDA]] = MemberOrgsData[CFDA]), 0)), "")</f>
        <v/>
      </c>
      <c r="E116" s="25" t="str">
        <f t="array" ref="E116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16" s="26" t="str">
        <f t="array" ref="F116">IFERROR(INDEX(BudgetAppropData[President % Change], MATCH(1, (Table11[[#This Row],[Unique CFDA]] = BudgetAppropData[CFDA])*(SelectBudgetYear = BudgetAppropData[Fiscal Year]), 0)), "")</f>
        <v/>
      </c>
      <c r="G116" s="25" t="str">
        <f>IF(Table11[[#This Row],[Unique CFDA]] = "", "", IFERROR(Table11[[#This Row],[FY 2018 Total]]*Table11[[#This Row],[President % Change]], ""))</f>
        <v/>
      </c>
      <c r="H116" s="26" t="str">
        <f t="array" ref="H116">IFERROR(INDEX(BudgetAppropData[House % Change], MATCH(1, (Table11[[#This Row],[Unique CFDA]] = BudgetAppropData[CFDA])*(SelectBudgetYear = BudgetAppropData[Fiscal Year]),0)), "")</f>
        <v/>
      </c>
      <c r="I116" s="25" t="str">
        <f>IF(Table11[[#This Row],[Unique CFDA]] = "", "", IFERROR(Table11[[#This Row],[FY 2018 Total]]*Table11[[#This Row],[House % Change]], ""))</f>
        <v/>
      </c>
      <c r="J116" s="6"/>
      <c r="K116" s="25" t="str">
        <f>IF(Table11[[#This Row],[Unique CFDA]] = "", "", IFERROR(Table11[[#This Row],[FY 2018 Total]]*Table11[[#This Row],[Senate Budget]], ""))</f>
        <v/>
      </c>
      <c r="L116" s="6" t="str">
        <f>IF(Table11[[#This Row],[Unique CFDA]] = "", "", IF(ISNUMBER(Table11[[#This Row],[President $ Change]]), RANK(Table11[[#This Row],[President $ Change]], Table11[President $ Change])+COUNTIF($G116:G116, G116)-1,0))</f>
        <v/>
      </c>
      <c r="N116">
        <v>113</v>
      </c>
      <c r="O116" t="str">
        <f>IFERROR(INDEX(Table11[Unique CFDA], MATCH(N116, Table11[Pres. Sort], 0)), "")</f>
        <v/>
      </c>
      <c r="P116" s="1" t="str">
        <f>IFERROR(INDEX(Table11[Grant Name], MATCH(MemberOrgFinalSort[[#This Row],[CFDA]], Table11[Unique CFDA], 0)), "")</f>
        <v/>
      </c>
      <c r="Q116" s="20" t="str">
        <f>IFERROR(INDEX(Table11[FY 2018 Total], MATCH(MemberOrgFinalSort[[#This Row],[CFDA]], Table11[Unique CFDA], 0)), "")</f>
        <v/>
      </c>
      <c r="R116" s="21" t="str">
        <f>IFERROR(INDEX(Table11[President % Change], MATCH(MemberOrgFinalSort[[#This Row],[CFDA]], Table11[Unique CFDA], 0)), "")</f>
        <v/>
      </c>
      <c r="S116" s="20" t="str">
        <f>IFERROR(INDEX(Table11[President $ Change], MATCH(MemberOrgFinalSort[[#This Row],[CFDA]], Table11[Unique CFDA], 0)), "")</f>
        <v/>
      </c>
      <c r="T116" s="32" t="str">
        <f>IFERROR(INDEX(Table11[House % Change], MATCH(MemberOrgFinalSort[[#This Row],[CFDA]], Table11[Unique CFDA], 0)), "")</f>
        <v/>
      </c>
      <c r="U116" s="32" t="str">
        <f>IFERROR(INDEX(Table11[House $ Change], MATCH(MemberOrgFinalSort[[#This Row],[CFDA]], Table11[Unique CFDA], 0)), "")</f>
        <v/>
      </c>
      <c r="V116" s="20"/>
      <c r="X116" s="6"/>
      <c r="Y116" s="6"/>
      <c r="Z116" s="6"/>
      <c r="AA116" s="6"/>
      <c r="AB116" s="6"/>
    </row>
    <row r="117" spans="1:28" x14ac:dyDescent="0.25">
      <c r="A117" t="str">
        <f>IF(MemberOrgControl!$C120 = "", "", INDEX(MemberOrgsData[CFDA], MemberOrgControl!$C120))</f>
        <v/>
      </c>
      <c r="C117" s="6" t="str">
        <f>IFERROR(INDEX(AllFilteredCFDAs[All CFDAs], MATCH(0, INDEX(COUNTIF($C$3:C116, AllFilteredCFDAs[All CFDAs]),),0)), "")</f>
        <v/>
      </c>
      <c r="D117" s="6" t="str">
        <f t="array" ref="D117">IFERROR(INDEX(MemberOrgsData[FEDERALPROGRAMNAME], MATCH(1, (SelectMemberOrgs = MemberOrgsData[Auditee Name])*(Table11[[#This Row],[Unique CFDA]] = MemberOrgsData[CFDA]), 0)), "")</f>
        <v/>
      </c>
      <c r="E117" s="25" t="str">
        <f t="array" ref="E117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17" s="26" t="str">
        <f t="array" ref="F117">IFERROR(INDEX(BudgetAppropData[President % Change], MATCH(1, (Table11[[#This Row],[Unique CFDA]] = BudgetAppropData[CFDA])*(SelectBudgetYear = BudgetAppropData[Fiscal Year]), 0)), "")</f>
        <v/>
      </c>
      <c r="G117" s="25" t="str">
        <f>IF(Table11[[#This Row],[Unique CFDA]] = "", "", IFERROR(Table11[[#This Row],[FY 2018 Total]]*Table11[[#This Row],[President % Change]], ""))</f>
        <v/>
      </c>
      <c r="H117" s="26" t="str">
        <f t="array" ref="H117">IFERROR(INDEX(BudgetAppropData[House % Change], MATCH(1, (Table11[[#This Row],[Unique CFDA]] = BudgetAppropData[CFDA])*(SelectBudgetYear = BudgetAppropData[Fiscal Year]),0)), "")</f>
        <v/>
      </c>
      <c r="I117" s="25" t="str">
        <f>IF(Table11[[#This Row],[Unique CFDA]] = "", "", IFERROR(Table11[[#This Row],[FY 2018 Total]]*Table11[[#This Row],[House % Change]], ""))</f>
        <v/>
      </c>
      <c r="J117" s="6"/>
      <c r="K117" s="25" t="str">
        <f>IF(Table11[[#This Row],[Unique CFDA]] = "", "", IFERROR(Table11[[#This Row],[FY 2018 Total]]*Table11[[#This Row],[Senate Budget]], ""))</f>
        <v/>
      </c>
      <c r="L117" s="6" t="str">
        <f>IF(Table11[[#This Row],[Unique CFDA]] = "", "", IF(ISNUMBER(Table11[[#This Row],[President $ Change]]), RANK(Table11[[#This Row],[President $ Change]], Table11[President $ Change])+COUNTIF($G117:G117, G117)-1,0))</f>
        <v/>
      </c>
      <c r="N117">
        <v>114</v>
      </c>
      <c r="O117" t="str">
        <f>IFERROR(INDEX(Table11[Unique CFDA], MATCH(N117, Table11[Pres. Sort], 0)), "")</f>
        <v/>
      </c>
      <c r="P117" s="1" t="str">
        <f>IFERROR(INDEX(Table11[Grant Name], MATCH(MemberOrgFinalSort[[#This Row],[CFDA]], Table11[Unique CFDA], 0)), "")</f>
        <v/>
      </c>
      <c r="Q117" s="20" t="str">
        <f>IFERROR(INDEX(Table11[FY 2018 Total], MATCH(MemberOrgFinalSort[[#This Row],[CFDA]], Table11[Unique CFDA], 0)), "")</f>
        <v/>
      </c>
      <c r="R117" s="21" t="str">
        <f>IFERROR(INDEX(Table11[President % Change], MATCH(MemberOrgFinalSort[[#This Row],[CFDA]], Table11[Unique CFDA], 0)), "")</f>
        <v/>
      </c>
      <c r="S117" s="20" t="str">
        <f>IFERROR(INDEX(Table11[President $ Change], MATCH(MemberOrgFinalSort[[#This Row],[CFDA]], Table11[Unique CFDA], 0)), "")</f>
        <v/>
      </c>
      <c r="T117" s="32" t="str">
        <f>IFERROR(INDEX(Table11[House % Change], MATCH(MemberOrgFinalSort[[#This Row],[CFDA]], Table11[Unique CFDA], 0)), "")</f>
        <v/>
      </c>
      <c r="U117" s="32" t="str">
        <f>IFERROR(INDEX(Table11[House $ Change], MATCH(MemberOrgFinalSort[[#This Row],[CFDA]], Table11[Unique CFDA], 0)), "")</f>
        <v/>
      </c>
      <c r="V117" s="20"/>
      <c r="X117" s="6"/>
      <c r="Y117" s="6"/>
      <c r="Z117" s="6"/>
      <c r="AA117" s="6"/>
      <c r="AB117" s="6"/>
    </row>
    <row r="118" spans="1:28" x14ac:dyDescent="0.25">
      <c r="A118" t="str">
        <f>IF(MemberOrgControl!$C121 = "", "", INDEX(MemberOrgsData[CFDA], MemberOrgControl!$C121))</f>
        <v/>
      </c>
      <c r="C118" s="6" t="str">
        <f>IFERROR(INDEX(AllFilteredCFDAs[All CFDAs], MATCH(0, INDEX(COUNTIF($C$3:C117, AllFilteredCFDAs[All CFDAs]),),0)), "")</f>
        <v/>
      </c>
      <c r="D118" s="6" t="str">
        <f t="array" ref="D118">IFERROR(INDEX(MemberOrgsData[FEDERALPROGRAMNAME], MATCH(1, (SelectMemberOrgs = MemberOrgsData[Auditee Name])*(Table11[[#This Row],[Unique CFDA]] = MemberOrgsData[CFDA]), 0)), "")</f>
        <v/>
      </c>
      <c r="E118" s="25" t="str">
        <f t="array" ref="E118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18" s="26" t="str">
        <f t="array" ref="F118">IFERROR(INDEX(BudgetAppropData[President % Change], MATCH(1, (Table11[[#This Row],[Unique CFDA]] = BudgetAppropData[CFDA])*(SelectBudgetYear = BudgetAppropData[Fiscal Year]), 0)), "")</f>
        <v/>
      </c>
      <c r="G118" s="25" t="str">
        <f>IF(Table11[[#This Row],[Unique CFDA]] = "", "", IFERROR(Table11[[#This Row],[FY 2018 Total]]*Table11[[#This Row],[President % Change]], ""))</f>
        <v/>
      </c>
      <c r="H118" s="26" t="str">
        <f t="array" ref="H118">IFERROR(INDEX(BudgetAppropData[House % Change], MATCH(1, (Table11[[#This Row],[Unique CFDA]] = BudgetAppropData[CFDA])*(SelectBudgetYear = BudgetAppropData[Fiscal Year]),0)), "")</f>
        <v/>
      </c>
      <c r="I118" s="25" t="str">
        <f>IF(Table11[[#This Row],[Unique CFDA]] = "", "", IFERROR(Table11[[#This Row],[FY 2018 Total]]*Table11[[#This Row],[House % Change]], ""))</f>
        <v/>
      </c>
      <c r="J118" s="6"/>
      <c r="K118" s="25" t="str">
        <f>IF(Table11[[#This Row],[Unique CFDA]] = "", "", IFERROR(Table11[[#This Row],[FY 2018 Total]]*Table11[[#This Row],[Senate Budget]], ""))</f>
        <v/>
      </c>
      <c r="L118" s="6" t="str">
        <f>IF(Table11[[#This Row],[Unique CFDA]] = "", "", IF(ISNUMBER(Table11[[#This Row],[President $ Change]]), RANK(Table11[[#This Row],[President $ Change]], Table11[President $ Change])+COUNTIF($G118:G118, G118)-1,0))</f>
        <v/>
      </c>
      <c r="N118">
        <v>115</v>
      </c>
      <c r="O118" t="str">
        <f>IFERROR(INDEX(Table11[Unique CFDA], MATCH(N118, Table11[Pres. Sort], 0)), "")</f>
        <v/>
      </c>
      <c r="P118" s="1" t="str">
        <f>IFERROR(INDEX(Table11[Grant Name], MATCH(MemberOrgFinalSort[[#This Row],[CFDA]], Table11[Unique CFDA], 0)), "")</f>
        <v/>
      </c>
      <c r="Q118" s="20" t="str">
        <f>IFERROR(INDEX(Table11[FY 2018 Total], MATCH(MemberOrgFinalSort[[#This Row],[CFDA]], Table11[Unique CFDA], 0)), "")</f>
        <v/>
      </c>
      <c r="R118" s="21" t="str">
        <f>IFERROR(INDEX(Table11[President % Change], MATCH(MemberOrgFinalSort[[#This Row],[CFDA]], Table11[Unique CFDA], 0)), "")</f>
        <v/>
      </c>
      <c r="S118" s="20" t="str">
        <f>IFERROR(INDEX(Table11[President $ Change], MATCH(MemberOrgFinalSort[[#This Row],[CFDA]], Table11[Unique CFDA], 0)), "")</f>
        <v/>
      </c>
      <c r="T118" s="32" t="str">
        <f>IFERROR(INDEX(Table11[House % Change], MATCH(MemberOrgFinalSort[[#This Row],[CFDA]], Table11[Unique CFDA], 0)), "")</f>
        <v/>
      </c>
      <c r="U118" s="32" t="str">
        <f>IFERROR(INDEX(Table11[House $ Change], MATCH(MemberOrgFinalSort[[#This Row],[CFDA]], Table11[Unique CFDA], 0)), "")</f>
        <v/>
      </c>
      <c r="V118" s="20"/>
      <c r="X118" s="6"/>
      <c r="Y118" s="6"/>
      <c r="Z118" s="6"/>
      <c r="AA118" s="6"/>
      <c r="AB118" s="6"/>
    </row>
    <row r="119" spans="1:28" x14ac:dyDescent="0.25">
      <c r="A119" t="str">
        <f>IF(MemberOrgControl!$C122 = "", "", INDEX(MemberOrgsData[CFDA], MemberOrgControl!$C122))</f>
        <v/>
      </c>
      <c r="C119" s="6" t="str">
        <f>IFERROR(INDEX(AllFilteredCFDAs[All CFDAs], MATCH(0, INDEX(COUNTIF($C$3:C118, AllFilteredCFDAs[All CFDAs]),),0)), "")</f>
        <v/>
      </c>
      <c r="D119" s="6" t="str">
        <f t="array" ref="D119">IFERROR(INDEX(MemberOrgsData[FEDERALPROGRAMNAME], MATCH(1, (SelectMemberOrgs = MemberOrgsData[Auditee Name])*(Table11[[#This Row],[Unique CFDA]] = MemberOrgsData[CFDA]), 0)), "")</f>
        <v/>
      </c>
      <c r="E119" s="25" t="str">
        <f t="array" ref="E119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19" s="26" t="str">
        <f t="array" ref="F119">IFERROR(INDEX(BudgetAppropData[President % Change], MATCH(1, (Table11[[#This Row],[Unique CFDA]] = BudgetAppropData[CFDA])*(SelectBudgetYear = BudgetAppropData[Fiscal Year]), 0)), "")</f>
        <v/>
      </c>
      <c r="G119" s="25" t="str">
        <f>IF(Table11[[#This Row],[Unique CFDA]] = "", "", IFERROR(Table11[[#This Row],[FY 2018 Total]]*Table11[[#This Row],[President % Change]], ""))</f>
        <v/>
      </c>
      <c r="H119" s="26" t="str">
        <f t="array" ref="H119">IFERROR(INDEX(BudgetAppropData[House % Change], MATCH(1, (Table11[[#This Row],[Unique CFDA]] = BudgetAppropData[CFDA])*(SelectBudgetYear = BudgetAppropData[Fiscal Year]),0)), "")</f>
        <v/>
      </c>
      <c r="I119" s="25" t="str">
        <f>IF(Table11[[#This Row],[Unique CFDA]] = "", "", IFERROR(Table11[[#This Row],[FY 2018 Total]]*Table11[[#This Row],[House % Change]], ""))</f>
        <v/>
      </c>
      <c r="J119" s="6"/>
      <c r="K119" s="25" t="str">
        <f>IF(Table11[[#This Row],[Unique CFDA]] = "", "", IFERROR(Table11[[#This Row],[FY 2018 Total]]*Table11[[#This Row],[Senate Budget]], ""))</f>
        <v/>
      </c>
      <c r="L119" s="6" t="str">
        <f>IF(Table11[[#This Row],[Unique CFDA]] = "", "", IF(ISNUMBER(Table11[[#This Row],[President $ Change]]), RANK(Table11[[#This Row],[President $ Change]], Table11[President $ Change])+COUNTIF($G119:G119, G119)-1,0))</f>
        <v/>
      </c>
      <c r="N119">
        <v>116</v>
      </c>
      <c r="O119" t="str">
        <f>IFERROR(INDEX(Table11[Unique CFDA], MATCH(N119, Table11[Pres. Sort], 0)), "")</f>
        <v/>
      </c>
      <c r="P119" s="1" t="str">
        <f>IFERROR(INDEX(Table11[Grant Name], MATCH(MemberOrgFinalSort[[#This Row],[CFDA]], Table11[Unique CFDA], 0)), "")</f>
        <v/>
      </c>
      <c r="Q119" s="20" t="str">
        <f>IFERROR(INDEX(Table11[FY 2018 Total], MATCH(MemberOrgFinalSort[[#This Row],[CFDA]], Table11[Unique CFDA], 0)), "")</f>
        <v/>
      </c>
      <c r="R119" s="21" t="str">
        <f>IFERROR(INDEX(Table11[President % Change], MATCH(MemberOrgFinalSort[[#This Row],[CFDA]], Table11[Unique CFDA], 0)), "")</f>
        <v/>
      </c>
      <c r="S119" s="20" t="str">
        <f>IFERROR(INDEX(Table11[President $ Change], MATCH(MemberOrgFinalSort[[#This Row],[CFDA]], Table11[Unique CFDA], 0)), "")</f>
        <v/>
      </c>
      <c r="T119" s="32" t="str">
        <f>IFERROR(INDEX(Table11[House % Change], MATCH(MemberOrgFinalSort[[#This Row],[CFDA]], Table11[Unique CFDA], 0)), "")</f>
        <v/>
      </c>
      <c r="U119" s="32" t="str">
        <f>IFERROR(INDEX(Table11[House $ Change], MATCH(MemberOrgFinalSort[[#This Row],[CFDA]], Table11[Unique CFDA], 0)), "")</f>
        <v/>
      </c>
      <c r="V119" s="20"/>
      <c r="X119" s="6"/>
      <c r="Y119" s="6"/>
      <c r="Z119" s="6"/>
      <c r="AA119" s="6"/>
      <c r="AB119" s="6"/>
    </row>
    <row r="120" spans="1:28" x14ac:dyDescent="0.25">
      <c r="A120" t="str">
        <f>IF(MemberOrgControl!$C123 = "", "", INDEX(MemberOrgsData[CFDA], MemberOrgControl!$C123))</f>
        <v/>
      </c>
      <c r="C120" s="6" t="str">
        <f>IFERROR(INDEX(AllFilteredCFDAs[All CFDAs], MATCH(0, INDEX(COUNTIF($C$3:C119, AllFilteredCFDAs[All CFDAs]),),0)), "")</f>
        <v/>
      </c>
      <c r="D120" s="6" t="str">
        <f t="array" ref="D120">IFERROR(INDEX(MemberOrgsData[FEDERALPROGRAMNAME], MATCH(1, (SelectMemberOrgs = MemberOrgsData[Auditee Name])*(Table11[[#This Row],[Unique CFDA]] = MemberOrgsData[CFDA]), 0)), "")</f>
        <v/>
      </c>
      <c r="E120" s="25" t="str">
        <f t="array" ref="E120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20" s="26" t="str">
        <f t="array" ref="F120">IFERROR(INDEX(BudgetAppropData[President % Change], MATCH(1, (Table11[[#This Row],[Unique CFDA]] = BudgetAppropData[CFDA])*(SelectBudgetYear = BudgetAppropData[Fiscal Year]), 0)), "")</f>
        <v/>
      </c>
      <c r="G120" s="25" t="str">
        <f>IF(Table11[[#This Row],[Unique CFDA]] = "", "", IFERROR(Table11[[#This Row],[FY 2018 Total]]*Table11[[#This Row],[President % Change]], ""))</f>
        <v/>
      </c>
      <c r="H120" s="26" t="str">
        <f t="array" ref="H120">IFERROR(INDEX(BudgetAppropData[House % Change], MATCH(1, (Table11[[#This Row],[Unique CFDA]] = BudgetAppropData[CFDA])*(SelectBudgetYear = BudgetAppropData[Fiscal Year]),0)), "")</f>
        <v/>
      </c>
      <c r="I120" s="25" t="str">
        <f>IF(Table11[[#This Row],[Unique CFDA]] = "", "", IFERROR(Table11[[#This Row],[FY 2018 Total]]*Table11[[#This Row],[House % Change]], ""))</f>
        <v/>
      </c>
      <c r="J120" s="6"/>
      <c r="K120" s="25" t="str">
        <f>IF(Table11[[#This Row],[Unique CFDA]] = "", "", IFERROR(Table11[[#This Row],[FY 2018 Total]]*Table11[[#This Row],[Senate Budget]], ""))</f>
        <v/>
      </c>
      <c r="L120" s="6" t="str">
        <f>IF(Table11[[#This Row],[Unique CFDA]] = "", "", IF(ISNUMBER(Table11[[#This Row],[President $ Change]]), RANK(Table11[[#This Row],[President $ Change]], Table11[President $ Change])+COUNTIF($G120:G120, G120)-1,0))</f>
        <v/>
      </c>
      <c r="N120">
        <v>117</v>
      </c>
      <c r="O120" t="str">
        <f>IFERROR(INDEX(Table11[Unique CFDA], MATCH(N120, Table11[Pres. Sort], 0)), "")</f>
        <v/>
      </c>
      <c r="P120" s="1" t="str">
        <f>IFERROR(INDEX(Table11[Grant Name], MATCH(MemberOrgFinalSort[[#This Row],[CFDA]], Table11[Unique CFDA], 0)), "")</f>
        <v/>
      </c>
      <c r="Q120" s="20" t="str">
        <f>IFERROR(INDEX(Table11[FY 2018 Total], MATCH(MemberOrgFinalSort[[#This Row],[CFDA]], Table11[Unique CFDA], 0)), "")</f>
        <v/>
      </c>
      <c r="R120" s="21" t="str">
        <f>IFERROR(INDEX(Table11[President % Change], MATCH(MemberOrgFinalSort[[#This Row],[CFDA]], Table11[Unique CFDA], 0)), "")</f>
        <v/>
      </c>
      <c r="S120" s="20" t="str">
        <f>IFERROR(INDEX(Table11[President $ Change], MATCH(MemberOrgFinalSort[[#This Row],[CFDA]], Table11[Unique CFDA], 0)), "")</f>
        <v/>
      </c>
      <c r="T120" s="32" t="str">
        <f>IFERROR(INDEX(Table11[House % Change], MATCH(MemberOrgFinalSort[[#This Row],[CFDA]], Table11[Unique CFDA], 0)), "")</f>
        <v/>
      </c>
      <c r="U120" s="32" t="str">
        <f>IFERROR(INDEX(Table11[House $ Change], MATCH(MemberOrgFinalSort[[#This Row],[CFDA]], Table11[Unique CFDA], 0)), "")</f>
        <v/>
      </c>
      <c r="V120" s="20"/>
      <c r="X120" s="6"/>
      <c r="Y120" s="6"/>
      <c r="Z120" s="6"/>
      <c r="AA120" s="6"/>
      <c r="AB120" s="6"/>
    </row>
    <row r="121" spans="1:28" x14ac:dyDescent="0.25">
      <c r="A121" t="str">
        <f>IF(MemberOrgControl!$C124 = "", "", INDEX(MemberOrgsData[CFDA], MemberOrgControl!$C124))</f>
        <v/>
      </c>
      <c r="C121" s="6" t="str">
        <f>IFERROR(INDEX(AllFilteredCFDAs[All CFDAs], MATCH(0, INDEX(COUNTIF($C$3:C120, AllFilteredCFDAs[All CFDAs]),),0)), "")</f>
        <v/>
      </c>
      <c r="D121" s="6" t="str">
        <f t="array" ref="D121">IFERROR(INDEX(MemberOrgsData[FEDERALPROGRAMNAME], MATCH(1, (SelectMemberOrgs = MemberOrgsData[Auditee Name])*(Table11[[#This Row],[Unique CFDA]] = MemberOrgsData[CFDA]), 0)), "")</f>
        <v/>
      </c>
      <c r="E121" s="25" t="str">
        <f t="array" ref="E121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21" s="26" t="str">
        <f t="array" ref="F121">IFERROR(INDEX(BudgetAppropData[President % Change], MATCH(1, (Table11[[#This Row],[Unique CFDA]] = BudgetAppropData[CFDA])*(SelectBudgetYear = BudgetAppropData[Fiscal Year]), 0)), "")</f>
        <v/>
      </c>
      <c r="G121" s="25" t="str">
        <f>IF(Table11[[#This Row],[Unique CFDA]] = "", "", IFERROR(Table11[[#This Row],[FY 2018 Total]]*Table11[[#This Row],[President % Change]], ""))</f>
        <v/>
      </c>
      <c r="H121" s="26" t="str">
        <f t="array" ref="H121">IFERROR(INDEX(BudgetAppropData[House % Change], MATCH(1, (Table11[[#This Row],[Unique CFDA]] = BudgetAppropData[CFDA])*(SelectBudgetYear = BudgetAppropData[Fiscal Year]),0)), "")</f>
        <v/>
      </c>
      <c r="I121" s="25" t="str">
        <f>IF(Table11[[#This Row],[Unique CFDA]] = "", "", IFERROR(Table11[[#This Row],[FY 2018 Total]]*Table11[[#This Row],[House % Change]], ""))</f>
        <v/>
      </c>
      <c r="J121" s="6"/>
      <c r="K121" s="25" t="str">
        <f>IF(Table11[[#This Row],[Unique CFDA]] = "", "", IFERROR(Table11[[#This Row],[FY 2018 Total]]*Table11[[#This Row],[Senate Budget]], ""))</f>
        <v/>
      </c>
      <c r="L121" s="6" t="str">
        <f>IF(Table11[[#This Row],[Unique CFDA]] = "", "", IF(ISNUMBER(Table11[[#This Row],[President $ Change]]), RANK(Table11[[#This Row],[President $ Change]], Table11[President $ Change])+COUNTIF($G121:G121, G121)-1,0))</f>
        <v/>
      </c>
      <c r="N121">
        <v>118</v>
      </c>
      <c r="O121" t="str">
        <f>IFERROR(INDEX(Table11[Unique CFDA], MATCH(N121, Table11[Pres. Sort], 0)), "")</f>
        <v/>
      </c>
      <c r="P121" s="1" t="str">
        <f>IFERROR(INDEX(Table11[Grant Name], MATCH(MemberOrgFinalSort[[#This Row],[CFDA]], Table11[Unique CFDA], 0)), "")</f>
        <v/>
      </c>
      <c r="Q121" s="20" t="str">
        <f>IFERROR(INDEX(Table11[FY 2018 Total], MATCH(MemberOrgFinalSort[[#This Row],[CFDA]], Table11[Unique CFDA], 0)), "")</f>
        <v/>
      </c>
      <c r="R121" s="21" t="str">
        <f>IFERROR(INDEX(Table11[President % Change], MATCH(MemberOrgFinalSort[[#This Row],[CFDA]], Table11[Unique CFDA], 0)), "")</f>
        <v/>
      </c>
      <c r="S121" s="20" t="str">
        <f>IFERROR(INDEX(Table11[President $ Change], MATCH(MemberOrgFinalSort[[#This Row],[CFDA]], Table11[Unique CFDA], 0)), "")</f>
        <v/>
      </c>
      <c r="T121" s="32" t="str">
        <f>IFERROR(INDEX(Table11[House % Change], MATCH(MemberOrgFinalSort[[#This Row],[CFDA]], Table11[Unique CFDA], 0)), "")</f>
        <v/>
      </c>
      <c r="U121" s="32" t="str">
        <f>IFERROR(INDEX(Table11[House $ Change], MATCH(MemberOrgFinalSort[[#This Row],[CFDA]], Table11[Unique CFDA], 0)), "")</f>
        <v/>
      </c>
      <c r="V121" s="20"/>
      <c r="X121" s="6"/>
      <c r="Y121" s="6"/>
      <c r="Z121" s="6"/>
      <c r="AA121" s="6"/>
      <c r="AB121" s="6"/>
    </row>
    <row r="122" spans="1:28" x14ac:dyDescent="0.25">
      <c r="A122" t="str">
        <f>IF(MemberOrgControl!$C125 = "", "", INDEX(MemberOrgsData[CFDA], MemberOrgControl!$C125))</f>
        <v/>
      </c>
      <c r="C122" s="6" t="str">
        <f>IFERROR(INDEX(AllFilteredCFDAs[All CFDAs], MATCH(0, INDEX(COUNTIF($C$3:C121, AllFilteredCFDAs[All CFDAs]),),0)), "")</f>
        <v/>
      </c>
      <c r="D122" s="6" t="str">
        <f t="array" ref="D122">IFERROR(INDEX(MemberOrgsData[FEDERALPROGRAMNAME], MATCH(1, (SelectMemberOrgs = MemberOrgsData[Auditee Name])*(Table11[[#This Row],[Unique CFDA]] = MemberOrgsData[CFDA]), 0)), "")</f>
        <v/>
      </c>
      <c r="E122" s="25" t="str">
        <f t="array" ref="E122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22" s="26" t="str">
        <f t="array" ref="F122">IFERROR(INDEX(BudgetAppropData[President % Change], MATCH(1, (Table11[[#This Row],[Unique CFDA]] = BudgetAppropData[CFDA])*(SelectBudgetYear = BudgetAppropData[Fiscal Year]), 0)), "")</f>
        <v/>
      </c>
      <c r="G122" s="25" t="str">
        <f>IF(Table11[[#This Row],[Unique CFDA]] = "", "", IFERROR(Table11[[#This Row],[FY 2018 Total]]*Table11[[#This Row],[President % Change]], ""))</f>
        <v/>
      </c>
      <c r="H122" s="26" t="str">
        <f t="array" ref="H122">IFERROR(INDEX(BudgetAppropData[House % Change], MATCH(1, (Table11[[#This Row],[Unique CFDA]] = BudgetAppropData[CFDA])*(SelectBudgetYear = BudgetAppropData[Fiscal Year]),0)), "")</f>
        <v/>
      </c>
      <c r="I122" s="25" t="str">
        <f>IF(Table11[[#This Row],[Unique CFDA]] = "", "", IFERROR(Table11[[#This Row],[FY 2018 Total]]*Table11[[#This Row],[House % Change]], ""))</f>
        <v/>
      </c>
      <c r="J122" s="6"/>
      <c r="K122" s="25" t="str">
        <f>IF(Table11[[#This Row],[Unique CFDA]] = "", "", IFERROR(Table11[[#This Row],[FY 2018 Total]]*Table11[[#This Row],[Senate Budget]], ""))</f>
        <v/>
      </c>
      <c r="L122" s="6" t="str">
        <f>IF(Table11[[#This Row],[Unique CFDA]] = "", "", IF(ISNUMBER(Table11[[#This Row],[President $ Change]]), RANK(Table11[[#This Row],[President $ Change]], Table11[President $ Change])+COUNTIF($G122:G122, G122)-1,0))</f>
        <v/>
      </c>
      <c r="N122">
        <v>119</v>
      </c>
      <c r="O122" t="str">
        <f>IFERROR(INDEX(Table11[Unique CFDA], MATCH(N122, Table11[Pres. Sort], 0)), "")</f>
        <v/>
      </c>
      <c r="P122" s="1" t="str">
        <f>IFERROR(INDEX(Table11[Grant Name], MATCH(MemberOrgFinalSort[[#This Row],[CFDA]], Table11[Unique CFDA], 0)), "")</f>
        <v/>
      </c>
      <c r="Q122" s="20" t="str">
        <f>IFERROR(INDEX(Table11[FY 2018 Total], MATCH(MemberOrgFinalSort[[#This Row],[CFDA]], Table11[Unique CFDA], 0)), "")</f>
        <v/>
      </c>
      <c r="R122" s="21" t="str">
        <f>IFERROR(INDEX(Table11[President % Change], MATCH(MemberOrgFinalSort[[#This Row],[CFDA]], Table11[Unique CFDA], 0)), "")</f>
        <v/>
      </c>
      <c r="S122" s="20" t="str">
        <f>IFERROR(INDEX(Table11[President $ Change], MATCH(MemberOrgFinalSort[[#This Row],[CFDA]], Table11[Unique CFDA], 0)), "")</f>
        <v/>
      </c>
      <c r="T122" s="32" t="str">
        <f>IFERROR(INDEX(Table11[House % Change], MATCH(MemberOrgFinalSort[[#This Row],[CFDA]], Table11[Unique CFDA], 0)), "")</f>
        <v/>
      </c>
      <c r="U122" s="32" t="str">
        <f>IFERROR(INDEX(Table11[House $ Change], MATCH(MemberOrgFinalSort[[#This Row],[CFDA]], Table11[Unique CFDA], 0)), "")</f>
        <v/>
      </c>
      <c r="V122" s="20"/>
      <c r="X122" s="6"/>
      <c r="Y122" s="6"/>
      <c r="Z122" s="6"/>
      <c r="AA122" s="6"/>
      <c r="AB122" s="6"/>
    </row>
    <row r="123" spans="1:28" x14ac:dyDescent="0.25">
      <c r="A123" t="str">
        <f>IF(MemberOrgControl!$C126 = "", "", INDEX(MemberOrgsData[CFDA], MemberOrgControl!$C126))</f>
        <v/>
      </c>
      <c r="C123" s="6" t="str">
        <f>IFERROR(INDEX(AllFilteredCFDAs[All CFDAs], MATCH(0, INDEX(COUNTIF($C$3:C122, AllFilteredCFDAs[All CFDAs]),),0)), "")</f>
        <v/>
      </c>
      <c r="D123" s="6" t="str">
        <f t="array" ref="D123">IFERROR(INDEX(MemberOrgsData[FEDERALPROGRAMNAME], MATCH(1, (SelectMemberOrgs = MemberOrgsData[Auditee Name])*(Table11[[#This Row],[Unique CFDA]] = MemberOrgsData[CFDA]), 0)), "")</f>
        <v/>
      </c>
      <c r="E123" s="25" t="str">
        <f t="array" ref="E123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23" s="26" t="str">
        <f t="array" ref="F123">IFERROR(INDEX(BudgetAppropData[President % Change], MATCH(1, (Table11[[#This Row],[Unique CFDA]] = BudgetAppropData[CFDA])*(SelectBudgetYear = BudgetAppropData[Fiscal Year]), 0)), "")</f>
        <v/>
      </c>
      <c r="G123" s="25" t="str">
        <f>IF(Table11[[#This Row],[Unique CFDA]] = "", "", IFERROR(Table11[[#This Row],[FY 2018 Total]]*Table11[[#This Row],[President % Change]], ""))</f>
        <v/>
      </c>
      <c r="H123" s="26" t="str">
        <f t="array" ref="H123">IFERROR(INDEX(BudgetAppropData[House % Change], MATCH(1, (Table11[[#This Row],[Unique CFDA]] = BudgetAppropData[CFDA])*(SelectBudgetYear = BudgetAppropData[Fiscal Year]),0)), "")</f>
        <v/>
      </c>
      <c r="I123" s="25" t="str">
        <f>IF(Table11[[#This Row],[Unique CFDA]] = "", "", IFERROR(Table11[[#This Row],[FY 2018 Total]]*Table11[[#This Row],[House % Change]], ""))</f>
        <v/>
      </c>
      <c r="J123" s="6"/>
      <c r="K123" s="25" t="str">
        <f>IF(Table11[[#This Row],[Unique CFDA]] = "", "", IFERROR(Table11[[#This Row],[FY 2018 Total]]*Table11[[#This Row],[Senate Budget]], ""))</f>
        <v/>
      </c>
      <c r="L123" s="6" t="str">
        <f>IF(Table11[[#This Row],[Unique CFDA]] = "", "", IF(ISNUMBER(Table11[[#This Row],[President $ Change]]), RANK(Table11[[#This Row],[President $ Change]], Table11[President $ Change])+COUNTIF($G123:G123, G123)-1,0))</f>
        <v/>
      </c>
      <c r="N123">
        <v>120</v>
      </c>
      <c r="O123" t="str">
        <f>IFERROR(INDEX(Table11[Unique CFDA], MATCH(N123, Table11[Pres. Sort], 0)), "")</f>
        <v/>
      </c>
      <c r="P123" s="1" t="str">
        <f>IFERROR(INDEX(Table11[Grant Name], MATCH(MemberOrgFinalSort[[#This Row],[CFDA]], Table11[Unique CFDA], 0)), "")</f>
        <v/>
      </c>
      <c r="Q123" s="20" t="str">
        <f>IFERROR(INDEX(Table11[FY 2018 Total], MATCH(MemberOrgFinalSort[[#This Row],[CFDA]], Table11[Unique CFDA], 0)), "")</f>
        <v/>
      </c>
      <c r="R123" s="21" t="str">
        <f>IFERROR(INDEX(Table11[President % Change], MATCH(MemberOrgFinalSort[[#This Row],[CFDA]], Table11[Unique CFDA], 0)), "")</f>
        <v/>
      </c>
      <c r="S123" s="20" t="str">
        <f>IFERROR(INDEX(Table11[President $ Change], MATCH(MemberOrgFinalSort[[#This Row],[CFDA]], Table11[Unique CFDA], 0)), "")</f>
        <v/>
      </c>
      <c r="T123" s="32" t="str">
        <f>IFERROR(INDEX(Table11[House % Change], MATCH(MemberOrgFinalSort[[#This Row],[CFDA]], Table11[Unique CFDA], 0)), "")</f>
        <v/>
      </c>
      <c r="U123" s="32" t="str">
        <f>IFERROR(INDEX(Table11[House $ Change], MATCH(MemberOrgFinalSort[[#This Row],[CFDA]], Table11[Unique CFDA], 0)), "")</f>
        <v/>
      </c>
      <c r="V123" s="20"/>
      <c r="X123" s="6"/>
      <c r="Y123" s="6"/>
      <c r="Z123" s="6"/>
      <c r="AA123" s="6"/>
      <c r="AB123" s="6"/>
    </row>
    <row r="124" spans="1:28" x14ac:dyDescent="0.25">
      <c r="A124" t="str">
        <f>IF(MemberOrgControl!$C127 = "", "", INDEX(MemberOrgsData[CFDA], MemberOrgControl!$C127))</f>
        <v/>
      </c>
      <c r="C124" s="6" t="str">
        <f>IFERROR(INDEX(AllFilteredCFDAs[All CFDAs], MATCH(0, INDEX(COUNTIF($C$3:C123, AllFilteredCFDAs[All CFDAs]),),0)), "")</f>
        <v/>
      </c>
      <c r="D124" s="6" t="str">
        <f t="array" ref="D124">IFERROR(INDEX(MemberOrgsData[FEDERALPROGRAMNAME], MATCH(1, (SelectMemberOrgs = MemberOrgsData[Auditee Name])*(Table11[[#This Row],[Unique CFDA]] = MemberOrgsData[CFDA]), 0)), "")</f>
        <v/>
      </c>
      <c r="E124" s="25" t="str">
        <f t="array" ref="E124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24" s="26" t="str">
        <f t="array" ref="F124">IFERROR(INDEX(BudgetAppropData[President % Change], MATCH(1, (Table11[[#This Row],[Unique CFDA]] = BudgetAppropData[CFDA])*(SelectBudgetYear = BudgetAppropData[Fiscal Year]), 0)), "")</f>
        <v/>
      </c>
      <c r="G124" s="25" t="str">
        <f>IF(Table11[[#This Row],[Unique CFDA]] = "", "", IFERROR(Table11[[#This Row],[FY 2018 Total]]*Table11[[#This Row],[President % Change]], ""))</f>
        <v/>
      </c>
      <c r="H124" s="26" t="str">
        <f t="array" ref="H124">IFERROR(INDEX(BudgetAppropData[House % Change], MATCH(1, (Table11[[#This Row],[Unique CFDA]] = BudgetAppropData[CFDA])*(SelectBudgetYear = BudgetAppropData[Fiscal Year]),0)), "")</f>
        <v/>
      </c>
      <c r="I124" s="25" t="str">
        <f>IF(Table11[[#This Row],[Unique CFDA]] = "", "", IFERROR(Table11[[#This Row],[FY 2018 Total]]*Table11[[#This Row],[House % Change]], ""))</f>
        <v/>
      </c>
      <c r="J124" s="6"/>
      <c r="K124" s="25" t="str">
        <f>IF(Table11[[#This Row],[Unique CFDA]] = "", "", IFERROR(Table11[[#This Row],[FY 2018 Total]]*Table11[[#This Row],[Senate Budget]], ""))</f>
        <v/>
      </c>
      <c r="L124" s="6" t="str">
        <f>IF(Table11[[#This Row],[Unique CFDA]] = "", "", IF(ISNUMBER(Table11[[#This Row],[President $ Change]]), RANK(Table11[[#This Row],[President $ Change]], Table11[President $ Change])+COUNTIF($G124:G124, G124)-1,0))</f>
        <v/>
      </c>
      <c r="N124">
        <v>121</v>
      </c>
      <c r="O124" t="str">
        <f>IFERROR(INDEX(Table11[Unique CFDA], MATCH(N124, Table11[Pres. Sort], 0)), "")</f>
        <v/>
      </c>
      <c r="P124" s="1" t="str">
        <f>IFERROR(INDEX(Table11[Grant Name], MATCH(MemberOrgFinalSort[[#This Row],[CFDA]], Table11[Unique CFDA], 0)), "")</f>
        <v/>
      </c>
      <c r="Q124" s="20" t="str">
        <f>IFERROR(INDEX(Table11[FY 2018 Total], MATCH(MemberOrgFinalSort[[#This Row],[CFDA]], Table11[Unique CFDA], 0)), "")</f>
        <v/>
      </c>
      <c r="R124" s="21" t="str">
        <f>IFERROR(INDEX(Table11[President % Change], MATCH(MemberOrgFinalSort[[#This Row],[CFDA]], Table11[Unique CFDA], 0)), "")</f>
        <v/>
      </c>
      <c r="S124" s="20" t="str">
        <f>IFERROR(INDEX(Table11[President $ Change], MATCH(MemberOrgFinalSort[[#This Row],[CFDA]], Table11[Unique CFDA], 0)), "")</f>
        <v/>
      </c>
      <c r="T124" s="32" t="str">
        <f>IFERROR(INDEX(Table11[House % Change], MATCH(MemberOrgFinalSort[[#This Row],[CFDA]], Table11[Unique CFDA], 0)), "")</f>
        <v/>
      </c>
      <c r="U124" s="32" t="str">
        <f>IFERROR(INDEX(Table11[House $ Change], MATCH(MemberOrgFinalSort[[#This Row],[CFDA]], Table11[Unique CFDA], 0)), "")</f>
        <v/>
      </c>
      <c r="V124" s="20"/>
      <c r="X124" s="6"/>
      <c r="Y124" s="6"/>
      <c r="Z124" s="6"/>
      <c r="AA124" s="6"/>
      <c r="AB124" s="6"/>
    </row>
    <row r="125" spans="1:28" x14ac:dyDescent="0.25">
      <c r="A125" t="str">
        <f>IF(MemberOrgControl!$C128 = "", "", INDEX(MemberOrgsData[CFDA], MemberOrgControl!$C128))</f>
        <v/>
      </c>
      <c r="C125" s="6" t="str">
        <f>IFERROR(INDEX(AllFilteredCFDAs[All CFDAs], MATCH(0, INDEX(COUNTIF($C$3:C124, AllFilteredCFDAs[All CFDAs]),),0)), "")</f>
        <v/>
      </c>
      <c r="D125" s="6" t="str">
        <f t="array" ref="D125">IFERROR(INDEX(MemberOrgsData[FEDERALPROGRAMNAME], MATCH(1, (SelectMemberOrgs = MemberOrgsData[Auditee Name])*(Table11[[#This Row],[Unique CFDA]] = MemberOrgsData[CFDA]), 0)), "")</f>
        <v/>
      </c>
      <c r="E125" s="25" t="str">
        <f t="array" ref="E125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25" s="26" t="str">
        <f t="array" ref="F125">IFERROR(INDEX(BudgetAppropData[President % Change], MATCH(1, (Table11[[#This Row],[Unique CFDA]] = BudgetAppropData[CFDA])*(SelectBudgetYear = BudgetAppropData[Fiscal Year]), 0)), "")</f>
        <v/>
      </c>
      <c r="G125" s="25" t="str">
        <f>IF(Table11[[#This Row],[Unique CFDA]] = "", "", IFERROR(Table11[[#This Row],[FY 2018 Total]]*Table11[[#This Row],[President % Change]], ""))</f>
        <v/>
      </c>
      <c r="H125" s="26" t="str">
        <f t="array" ref="H125">IFERROR(INDEX(BudgetAppropData[House % Change], MATCH(1, (Table11[[#This Row],[Unique CFDA]] = BudgetAppropData[CFDA])*(SelectBudgetYear = BudgetAppropData[Fiscal Year]),0)), "")</f>
        <v/>
      </c>
      <c r="I125" s="25" t="str">
        <f>IF(Table11[[#This Row],[Unique CFDA]] = "", "", IFERROR(Table11[[#This Row],[FY 2018 Total]]*Table11[[#This Row],[House % Change]], ""))</f>
        <v/>
      </c>
      <c r="J125" s="6"/>
      <c r="K125" s="25" t="str">
        <f>IF(Table11[[#This Row],[Unique CFDA]] = "", "", IFERROR(Table11[[#This Row],[FY 2018 Total]]*Table11[[#This Row],[Senate Budget]], ""))</f>
        <v/>
      </c>
      <c r="L125" s="6" t="str">
        <f>IF(Table11[[#This Row],[Unique CFDA]] = "", "", IF(ISNUMBER(Table11[[#This Row],[President $ Change]]), RANK(Table11[[#This Row],[President $ Change]], Table11[President $ Change])+COUNTIF($G125:G125, G125)-1,0))</f>
        <v/>
      </c>
      <c r="N125">
        <v>122</v>
      </c>
      <c r="O125" t="str">
        <f>IFERROR(INDEX(Table11[Unique CFDA], MATCH(N125, Table11[Pres. Sort], 0)), "")</f>
        <v/>
      </c>
      <c r="P125" s="1" t="str">
        <f>IFERROR(INDEX(Table11[Grant Name], MATCH(MemberOrgFinalSort[[#This Row],[CFDA]], Table11[Unique CFDA], 0)), "")</f>
        <v/>
      </c>
      <c r="Q125" s="20" t="str">
        <f>IFERROR(INDEX(Table11[FY 2018 Total], MATCH(MemberOrgFinalSort[[#This Row],[CFDA]], Table11[Unique CFDA], 0)), "")</f>
        <v/>
      </c>
      <c r="R125" s="21" t="str">
        <f>IFERROR(INDEX(Table11[President % Change], MATCH(MemberOrgFinalSort[[#This Row],[CFDA]], Table11[Unique CFDA], 0)), "")</f>
        <v/>
      </c>
      <c r="S125" s="20" t="str">
        <f>IFERROR(INDEX(Table11[President $ Change], MATCH(MemberOrgFinalSort[[#This Row],[CFDA]], Table11[Unique CFDA], 0)), "")</f>
        <v/>
      </c>
      <c r="T125" s="32" t="str">
        <f>IFERROR(INDEX(Table11[House % Change], MATCH(MemberOrgFinalSort[[#This Row],[CFDA]], Table11[Unique CFDA], 0)), "")</f>
        <v/>
      </c>
      <c r="U125" s="32" t="str">
        <f>IFERROR(INDEX(Table11[House $ Change], MATCH(MemberOrgFinalSort[[#This Row],[CFDA]], Table11[Unique CFDA], 0)), "")</f>
        <v/>
      </c>
      <c r="V125" s="20"/>
      <c r="X125" s="6"/>
      <c r="Y125" s="6"/>
      <c r="Z125" s="6"/>
      <c r="AA125" s="6"/>
      <c r="AB125" s="6"/>
    </row>
    <row r="126" spans="1:28" x14ac:dyDescent="0.25">
      <c r="A126" t="str">
        <f>IF(MemberOrgControl!$C129 = "", "", INDEX(MemberOrgsData[CFDA], MemberOrgControl!$C129))</f>
        <v/>
      </c>
      <c r="C126" s="6" t="str">
        <f>IFERROR(INDEX(AllFilteredCFDAs[All CFDAs], MATCH(0, INDEX(COUNTIF($C$3:C125, AllFilteredCFDAs[All CFDAs]),),0)), "")</f>
        <v/>
      </c>
      <c r="D126" s="6" t="str">
        <f t="array" ref="D126">IFERROR(INDEX(MemberOrgsData[FEDERALPROGRAMNAME], MATCH(1, (SelectMemberOrgs = MemberOrgsData[Auditee Name])*(Table11[[#This Row],[Unique CFDA]] = MemberOrgsData[CFDA]), 0)), "")</f>
        <v/>
      </c>
      <c r="E126" s="25" t="str">
        <f t="array" ref="E126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26" s="26" t="str">
        <f t="array" ref="F126">IFERROR(INDEX(BudgetAppropData[President % Change], MATCH(1, (Table11[[#This Row],[Unique CFDA]] = BudgetAppropData[CFDA])*(SelectBudgetYear = BudgetAppropData[Fiscal Year]), 0)), "")</f>
        <v/>
      </c>
      <c r="G126" s="25" t="str">
        <f>IF(Table11[[#This Row],[Unique CFDA]] = "", "", IFERROR(Table11[[#This Row],[FY 2018 Total]]*Table11[[#This Row],[President % Change]], ""))</f>
        <v/>
      </c>
      <c r="H126" s="26" t="str">
        <f t="array" ref="H126">IFERROR(INDEX(BudgetAppropData[House % Change], MATCH(1, (Table11[[#This Row],[Unique CFDA]] = BudgetAppropData[CFDA])*(SelectBudgetYear = BudgetAppropData[Fiscal Year]),0)), "")</f>
        <v/>
      </c>
      <c r="I126" s="25" t="str">
        <f>IF(Table11[[#This Row],[Unique CFDA]] = "", "", IFERROR(Table11[[#This Row],[FY 2018 Total]]*Table11[[#This Row],[House % Change]], ""))</f>
        <v/>
      </c>
      <c r="J126" s="6"/>
      <c r="K126" s="25" t="str">
        <f>IF(Table11[[#This Row],[Unique CFDA]] = "", "", IFERROR(Table11[[#This Row],[FY 2018 Total]]*Table11[[#This Row],[Senate Budget]], ""))</f>
        <v/>
      </c>
      <c r="L126" s="6" t="str">
        <f>IF(Table11[[#This Row],[Unique CFDA]] = "", "", IF(ISNUMBER(Table11[[#This Row],[President $ Change]]), RANK(Table11[[#This Row],[President $ Change]], Table11[President $ Change])+COUNTIF($G126:G126, G126)-1,0))</f>
        <v/>
      </c>
      <c r="N126">
        <v>123</v>
      </c>
      <c r="O126" t="str">
        <f>IFERROR(INDEX(Table11[Unique CFDA], MATCH(N126, Table11[Pres. Sort], 0)), "")</f>
        <v/>
      </c>
      <c r="P126" s="1" t="str">
        <f>IFERROR(INDEX(Table11[Grant Name], MATCH(MemberOrgFinalSort[[#This Row],[CFDA]], Table11[Unique CFDA], 0)), "")</f>
        <v/>
      </c>
      <c r="Q126" s="20" t="str">
        <f>IFERROR(INDEX(Table11[FY 2018 Total], MATCH(MemberOrgFinalSort[[#This Row],[CFDA]], Table11[Unique CFDA], 0)), "")</f>
        <v/>
      </c>
      <c r="R126" s="21" t="str">
        <f>IFERROR(INDEX(Table11[President % Change], MATCH(MemberOrgFinalSort[[#This Row],[CFDA]], Table11[Unique CFDA], 0)), "")</f>
        <v/>
      </c>
      <c r="S126" s="20" t="str">
        <f>IFERROR(INDEX(Table11[President $ Change], MATCH(MemberOrgFinalSort[[#This Row],[CFDA]], Table11[Unique CFDA], 0)), "")</f>
        <v/>
      </c>
      <c r="T126" s="32" t="str">
        <f>IFERROR(INDEX(Table11[House % Change], MATCH(MemberOrgFinalSort[[#This Row],[CFDA]], Table11[Unique CFDA], 0)), "")</f>
        <v/>
      </c>
      <c r="U126" s="32" t="str">
        <f>IFERROR(INDEX(Table11[House $ Change], MATCH(MemberOrgFinalSort[[#This Row],[CFDA]], Table11[Unique CFDA], 0)), "")</f>
        <v/>
      </c>
      <c r="V126" s="20"/>
      <c r="X126" s="6"/>
      <c r="Y126" s="6"/>
      <c r="Z126" s="6"/>
      <c r="AA126" s="6"/>
      <c r="AB126" s="6"/>
    </row>
    <row r="127" spans="1:28" x14ac:dyDescent="0.25">
      <c r="A127" t="str">
        <f>IF(MemberOrgControl!$C130 = "", "", INDEX(MemberOrgsData[CFDA], MemberOrgControl!$C130))</f>
        <v/>
      </c>
      <c r="C127" s="6" t="str">
        <f>IFERROR(INDEX(AllFilteredCFDAs[All CFDAs], MATCH(0, INDEX(COUNTIF($C$3:C126, AllFilteredCFDAs[All CFDAs]),),0)), "")</f>
        <v/>
      </c>
      <c r="D127" s="6" t="str">
        <f t="array" ref="D127">IFERROR(INDEX(MemberOrgsData[FEDERALPROGRAMNAME], MATCH(1, (SelectMemberOrgs = MemberOrgsData[Auditee Name])*(Table11[[#This Row],[Unique CFDA]] = MemberOrgsData[CFDA]), 0)), "")</f>
        <v/>
      </c>
      <c r="E127" s="25" t="str">
        <f t="array" ref="E127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27" s="26" t="str">
        <f t="array" ref="F127">IFERROR(INDEX(BudgetAppropData[President % Change], MATCH(1, (Table11[[#This Row],[Unique CFDA]] = BudgetAppropData[CFDA])*(SelectBudgetYear = BudgetAppropData[Fiscal Year]), 0)), "")</f>
        <v/>
      </c>
      <c r="G127" s="25" t="str">
        <f>IF(Table11[[#This Row],[Unique CFDA]] = "", "", IFERROR(Table11[[#This Row],[FY 2018 Total]]*Table11[[#This Row],[President % Change]], ""))</f>
        <v/>
      </c>
      <c r="H127" s="26" t="str">
        <f t="array" ref="H127">IFERROR(INDEX(BudgetAppropData[House % Change], MATCH(1, (Table11[[#This Row],[Unique CFDA]] = BudgetAppropData[CFDA])*(SelectBudgetYear = BudgetAppropData[Fiscal Year]),0)), "")</f>
        <v/>
      </c>
      <c r="I127" s="25" t="str">
        <f>IF(Table11[[#This Row],[Unique CFDA]] = "", "", IFERROR(Table11[[#This Row],[FY 2018 Total]]*Table11[[#This Row],[House % Change]], ""))</f>
        <v/>
      </c>
      <c r="J127" s="6"/>
      <c r="K127" s="25" t="str">
        <f>IF(Table11[[#This Row],[Unique CFDA]] = "", "", IFERROR(Table11[[#This Row],[FY 2018 Total]]*Table11[[#This Row],[Senate Budget]], ""))</f>
        <v/>
      </c>
      <c r="L127" s="6" t="str">
        <f>IF(Table11[[#This Row],[Unique CFDA]] = "", "", IF(ISNUMBER(Table11[[#This Row],[President $ Change]]), RANK(Table11[[#This Row],[President $ Change]], Table11[President $ Change])+COUNTIF($G127:G127, G127)-1,0))</f>
        <v/>
      </c>
      <c r="N127">
        <v>124</v>
      </c>
      <c r="O127" t="str">
        <f>IFERROR(INDEX(Table11[Unique CFDA], MATCH(N127, Table11[Pres. Sort], 0)), "")</f>
        <v/>
      </c>
      <c r="P127" s="1" t="str">
        <f>IFERROR(INDEX(Table11[Grant Name], MATCH(MemberOrgFinalSort[[#This Row],[CFDA]], Table11[Unique CFDA], 0)), "")</f>
        <v/>
      </c>
      <c r="Q127" s="20" t="str">
        <f>IFERROR(INDEX(Table11[FY 2018 Total], MATCH(MemberOrgFinalSort[[#This Row],[CFDA]], Table11[Unique CFDA], 0)), "")</f>
        <v/>
      </c>
      <c r="R127" s="21" t="str">
        <f>IFERROR(INDEX(Table11[President % Change], MATCH(MemberOrgFinalSort[[#This Row],[CFDA]], Table11[Unique CFDA], 0)), "")</f>
        <v/>
      </c>
      <c r="S127" s="20" t="str">
        <f>IFERROR(INDEX(Table11[President $ Change], MATCH(MemberOrgFinalSort[[#This Row],[CFDA]], Table11[Unique CFDA], 0)), "")</f>
        <v/>
      </c>
      <c r="T127" s="32" t="str">
        <f>IFERROR(INDEX(Table11[House % Change], MATCH(MemberOrgFinalSort[[#This Row],[CFDA]], Table11[Unique CFDA], 0)), "")</f>
        <v/>
      </c>
      <c r="U127" s="32" t="str">
        <f>IFERROR(INDEX(Table11[House $ Change], MATCH(MemberOrgFinalSort[[#This Row],[CFDA]], Table11[Unique CFDA], 0)), "")</f>
        <v/>
      </c>
      <c r="V127" s="20"/>
      <c r="X127" s="6"/>
      <c r="Y127" s="6"/>
      <c r="Z127" s="6"/>
      <c r="AA127" s="6"/>
      <c r="AB127" s="6"/>
    </row>
    <row r="128" spans="1:28" x14ac:dyDescent="0.25">
      <c r="A128" t="str">
        <f>IF(MemberOrgControl!$C131 = "", "", INDEX(MemberOrgsData[CFDA], MemberOrgControl!$C131))</f>
        <v/>
      </c>
      <c r="C128" s="6" t="str">
        <f>IFERROR(INDEX(AllFilteredCFDAs[All CFDAs], MATCH(0, INDEX(COUNTIF($C$3:C127, AllFilteredCFDAs[All CFDAs]),),0)), "")</f>
        <v/>
      </c>
      <c r="D128" s="6" t="str">
        <f t="array" ref="D128">IFERROR(INDEX(MemberOrgsData[FEDERALPROGRAMNAME], MATCH(1, (SelectMemberOrgs = MemberOrgsData[Auditee Name])*(Table11[[#This Row],[Unique CFDA]] = MemberOrgsData[CFDA]), 0)), "")</f>
        <v/>
      </c>
      <c r="E128" s="25" t="str">
        <f t="array" ref="E128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28" s="26" t="str">
        <f t="array" ref="F128">IFERROR(INDEX(BudgetAppropData[President % Change], MATCH(1, (Table11[[#This Row],[Unique CFDA]] = BudgetAppropData[CFDA])*(SelectBudgetYear = BudgetAppropData[Fiscal Year]), 0)), "")</f>
        <v/>
      </c>
      <c r="G128" s="25" t="str">
        <f>IF(Table11[[#This Row],[Unique CFDA]] = "", "", IFERROR(Table11[[#This Row],[FY 2018 Total]]*Table11[[#This Row],[President % Change]], ""))</f>
        <v/>
      </c>
      <c r="H128" s="26" t="str">
        <f t="array" ref="H128">IFERROR(INDEX(BudgetAppropData[House % Change], MATCH(1, (Table11[[#This Row],[Unique CFDA]] = BudgetAppropData[CFDA])*(SelectBudgetYear = BudgetAppropData[Fiscal Year]),0)), "")</f>
        <v/>
      </c>
      <c r="I128" s="25" t="str">
        <f>IF(Table11[[#This Row],[Unique CFDA]] = "", "", IFERROR(Table11[[#This Row],[FY 2018 Total]]*Table11[[#This Row],[House % Change]], ""))</f>
        <v/>
      </c>
      <c r="J128" s="6"/>
      <c r="K128" s="25" t="str">
        <f>IF(Table11[[#This Row],[Unique CFDA]] = "", "", IFERROR(Table11[[#This Row],[FY 2018 Total]]*Table11[[#This Row],[Senate Budget]], ""))</f>
        <v/>
      </c>
      <c r="L128" s="6" t="str">
        <f>IF(Table11[[#This Row],[Unique CFDA]] = "", "", IF(ISNUMBER(Table11[[#This Row],[President $ Change]]), RANK(Table11[[#This Row],[President $ Change]], Table11[President $ Change])+COUNTIF($G128:G128, G128)-1,0))</f>
        <v/>
      </c>
      <c r="N128">
        <v>125</v>
      </c>
      <c r="O128" t="str">
        <f>IFERROR(INDEX(Table11[Unique CFDA], MATCH(N128, Table11[Pres. Sort], 0)), "")</f>
        <v/>
      </c>
      <c r="P128" s="1" t="str">
        <f>IFERROR(INDEX(Table11[Grant Name], MATCH(MemberOrgFinalSort[[#This Row],[CFDA]], Table11[Unique CFDA], 0)), "")</f>
        <v/>
      </c>
      <c r="Q128" s="20" t="str">
        <f>IFERROR(INDEX(Table11[FY 2018 Total], MATCH(MemberOrgFinalSort[[#This Row],[CFDA]], Table11[Unique CFDA], 0)), "")</f>
        <v/>
      </c>
      <c r="R128" s="21" t="str">
        <f>IFERROR(INDEX(Table11[President % Change], MATCH(MemberOrgFinalSort[[#This Row],[CFDA]], Table11[Unique CFDA], 0)), "")</f>
        <v/>
      </c>
      <c r="S128" s="20" t="str">
        <f>IFERROR(INDEX(Table11[President $ Change], MATCH(MemberOrgFinalSort[[#This Row],[CFDA]], Table11[Unique CFDA], 0)), "")</f>
        <v/>
      </c>
      <c r="T128" s="32" t="str">
        <f>IFERROR(INDEX(Table11[House % Change], MATCH(MemberOrgFinalSort[[#This Row],[CFDA]], Table11[Unique CFDA], 0)), "")</f>
        <v/>
      </c>
      <c r="U128" s="32" t="str">
        <f>IFERROR(INDEX(Table11[House $ Change], MATCH(MemberOrgFinalSort[[#This Row],[CFDA]], Table11[Unique CFDA], 0)), "")</f>
        <v/>
      </c>
      <c r="V128" s="20"/>
      <c r="X128" s="6"/>
      <c r="Y128" s="6"/>
      <c r="Z128" s="6"/>
      <c r="AA128" s="6"/>
      <c r="AB128" s="6"/>
    </row>
    <row r="129" spans="1:28" x14ac:dyDescent="0.25">
      <c r="A129" t="str">
        <f>IF(MemberOrgControl!$C132 = "", "", INDEX(MemberOrgsData[CFDA], MemberOrgControl!$C132))</f>
        <v/>
      </c>
      <c r="C129" s="6" t="str">
        <f>IFERROR(INDEX(AllFilteredCFDAs[All CFDAs], MATCH(0, INDEX(COUNTIF($C$3:C128, AllFilteredCFDAs[All CFDAs]),),0)), "")</f>
        <v/>
      </c>
      <c r="D129" s="6" t="str">
        <f t="array" ref="D129">IFERROR(INDEX(MemberOrgsData[FEDERALPROGRAMNAME], MATCH(1, (SelectMemberOrgs = MemberOrgsData[Auditee Name])*(Table11[[#This Row],[Unique CFDA]] = MemberOrgsData[CFDA]), 0)), "")</f>
        <v/>
      </c>
      <c r="E129" s="25" t="str">
        <f t="array" ref="E129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29" s="26" t="str">
        <f t="array" ref="F129">IFERROR(INDEX(BudgetAppropData[President % Change], MATCH(1, (Table11[[#This Row],[Unique CFDA]] = BudgetAppropData[CFDA])*(SelectBudgetYear = BudgetAppropData[Fiscal Year]), 0)), "")</f>
        <v/>
      </c>
      <c r="G129" s="25" t="str">
        <f>IF(Table11[[#This Row],[Unique CFDA]] = "", "", IFERROR(Table11[[#This Row],[FY 2018 Total]]*Table11[[#This Row],[President % Change]], ""))</f>
        <v/>
      </c>
      <c r="H129" s="26" t="str">
        <f t="array" ref="H129">IFERROR(INDEX(BudgetAppropData[House % Change], MATCH(1, (Table11[[#This Row],[Unique CFDA]] = BudgetAppropData[CFDA])*(SelectBudgetYear = BudgetAppropData[Fiscal Year]),0)), "")</f>
        <v/>
      </c>
      <c r="I129" s="25" t="str">
        <f>IF(Table11[[#This Row],[Unique CFDA]] = "", "", IFERROR(Table11[[#This Row],[FY 2018 Total]]*Table11[[#This Row],[House % Change]], ""))</f>
        <v/>
      </c>
      <c r="J129" s="6"/>
      <c r="K129" s="25" t="str">
        <f>IF(Table11[[#This Row],[Unique CFDA]] = "", "", IFERROR(Table11[[#This Row],[FY 2018 Total]]*Table11[[#This Row],[Senate Budget]], ""))</f>
        <v/>
      </c>
      <c r="L129" s="6" t="str">
        <f>IF(Table11[[#This Row],[Unique CFDA]] = "", "", IF(ISNUMBER(Table11[[#This Row],[President $ Change]]), RANK(Table11[[#This Row],[President $ Change]], Table11[President $ Change])+COUNTIF($G129:G129, G129)-1,0))</f>
        <v/>
      </c>
      <c r="N129">
        <v>126</v>
      </c>
      <c r="O129" t="str">
        <f>IFERROR(INDEX(Table11[Unique CFDA], MATCH(N129, Table11[Pres. Sort], 0)), "")</f>
        <v/>
      </c>
      <c r="P129" s="1" t="str">
        <f>IFERROR(INDEX(Table11[Grant Name], MATCH(MemberOrgFinalSort[[#This Row],[CFDA]], Table11[Unique CFDA], 0)), "")</f>
        <v/>
      </c>
      <c r="Q129" s="20" t="str">
        <f>IFERROR(INDEX(Table11[FY 2018 Total], MATCH(MemberOrgFinalSort[[#This Row],[CFDA]], Table11[Unique CFDA], 0)), "")</f>
        <v/>
      </c>
      <c r="R129" s="21" t="str">
        <f>IFERROR(INDEX(Table11[President % Change], MATCH(MemberOrgFinalSort[[#This Row],[CFDA]], Table11[Unique CFDA], 0)), "")</f>
        <v/>
      </c>
      <c r="S129" s="20" t="str">
        <f>IFERROR(INDEX(Table11[President $ Change], MATCH(MemberOrgFinalSort[[#This Row],[CFDA]], Table11[Unique CFDA], 0)), "")</f>
        <v/>
      </c>
      <c r="T129" s="32" t="str">
        <f>IFERROR(INDEX(Table11[House % Change], MATCH(MemberOrgFinalSort[[#This Row],[CFDA]], Table11[Unique CFDA], 0)), "")</f>
        <v/>
      </c>
      <c r="U129" s="32" t="str">
        <f>IFERROR(INDEX(Table11[House $ Change], MATCH(MemberOrgFinalSort[[#This Row],[CFDA]], Table11[Unique CFDA], 0)), "")</f>
        <v/>
      </c>
      <c r="V129" s="20"/>
      <c r="X129" s="6"/>
      <c r="Y129" s="6"/>
      <c r="Z129" s="6"/>
      <c r="AA129" s="6"/>
      <c r="AB129" s="6"/>
    </row>
    <row r="130" spans="1:28" x14ac:dyDescent="0.25">
      <c r="A130" t="str">
        <f>IF(MemberOrgControl!$C133 = "", "", INDEX(MemberOrgsData[CFDA], MemberOrgControl!$C133))</f>
        <v/>
      </c>
      <c r="C130" s="6" t="str">
        <f>IFERROR(INDEX(AllFilteredCFDAs[All CFDAs], MATCH(0, INDEX(COUNTIF($C$3:C129, AllFilteredCFDAs[All CFDAs]),),0)), "")</f>
        <v/>
      </c>
      <c r="D130" s="6" t="str">
        <f t="array" ref="D130">IFERROR(INDEX(MemberOrgsData[FEDERALPROGRAMNAME], MATCH(1, (SelectMemberOrgs = MemberOrgsData[Auditee Name])*(Table11[[#This Row],[Unique CFDA]] = MemberOrgsData[CFDA]), 0)), "")</f>
        <v/>
      </c>
      <c r="E130" s="25" t="str">
        <f t="array" ref="E130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30" s="26" t="str">
        <f t="array" ref="F130">IFERROR(INDEX(BudgetAppropData[President % Change], MATCH(1, (Table11[[#This Row],[Unique CFDA]] = BudgetAppropData[CFDA])*(SelectBudgetYear = BudgetAppropData[Fiscal Year]), 0)), "")</f>
        <v/>
      </c>
      <c r="G130" s="25" t="str">
        <f>IF(Table11[[#This Row],[Unique CFDA]] = "", "", IFERROR(Table11[[#This Row],[FY 2018 Total]]*Table11[[#This Row],[President % Change]], ""))</f>
        <v/>
      </c>
      <c r="H130" s="26" t="str">
        <f t="array" ref="H130">IFERROR(INDEX(BudgetAppropData[House % Change], MATCH(1, (Table11[[#This Row],[Unique CFDA]] = BudgetAppropData[CFDA])*(SelectBudgetYear = BudgetAppropData[Fiscal Year]),0)), "")</f>
        <v/>
      </c>
      <c r="I130" s="25" t="str">
        <f>IF(Table11[[#This Row],[Unique CFDA]] = "", "", IFERROR(Table11[[#This Row],[FY 2018 Total]]*Table11[[#This Row],[House % Change]], ""))</f>
        <v/>
      </c>
      <c r="J130" s="6"/>
      <c r="K130" s="25" t="str">
        <f>IF(Table11[[#This Row],[Unique CFDA]] = "", "", IFERROR(Table11[[#This Row],[FY 2018 Total]]*Table11[[#This Row],[Senate Budget]], ""))</f>
        <v/>
      </c>
      <c r="L130" s="6" t="str">
        <f>IF(Table11[[#This Row],[Unique CFDA]] = "", "", IF(ISNUMBER(Table11[[#This Row],[President $ Change]]), RANK(Table11[[#This Row],[President $ Change]], Table11[President $ Change])+COUNTIF($G130:G130, G130)-1,0))</f>
        <v/>
      </c>
      <c r="N130">
        <v>127</v>
      </c>
      <c r="O130" t="str">
        <f>IFERROR(INDEX(Table11[Unique CFDA], MATCH(N130, Table11[Pres. Sort], 0)), "")</f>
        <v/>
      </c>
      <c r="P130" s="1" t="str">
        <f>IFERROR(INDEX(Table11[Grant Name], MATCH(MemberOrgFinalSort[[#This Row],[CFDA]], Table11[Unique CFDA], 0)), "")</f>
        <v/>
      </c>
      <c r="Q130" s="20" t="str">
        <f>IFERROR(INDEX(Table11[FY 2018 Total], MATCH(MemberOrgFinalSort[[#This Row],[CFDA]], Table11[Unique CFDA], 0)), "")</f>
        <v/>
      </c>
      <c r="R130" s="21" t="str">
        <f>IFERROR(INDEX(Table11[President % Change], MATCH(MemberOrgFinalSort[[#This Row],[CFDA]], Table11[Unique CFDA], 0)), "")</f>
        <v/>
      </c>
      <c r="S130" s="20" t="str">
        <f>IFERROR(INDEX(Table11[President $ Change], MATCH(MemberOrgFinalSort[[#This Row],[CFDA]], Table11[Unique CFDA], 0)), "")</f>
        <v/>
      </c>
      <c r="T130" s="32" t="str">
        <f>IFERROR(INDEX(Table11[House % Change], MATCH(MemberOrgFinalSort[[#This Row],[CFDA]], Table11[Unique CFDA], 0)), "")</f>
        <v/>
      </c>
      <c r="U130" s="32" t="str">
        <f>IFERROR(INDEX(Table11[House $ Change], MATCH(MemberOrgFinalSort[[#This Row],[CFDA]], Table11[Unique CFDA], 0)), "")</f>
        <v/>
      </c>
      <c r="V130" s="20"/>
      <c r="X130" s="6"/>
      <c r="Y130" s="6"/>
      <c r="Z130" s="6"/>
      <c r="AA130" s="6"/>
      <c r="AB130" s="6"/>
    </row>
    <row r="131" spans="1:28" x14ac:dyDescent="0.25">
      <c r="A131" t="str">
        <f>IF(MemberOrgControl!$C134 = "", "", INDEX(MemberOrgsData[CFDA], MemberOrgControl!$C134))</f>
        <v/>
      </c>
      <c r="C131" s="6" t="str">
        <f>IFERROR(INDEX(AllFilteredCFDAs[All CFDAs], MATCH(0, INDEX(COUNTIF($C$3:C130, AllFilteredCFDAs[All CFDAs]),),0)), "")</f>
        <v/>
      </c>
      <c r="D131" s="6" t="str">
        <f t="array" ref="D131">IFERROR(INDEX(MemberOrgsData[FEDERALPROGRAMNAME], MATCH(1, (SelectMemberOrgs = MemberOrgsData[Auditee Name])*(Table11[[#This Row],[Unique CFDA]] = MemberOrgsData[CFDA]), 0)), "")</f>
        <v/>
      </c>
      <c r="E131" s="25" t="str">
        <f t="array" ref="E131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31" s="26" t="str">
        <f t="array" ref="F131">IFERROR(INDEX(BudgetAppropData[President % Change], MATCH(1, (Table11[[#This Row],[Unique CFDA]] = BudgetAppropData[CFDA])*(SelectBudgetYear = BudgetAppropData[Fiscal Year]), 0)), "")</f>
        <v/>
      </c>
      <c r="G131" s="25" t="str">
        <f>IF(Table11[[#This Row],[Unique CFDA]] = "", "", IFERROR(Table11[[#This Row],[FY 2018 Total]]*Table11[[#This Row],[President % Change]], ""))</f>
        <v/>
      </c>
      <c r="H131" s="26" t="str">
        <f t="array" ref="H131">IFERROR(INDEX(BudgetAppropData[House % Change], MATCH(1, (Table11[[#This Row],[Unique CFDA]] = BudgetAppropData[CFDA])*(SelectBudgetYear = BudgetAppropData[Fiscal Year]),0)), "")</f>
        <v/>
      </c>
      <c r="I131" s="25" t="str">
        <f>IF(Table11[[#This Row],[Unique CFDA]] = "", "", IFERROR(Table11[[#This Row],[FY 2018 Total]]*Table11[[#This Row],[House % Change]], ""))</f>
        <v/>
      </c>
      <c r="J131" s="6"/>
      <c r="K131" s="25" t="str">
        <f>IF(Table11[[#This Row],[Unique CFDA]] = "", "", IFERROR(Table11[[#This Row],[FY 2018 Total]]*Table11[[#This Row],[Senate Budget]], ""))</f>
        <v/>
      </c>
      <c r="L131" s="6" t="str">
        <f>IF(Table11[[#This Row],[Unique CFDA]] = "", "", IF(ISNUMBER(Table11[[#This Row],[President $ Change]]), RANK(Table11[[#This Row],[President $ Change]], Table11[President $ Change])+COUNTIF($G131:G131, G131)-1,0))</f>
        <v/>
      </c>
      <c r="N131">
        <v>128</v>
      </c>
      <c r="O131" t="str">
        <f>IFERROR(INDEX(Table11[Unique CFDA], MATCH(N131, Table11[Pres. Sort], 0)), "")</f>
        <v/>
      </c>
      <c r="P131" s="1" t="str">
        <f>IFERROR(INDEX(Table11[Grant Name], MATCH(MemberOrgFinalSort[[#This Row],[CFDA]], Table11[Unique CFDA], 0)), "")</f>
        <v/>
      </c>
      <c r="Q131" s="20" t="str">
        <f>IFERROR(INDEX(Table11[FY 2018 Total], MATCH(MemberOrgFinalSort[[#This Row],[CFDA]], Table11[Unique CFDA], 0)), "")</f>
        <v/>
      </c>
      <c r="R131" s="21" t="str">
        <f>IFERROR(INDEX(Table11[President % Change], MATCH(MemberOrgFinalSort[[#This Row],[CFDA]], Table11[Unique CFDA], 0)), "")</f>
        <v/>
      </c>
      <c r="S131" s="20" t="str">
        <f>IFERROR(INDEX(Table11[President $ Change], MATCH(MemberOrgFinalSort[[#This Row],[CFDA]], Table11[Unique CFDA], 0)), "")</f>
        <v/>
      </c>
      <c r="T131" s="32" t="str">
        <f>IFERROR(INDEX(Table11[House % Change], MATCH(MemberOrgFinalSort[[#This Row],[CFDA]], Table11[Unique CFDA], 0)), "")</f>
        <v/>
      </c>
      <c r="U131" s="32" t="str">
        <f>IFERROR(INDEX(Table11[House $ Change], MATCH(MemberOrgFinalSort[[#This Row],[CFDA]], Table11[Unique CFDA], 0)), "")</f>
        <v/>
      </c>
      <c r="V131" s="20"/>
      <c r="X131" s="6"/>
      <c r="Y131" s="6"/>
      <c r="Z131" s="6"/>
      <c r="AA131" s="6"/>
      <c r="AB131" s="6"/>
    </row>
    <row r="132" spans="1:28" x14ac:dyDescent="0.25">
      <c r="A132" t="str">
        <f>IF(MemberOrgControl!$C135 = "", "", INDEX(MemberOrgsData[CFDA], MemberOrgControl!$C135))</f>
        <v/>
      </c>
      <c r="C132" s="6" t="str">
        <f>IFERROR(INDEX(AllFilteredCFDAs[All CFDAs], MATCH(0, INDEX(COUNTIF($C$3:C131, AllFilteredCFDAs[All CFDAs]),),0)), "")</f>
        <v/>
      </c>
      <c r="D132" s="6" t="str">
        <f t="array" ref="D132">IFERROR(INDEX(MemberOrgsData[FEDERALPROGRAMNAME], MATCH(1, (SelectMemberOrgs = MemberOrgsData[Auditee Name])*(Table11[[#This Row],[Unique CFDA]] = MemberOrgsData[CFDA]), 0)), "")</f>
        <v/>
      </c>
      <c r="E132" s="25" t="str">
        <f t="array" ref="E132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32" s="26" t="str">
        <f t="array" ref="F132">IFERROR(INDEX(BudgetAppropData[President % Change], MATCH(1, (Table11[[#This Row],[Unique CFDA]] = BudgetAppropData[CFDA])*(SelectBudgetYear = BudgetAppropData[Fiscal Year]), 0)), "")</f>
        <v/>
      </c>
      <c r="G132" s="25" t="str">
        <f>IF(Table11[[#This Row],[Unique CFDA]] = "", "", IFERROR(Table11[[#This Row],[FY 2018 Total]]*Table11[[#This Row],[President % Change]], ""))</f>
        <v/>
      </c>
      <c r="H132" s="26" t="str">
        <f t="array" ref="H132">IFERROR(INDEX(BudgetAppropData[House % Change], MATCH(1, (Table11[[#This Row],[Unique CFDA]] = BudgetAppropData[CFDA])*(SelectBudgetYear = BudgetAppropData[Fiscal Year]),0)), "")</f>
        <v/>
      </c>
      <c r="I132" s="25" t="str">
        <f>IF(Table11[[#This Row],[Unique CFDA]] = "", "", IFERROR(Table11[[#This Row],[FY 2018 Total]]*Table11[[#This Row],[House % Change]], ""))</f>
        <v/>
      </c>
      <c r="J132" s="6"/>
      <c r="K132" s="25" t="str">
        <f>IF(Table11[[#This Row],[Unique CFDA]] = "", "", IFERROR(Table11[[#This Row],[FY 2018 Total]]*Table11[[#This Row],[Senate Budget]], ""))</f>
        <v/>
      </c>
      <c r="L132" s="6" t="str">
        <f>IF(Table11[[#This Row],[Unique CFDA]] = "", "", IF(ISNUMBER(Table11[[#This Row],[President $ Change]]), RANK(Table11[[#This Row],[President $ Change]], Table11[President $ Change])+COUNTIF($G132:G132, G132)-1,0))</f>
        <v/>
      </c>
      <c r="N132">
        <v>129</v>
      </c>
      <c r="O132" t="str">
        <f>IFERROR(INDEX(Table11[Unique CFDA], MATCH(N132, Table11[Pres. Sort], 0)), "")</f>
        <v/>
      </c>
      <c r="P132" s="1" t="str">
        <f>IFERROR(INDEX(Table11[Grant Name], MATCH(MemberOrgFinalSort[[#This Row],[CFDA]], Table11[Unique CFDA], 0)), "")</f>
        <v/>
      </c>
      <c r="Q132" s="20" t="str">
        <f>IFERROR(INDEX(Table11[FY 2018 Total], MATCH(MemberOrgFinalSort[[#This Row],[CFDA]], Table11[Unique CFDA], 0)), "")</f>
        <v/>
      </c>
      <c r="R132" s="21" t="str">
        <f>IFERROR(INDEX(Table11[President % Change], MATCH(MemberOrgFinalSort[[#This Row],[CFDA]], Table11[Unique CFDA], 0)), "")</f>
        <v/>
      </c>
      <c r="S132" s="20" t="str">
        <f>IFERROR(INDEX(Table11[President $ Change], MATCH(MemberOrgFinalSort[[#This Row],[CFDA]], Table11[Unique CFDA], 0)), "")</f>
        <v/>
      </c>
      <c r="T132" s="32" t="str">
        <f>IFERROR(INDEX(Table11[House % Change], MATCH(MemberOrgFinalSort[[#This Row],[CFDA]], Table11[Unique CFDA], 0)), "")</f>
        <v/>
      </c>
      <c r="U132" s="32" t="str">
        <f>IFERROR(INDEX(Table11[House $ Change], MATCH(MemberOrgFinalSort[[#This Row],[CFDA]], Table11[Unique CFDA], 0)), "")</f>
        <v/>
      </c>
      <c r="V132" s="20"/>
      <c r="X132" s="6"/>
      <c r="Y132" s="6"/>
      <c r="Z132" s="6"/>
      <c r="AA132" s="6"/>
      <c r="AB132" s="6"/>
    </row>
    <row r="133" spans="1:28" x14ac:dyDescent="0.25">
      <c r="A133" t="str">
        <f>IF(MemberOrgControl!$C136 = "", "", INDEX(MemberOrgsData[CFDA], MemberOrgControl!$C136))</f>
        <v/>
      </c>
      <c r="C133" s="6" t="str">
        <f>IFERROR(INDEX(AllFilteredCFDAs[All CFDAs], MATCH(0, INDEX(COUNTIF($C$3:C132, AllFilteredCFDAs[All CFDAs]),),0)), "")</f>
        <v/>
      </c>
      <c r="D133" s="6" t="str">
        <f t="array" ref="D133">IFERROR(INDEX(MemberOrgsData[FEDERALPROGRAMNAME], MATCH(1, (SelectMemberOrgs = MemberOrgsData[Auditee Name])*(Table11[[#This Row],[Unique CFDA]] = MemberOrgsData[CFDA]), 0)), "")</f>
        <v/>
      </c>
      <c r="E133" s="25" t="str">
        <f t="array" ref="E133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33" s="26" t="str">
        <f t="array" ref="F133">IFERROR(INDEX(BudgetAppropData[President % Change], MATCH(1, (Table11[[#This Row],[Unique CFDA]] = BudgetAppropData[CFDA])*(SelectBudgetYear = BudgetAppropData[Fiscal Year]), 0)), "")</f>
        <v/>
      </c>
      <c r="G133" s="25" t="str">
        <f>IF(Table11[[#This Row],[Unique CFDA]] = "", "", IFERROR(Table11[[#This Row],[FY 2018 Total]]*Table11[[#This Row],[President % Change]], ""))</f>
        <v/>
      </c>
      <c r="H133" s="26" t="str">
        <f t="array" ref="H133">IFERROR(INDEX(BudgetAppropData[House % Change], MATCH(1, (Table11[[#This Row],[Unique CFDA]] = BudgetAppropData[CFDA])*(SelectBudgetYear = BudgetAppropData[Fiscal Year]),0)), "")</f>
        <v/>
      </c>
      <c r="I133" s="25" t="str">
        <f>IF(Table11[[#This Row],[Unique CFDA]] = "", "", IFERROR(Table11[[#This Row],[FY 2018 Total]]*Table11[[#This Row],[House % Change]], ""))</f>
        <v/>
      </c>
      <c r="J133" s="6"/>
      <c r="K133" s="25" t="str">
        <f>IF(Table11[[#This Row],[Unique CFDA]] = "", "", IFERROR(Table11[[#This Row],[FY 2018 Total]]*Table11[[#This Row],[Senate Budget]], ""))</f>
        <v/>
      </c>
      <c r="L133" s="6" t="str">
        <f>IF(Table11[[#This Row],[Unique CFDA]] = "", "", IF(ISNUMBER(Table11[[#This Row],[President $ Change]]), RANK(Table11[[#This Row],[President $ Change]], Table11[President $ Change])+COUNTIF($G133:G133, G133)-1,0))</f>
        <v/>
      </c>
      <c r="N133">
        <v>130</v>
      </c>
      <c r="O133" t="str">
        <f>IFERROR(INDEX(Table11[Unique CFDA], MATCH(N133, Table11[Pres. Sort], 0)), "")</f>
        <v/>
      </c>
      <c r="P133" s="1" t="str">
        <f>IFERROR(INDEX(Table11[Grant Name], MATCH(MemberOrgFinalSort[[#This Row],[CFDA]], Table11[Unique CFDA], 0)), "")</f>
        <v/>
      </c>
      <c r="Q133" s="20" t="str">
        <f>IFERROR(INDEX(Table11[FY 2018 Total], MATCH(MemberOrgFinalSort[[#This Row],[CFDA]], Table11[Unique CFDA], 0)), "")</f>
        <v/>
      </c>
      <c r="R133" s="21" t="str">
        <f>IFERROR(INDEX(Table11[President % Change], MATCH(MemberOrgFinalSort[[#This Row],[CFDA]], Table11[Unique CFDA], 0)), "")</f>
        <v/>
      </c>
      <c r="S133" s="20" t="str">
        <f>IFERROR(INDEX(Table11[President $ Change], MATCH(MemberOrgFinalSort[[#This Row],[CFDA]], Table11[Unique CFDA], 0)), "")</f>
        <v/>
      </c>
      <c r="T133" s="32" t="str">
        <f>IFERROR(INDEX(Table11[House % Change], MATCH(MemberOrgFinalSort[[#This Row],[CFDA]], Table11[Unique CFDA], 0)), "")</f>
        <v/>
      </c>
      <c r="U133" s="32" t="str">
        <f>IFERROR(INDEX(Table11[House $ Change], MATCH(MemberOrgFinalSort[[#This Row],[CFDA]], Table11[Unique CFDA], 0)), "")</f>
        <v/>
      </c>
      <c r="V133" s="20"/>
      <c r="X133" s="6"/>
      <c r="Y133" s="6"/>
      <c r="Z133" s="6"/>
      <c r="AA133" s="6"/>
      <c r="AB133" s="6"/>
    </row>
    <row r="134" spans="1:28" x14ac:dyDescent="0.25">
      <c r="A134" t="str">
        <f>IF(MemberOrgControl!$C137 = "", "", INDEX(MemberOrgsData[CFDA], MemberOrgControl!$C137))</f>
        <v/>
      </c>
      <c r="C134" s="6" t="str">
        <f>IFERROR(INDEX(AllFilteredCFDAs[All CFDAs], MATCH(0, INDEX(COUNTIF($C$3:C133, AllFilteredCFDAs[All CFDAs]),),0)), "")</f>
        <v/>
      </c>
      <c r="D134" s="6" t="str">
        <f t="array" ref="D134">IFERROR(INDEX(MemberOrgsData[FEDERALPROGRAMNAME], MATCH(1, (SelectMemberOrgs = MemberOrgsData[Auditee Name])*(Table11[[#This Row],[Unique CFDA]] = MemberOrgsData[CFDA]), 0)), "")</f>
        <v/>
      </c>
      <c r="E134" s="25" t="str">
        <f t="array" ref="E134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34" s="26" t="str">
        <f t="array" ref="F134">IFERROR(INDEX(BudgetAppropData[President % Change], MATCH(1, (Table11[[#This Row],[Unique CFDA]] = BudgetAppropData[CFDA])*(SelectBudgetYear = BudgetAppropData[Fiscal Year]), 0)), "")</f>
        <v/>
      </c>
      <c r="G134" s="25" t="str">
        <f>IF(Table11[[#This Row],[Unique CFDA]] = "", "", IFERROR(Table11[[#This Row],[FY 2018 Total]]*Table11[[#This Row],[President % Change]], ""))</f>
        <v/>
      </c>
      <c r="H134" s="26" t="str">
        <f t="array" ref="H134">IFERROR(INDEX(BudgetAppropData[House % Change], MATCH(1, (Table11[[#This Row],[Unique CFDA]] = BudgetAppropData[CFDA])*(SelectBudgetYear = BudgetAppropData[Fiscal Year]),0)), "")</f>
        <v/>
      </c>
      <c r="I134" s="25" t="str">
        <f>IF(Table11[[#This Row],[Unique CFDA]] = "", "", IFERROR(Table11[[#This Row],[FY 2018 Total]]*Table11[[#This Row],[House % Change]], ""))</f>
        <v/>
      </c>
      <c r="J134" s="6"/>
      <c r="K134" s="25" t="str">
        <f>IF(Table11[[#This Row],[Unique CFDA]] = "", "", IFERROR(Table11[[#This Row],[FY 2018 Total]]*Table11[[#This Row],[Senate Budget]], ""))</f>
        <v/>
      </c>
      <c r="L134" s="6" t="str">
        <f>IF(Table11[[#This Row],[Unique CFDA]] = "", "", IF(ISNUMBER(Table11[[#This Row],[President $ Change]]), RANK(Table11[[#This Row],[President $ Change]], Table11[President $ Change])+COUNTIF($G134:G134, G134)-1,0))</f>
        <v/>
      </c>
      <c r="N134">
        <v>131</v>
      </c>
      <c r="O134" t="str">
        <f>IFERROR(INDEX(Table11[Unique CFDA], MATCH(N134, Table11[Pres. Sort], 0)), "")</f>
        <v/>
      </c>
      <c r="P134" s="1" t="str">
        <f>IFERROR(INDEX(Table11[Grant Name], MATCH(MemberOrgFinalSort[[#This Row],[CFDA]], Table11[Unique CFDA], 0)), "")</f>
        <v/>
      </c>
      <c r="Q134" s="20" t="str">
        <f>IFERROR(INDEX(Table11[FY 2018 Total], MATCH(MemberOrgFinalSort[[#This Row],[CFDA]], Table11[Unique CFDA], 0)), "")</f>
        <v/>
      </c>
      <c r="R134" s="21" t="str">
        <f>IFERROR(INDEX(Table11[President % Change], MATCH(MemberOrgFinalSort[[#This Row],[CFDA]], Table11[Unique CFDA], 0)), "")</f>
        <v/>
      </c>
      <c r="S134" s="20" t="str">
        <f>IFERROR(INDEX(Table11[President $ Change], MATCH(MemberOrgFinalSort[[#This Row],[CFDA]], Table11[Unique CFDA], 0)), "")</f>
        <v/>
      </c>
      <c r="T134" s="32" t="str">
        <f>IFERROR(INDEX(Table11[House % Change], MATCH(MemberOrgFinalSort[[#This Row],[CFDA]], Table11[Unique CFDA], 0)), "")</f>
        <v/>
      </c>
      <c r="U134" s="32" t="str">
        <f>IFERROR(INDEX(Table11[House $ Change], MATCH(MemberOrgFinalSort[[#This Row],[CFDA]], Table11[Unique CFDA], 0)), "")</f>
        <v/>
      </c>
      <c r="V134" s="20"/>
      <c r="X134" s="6"/>
      <c r="Y134" s="6"/>
      <c r="Z134" s="6"/>
      <c r="AA134" s="6"/>
      <c r="AB134" s="6"/>
    </row>
    <row r="135" spans="1:28" x14ac:dyDescent="0.25">
      <c r="A135" t="str">
        <f>IF(MemberOrgControl!$C138 = "", "", INDEX(MemberOrgsData[CFDA], MemberOrgControl!$C138))</f>
        <v/>
      </c>
      <c r="C135" s="6" t="str">
        <f>IFERROR(INDEX(AllFilteredCFDAs[All CFDAs], MATCH(0, INDEX(COUNTIF($C$3:C134, AllFilteredCFDAs[All CFDAs]),),0)), "")</f>
        <v/>
      </c>
      <c r="D135" s="6" t="str">
        <f t="array" ref="D135">IFERROR(INDEX(MemberOrgsData[FEDERALPROGRAMNAME], MATCH(1, (SelectMemberOrgs = MemberOrgsData[Auditee Name])*(Table11[[#This Row],[Unique CFDA]] = MemberOrgsData[CFDA]), 0)), "")</f>
        <v/>
      </c>
      <c r="E135" s="25" t="str">
        <f t="array" ref="E135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35" s="26" t="str">
        <f t="array" ref="F135">IFERROR(INDEX(BudgetAppropData[President % Change], MATCH(1, (Table11[[#This Row],[Unique CFDA]] = BudgetAppropData[CFDA])*(SelectBudgetYear = BudgetAppropData[Fiscal Year]), 0)), "")</f>
        <v/>
      </c>
      <c r="G135" s="25" t="str">
        <f>IF(Table11[[#This Row],[Unique CFDA]] = "", "", IFERROR(Table11[[#This Row],[FY 2018 Total]]*Table11[[#This Row],[President % Change]], ""))</f>
        <v/>
      </c>
      <c r="H135" s="26" t="str">
        <f t="array" ref="H135">IFERROR(INDEX(BudgetAppropData[House % Change], MATCH(1, (Table11[[#This Row],[Unique CFDA]] = BudgetAppropData[CFDA])*(SelectBudgetYear = BudgetAppropData[Fiscal Year]),0)), "")</f>
        <v/>
      </c>
      <c r="I135" s="25" t="str">
        <f>IF(Table11[[#This Row],[Unique CFDA]] = "", "", IFERROR(Table11[[#This Row],[FY 2018 Total]]*Table11[[#This Row],[House % Change]], ""))</f>
        <v/>
      </c>
      <c r="J135" s="6"/>
      <c r="K135" s="25" t="str">
        <f>IF(Table11[[#This Row],[Unique CFDA]] = "", "", IFERROR(Table11[[#This Row],[FY 2018 Total]]*Table11[[#This Row],[Senate Budget]], ""))</f>
        <v/>
      </c>
      <c r="L135" s="6" t="str">
        <f>IF(Table11[[#This Row],[Unique CFDA]] = "", "", IF(ISNUMBER(Table11[[#This Row],[President $ Change]]), RANK(Table11[[#This Row],[President $ Change]], Table11[President $ Change])+COUNTIF($G135:G135, G135)-1,0))</f>
        <v/>
      </c>
      <c r="N135">
        <v>132</v>
      </c>
      <c r="O135" t="str">
        <f>IFERROR(INDEX(Table11[Unique CFDA], MATCH(N135, Table11[Pres. Sort], 0)), "")</f>
        <v/>
      </c>
      <c r="P135" s="1" t="str">
        <f>IFERROR(INDEX(Table11[Grant Name], MATCH(MemberOrgFinalSort[[#This Row],[CFDA]], Table11[Unique CFDA], 0)), "")</f>
        <v/>
      </c>
      <c r="Q135" s="20" t="str">
        <f>IFERROR(INDEX(Table11[FY 2018 Total], MATCH(MemberOrgFinalSort[[#This Row],[CFDA]], Table11[Unique CFDA], 0)), "")</f>
        <v/>
      </c>
      <c r="R135" s="21" t="str">
        <f>IFERROR(INDEX(Table11[President % Change], MATCH(MemberOrgFinalSort[[#This Row],[CFDA]], Table11[Unique CFDA], 0)), "")</f>
        <v/>
      </c>
      <c r="S135" s="20" t="str">
        <f>IFERROR(INDEX(Table11[President $ Change], MATCH(MemberOrgFinalSort[[#This Row],[CFDA]], Table11[Unique CFDA], 0)), "")</f>
        <v/>
      </c>
      <c r="T135" s="32" t="str">
        <f>IFERROR(INDEX(Table11[House % Change], MATCH(MemberOrgFinalSort[[#This Row],[CFDA]], Table11[Unique CFDA], 0)), "")</f>
        <v/>
      </c>
      <c r="U135" s="32" t="str">
        <f>IFERROR(INDEX(Table11[House $ Change], MATCH(MemberOrgFinalSort[[#This Row],[CFDA]], Table11[Unique CFDA], 0)), "")</f>
        <v/>
      </c>
      <c r="V135" s="20"/>
      <c r="X135" s="6"/>
      <c r="Y135" s="6"/>
      <c r="Z135" s="6"/>
      <c r="AA135" s="6"/>
      <c r="AB135" s="6"/>
    </row>
    <row r="136" spans="1:28" x14ac:dyDescent="0.25">
      <c r="A136" t="str">
        <f>IF(MemberOrgControl!$C139 = "", "", INDEX(MemberOrgsData[CFDA], MemberOrgControl!$C139))</f>
        <v/>
      </c>
      <c r="C136" s="6" t="str">
        <f>IFERROR(INDEX(AllFilteredCFDAs[All CFDAs], MATCH(0, INDEX(COUNTIF($C$3:C135, AllFilteredCFDAs[All CFDAs]),),0)), "")</f>
        <v/>
      </c>
      <c r="D136" s="6" t="str">
        <f t="array" ref="D136">IFERROR(INDEX(MemberOrgsData[FEDERALPROGRAMNAME], MATCH(1, (SelectMemberOrgs = MemberOrgsData[Auditee Name])*(Table11[[#This Row],[Unique CFDA]] = MemberOrgsData[CFDA]), 0)), "")</f>
        <v/>
      </c>
      <c r="E136" s="25" t="str">
        <f t="array" ref="E136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36" s="26" t="str">
        <f t="array" ref="F136">IFERROR(INDEX(BudgetAppropData[President % Change], MATCH(1, (Table11[[#This Row],[Unique CFDA]] = BudgetAppropData[CFDA])*(SelectBudgetYear = BudgetAppropData[Fiscal Year]), 0)), "")</f>
        <v/>
      </c>
      <c r="G136" s="25" t="str">
        <f>IF(Table11[[#This Row],[Unique CFDA]] = "", "", IFERROR(Table11[[#This Row],[FY 2018 Total]]*Table11[[#This Row],[President % Change]], ""))</f>
        <v/>
      </c>
      <c r="H136" s="26" t="str">
        <f t="array" ref="H136">IFERROR(INDEX(BudgetAppropData[House % Change], MATCH(1, (Table11[[#This Row],[Unique CFDA]] = BudgetAppropData[CFDA])*(SelectBudgetYear = BudgetAppropData[Fiscal Year]),0)), "")</f>
        <v/>
      </c>
      <c r="I136" s="25" t="str">
        <f>IF(Table11[[#This Row],[Unique CFDA]] = "", "", IFERROR(Table11[[#This Row],[FY 2018 Total]]*Table11[[#This Row],[House % Change]], ""))</f>
        <v/>
      </c>
      <c r="J136" s="6"/>
      <c r="K136" s="25" t="str">
        <f>IF(Table11[[#This Row],[Unique CFDA]] = "", "", IFERROR(Table11[[#This Row],[FY 2018 Total]]*Table11[[#This Row],[Senate Budget]], ""))</f>
        <v/>
      </c>
      <c r="L136" s="6" t="str">
        <f>IF(Table11[[#This Row],[Unique CFDA]] = "", "", IF(ISNUMBER(Table11[[#This Row],[President $ Change]]), RANK(Table11[[#This Row],[President $ Change]], Table11[President $ Change])+COUNTIF($G136:G136, G136)-1,0))</f>
        <v/>
      </c>
      <c r="N136">
        <v>133</v>
      </c>
      <c r="O136" t="str">
        <f>IFERROR(INDEX(Table11[Unique CFDA], MATCH(N136, Table11[Pres. Sort], 0)), "")</f>
        <v/>
      </c>
      <c r="P136" s="1" t="str">
        <f>IFERROR(INDEX(Table11[Grant Name], MATCH(MemberOrgFinalSort[[#This Row],[CFDA]], Table11[Unique CFDA], 0)), "")</f>
        <v/>
      </c>
      <c r="Q136" s="20" t="str">
        <f>IFERROR(INDEX(Table11[FY 2018 Total], MATCH(MemberOrgFinalSort[[#This Row],[CFDA]], Table11[Unique CFDA], 0)), "")</f>
        <v/>
      </c>
      <c r="R136" s="21" t="str">
        <f>IFERROR(INDEX(Table11[President % Change], MATCH(MemberOrgFinalSort[[#This Row],[CFDA]], Table11[Unique CFDA], 0)), "")</f>
        <v/>
      </c>
      <c r="S136" s="20" t="str">
        <f>IFERROR(INDEX(Table11[President $ Change], MATCH(MemberOrgFinalSort[[#This Row],[CFDA]], Table11[Unique CFDA], 0)), "")</f>
        <v/>
      </c>
      <c r="T136" s="32" t="str">
        <f>IFERROR(INDEX(Table11[House % Change], MATCH(MemberOrgFinalSort[[#This Row],[CFDA]], Table11[Unique CFDA], 0)), "")</f>
        <v/>
      </c>
      <c r="U136" s="32" t="str">
        <f>IFERROR(INDEX(Table11[House $ Change], MATCH(MemberOrgFinalSort[[#This Row],[CFDA]], Table11[Unique CFDA], 0)), "")</f>
        <v/>
      </c>
      <c r="V136" s="20"/>
      <c r="X136" s="6"/>
      <c r="Y136" s="6"/>
      <c r="Z136" s="6"/>
      <c r="AA136" s="6"/>
      <c r="AB136" s="6"/>
    </row>
    <row r="137" spans="1:28" x14ac:dyDescent="0.25">
      <c r="A137" t="str">
        <f>IF(MemberOrgControl!$C140 = "", "", INDEX(MemberOrgsData[CFDA], MemberOrgControl!$C140))</f>
        <v/>
      </c>
      <c r="C137" s="6" t="str">
        <f>IFERROR(INDEX(AllFilteredCFDAs[All CFDAs], MATCH(0, INDEX(COUNTIF($C$3:C136, AllFilteredCFDAs[All CFDAs]),),0)), "")</f>
        <v/>
      </c>
      <c r="D137" s="6" t="str">
        <f t="array" ref="D137">IFERROR(INDEX(MemberOrgsData[FEDERALPROGRAMNAME], MATCH(1, (SelectMemberOrgs = MemberOrgsData[Auditee Name])*(Table11[[#This Row],[Unique CFDA]] = MemberOrgsData[CFDA]), 0)), "")</f>
        <v/>
      </c>
      <c r="E137" s="25" t="str">
        <f t="array" ref="E137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37" s="26" t="str">
        <f t="array" ref="F137">IFERROR(INDEX(BudgetAppropData[President % Change], MATCH(1, (Table11[[#This Row],[Unique CFDA]] = BudgetAppropData[CFDA])*(SelectBudgetYear = BudgetAppropData[Fiscal Year]), 0)), "")</f>
        <v/>
      </c>
      <c r="G137" s="25" t="str">
        <f>IF(Table11[[#This Row],[Unique CFDA]] = "", "", IFERROR(Table11[[#This Row],[FY 2018 Total]]*Table11[[#This Row],[President % Change]], ""))</f>
        <v/>
      </c>
      <c r="H137" s="26" t="str">
        <f t="array" ref="H137">IFERROR(INDEX(BudgetAppropData[House % Change], MATCH(1, (Table11[[#This Row],[Unique CFDA]] = BudgetAppropData[CFDA])*(SelectBudgetYear = BudgetAppropData[Fiscal Year]),0)), "")</f>
        <v/>
      </c>
      <c r="I137" s="25" t="str">
        <f>IF(Table11[[#This Row],[Unique CFDA]] = "", "", IFERROR(Table11[[#This Row],[FY 2018 Total]]*Table11[[#This Row],[House % Change]], ""))</f>
        <v/>
      </c>
      <c r="J137" s="6"/>
      <c r="K137" s="25" t="str">
        <f>IF(Table11[[#This Row],[Unique CFDA]] = "", "", IFERROR(Table11[[#This Row],[FY 2018 Total]]*Table11[[#This Row],[Senate Budget]], ""))</f>
        <v/>
      </c>
      <c r="L137" s="6" t="str">
        <f>IF(Table11[[#This Row],[Unique CFDA]] = "", "", IF(ISNUMBER(Table11[[#This Row],[President $ Change]]), RANK(Table11[[#This Row],[President $ Change]], Table11[President $ Change])+COUNTIF($G137:G137, G137)-1,0))</f>
        <v/>
      </c>
      <c r="N137">
        <v>134</v>
      </c>
      <c r="O137" t="str">
        <f>IFERROR(INDEX(Table11[Unique CFDA], MATCH(N137, Table11[Pres. Sort], 0)), "")</f>
        <v/>
      </c>
      <c r="P137" s="1" t="str">
        <f>IFERROR(INDEX(Table11[Grant Name], MATCH(MemberOrgFinalSort[[#This Row],[CFDA]], Table11[Unique CFDA], 0)), "")</f>
        <v/>
      </c>
      <c r="Q137" s="20" t="str">
        <f>IFERROR(INDEX(Table11[FY 2018 Total], MATCH(MemberOrgFinalSort[[#This Row],[CFDA]], Table11[Unique CFDA], 0)), "")</f>
        <v/>
      </c>
      <c r="R137" s="21" t="str">
        <f>IFERROR(INDEX(Table11[President % Change], MATCH(MemberOrgFinalSort[[#This Row],[CFDA]], Table11[Unique CFDA], 0)), "")</f>
        <v/>
      </c>
      <c r="S137" s="20" t="str">
        <f>IFERROR(INDEX(Table11[President $ Change], MATCH(MemberOrgFinalSort[[#This Row],[CFDA]], Table11[Unique CFDA], 0)), "")</f>
        <v/>
      </c>
      <c r="T137" s="32" t="str">
        <f>IFERROR(INDEX(Table11[House % Change], MATCH(MemberOrgFinalSort[[#This Row],[CFDA]], Table11[Unique CFDA], 0)), "")</f>
        <v/>
      </c>
      <c r="U137" s="32" t="str">
        <f>IFERROR(INDEX(Table11[House $ Change], MATCH(MemberOrgFinalSort[[#This Row],[CFDA]], Table11[Unique CFDA], 0)), "")</f>
        <v/>
      </c>
      <c r="V137" s="20"/>
      <c r="X137" s="6"/>
      <c r="Y137" s="6"/>
      <c r="Z137" s="6"/>
      <c r="AA137" s="6"/>
      <c r="AB137" s="6"/>
    </row>
    <row r="138" spans="1:28" x14ac:dyDescent="0.25">
      <c r="A138" t="str">
        <f>IF(MemberOrgControl!$C141 = "", "", INDEX(MemberOrgsData[CFDA], MemberOrgControl!$C141))</f>
        <v/>
      </c>
      <c r="C138" s="6" t="str">
        <f>IFERROR(INDEX(AllFilteredCFDAs[All CFDAs], MATCH(0, INDEX(COUNTIF($C$3:C137, AllFilteredCFDAs[All CFDAs]),),0)), "")</f>
        <v/>
      </c>
      <c r="D138" s="6" t="str">
        <f t="array" ref="D138">IFERROR(INDEX(MemberOrgsData[FEDERALPROGRAMNAME], MATCH(1, (SelectMemberOrgs = MemberOrgsData[Auditee Name])*(Table11[[#This Row],[Unique CFDA]] = MemberOrgsData[CFDA]), 0)), "")</f>
        <v/>
      </c>
      <c r="E138" s="25" t="str">
        <f t="array" ref="E138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38" s="26" t="str">
        <f t="array" ref="F138">IFERROR(INDEX(BudgetAppropData[President % Change], MATCH(1, (Table11[[#This Row],[Unique CFDA]] = BudgetAppropData[CFDA])*(SelectBudgetYear = BudgetAppropData[Fiscal Year]), 0)), "")</f>
        <v/>
      </c>
      <c r="G138" s="25" t="str">
        <f>IF(Table11[[#This Row],[Unique CFDA]] = "", "", IFERROR(Table11[[#This Row],[FY 2018 Total]]*Table11[[#This Row],[President % Change]], ""))</f>
        <v/>
      </c>
      <c r="H138" s="26" t="str">
        <f t="array" ref="H138">IFERROR(INDEX(BudgetAppropData[House % Change], MATCH(1, (Table11[[#This Row],[Unique CFDA]] = BudgetAppropData[CFDA])*(SelectBudgetYear = BudgetAppropData[Fiscal Year]),0)), "")</f>
        <v/>
      </c>
      <c r="I138" s="25" t="str">
        <f>IF(Table11[[#This Row],[Unique CFDA]] = "", "", IFERROR(Table11[[#This Row],[FY 2018 Total]]*Table11[[#This Row],[House % Change]], ""))</f>
        <v/>
      </c>
      <c r="J138" s="6"/>
      <c r="K138" s="25" t="str">
        <f>IF(Table11[[#This Row],[Unique CFDA]] = "", "", IFERROR(Table11[[#This Row],[FY 2018 Total]]*Table11[[#This Row],[Senate Budget]], ""))</f>
        <v/>
      </c>
      <c r="L138" s="6" t="str">
        <f>IF(Table11[[#This Row],[Unique CFDA]] = "", "", IF(ISNUMBER(Table11[[#This Row],[President $ Change]]), RANK(Table11[[#This Row],[President $ Change]], Table11[President $ Change])+COUNTIF($G138:G138, G138)-1,0))</f>
        <v/>
      </c>
      <c r="N138">
        <v>135</v>
      </c>
      <c r="O138" t="str">
        <f>IFERROR(INDEX(Table11[Unique CFDA], MATCH(N138, Table11[Pres. Sort], 0)), "")</f>
        <v/>
      </c>
      <c r="P138" s="1" t="str">
        <f>IFERROR(INDEX(Table11[Grant Name], MATCH(MemberOrgFinalSort[[#This Row],[CFDA]], Table11[Unique CFDA], 0)), "")</f>
        <v/>
      </c>
      <c r="Q138" s="20" t="str">
        <f>IFERROR(INDEX(Table11[FY 2018 Total], MATCH(MemberOrgFinalSort[[#This Row],[CFDA]], Table11[Unique CFDA], 0)), "")</f>
        <v/>
      </c>
      <c r="R138" s="21" t="str">
        <f>IFERROR(INDEX(Table11[President % Change], MATCH(MemberOrgFinalSort[[#This Row],[CFDA]], Table11[Unique CFDA], 0)), "")</f>
        <v/>
      </c>
      <c r="S138" s="20" t="str">
        <f>IFERROR(INDEX(Table11[President $ Change], MATCH(MemberOrgFinalSort[[#This Row],[CFDA]], Table11[Unique CFDA], 0)), "")</f>
        <v/>
      </c>
      <c r="T138" s="32" t="str">
        <f>IFERROR(INDEX(Table11[House % Change], MATCH(MemberOrgFinalSort[[#This Row],[CFDA]], Table11[Unique CFDA], 0)), "")</f>
        <v/>
      </c>
      <c r="U138" s="32" t="str">
        <f>IFERROR(INDEX(Table11[House $ Change], MATCH(MemberOrgFinalSort[[#This Row],[CFDA]], Table11[Unique CFDA], 0)), "")</f>
        <v/>
      </c>
      <c r="V138" s="20"/>
      <c r="X138" s="6"/>
      <c r="Y138" s="6"/>
      <c r="Z138" s="6"/>
      <c r="AA138" s="6"/>
      <c r="AB138" s="6"/>
    </row>
    <row r="139" spans="1:28" x14ac:dyDescent="0.25">
      <c r="A139" t="str">
        <f>IF(MemberOrgControl!$C142 = "", "", INDEX(MemberOrgsData[CFDA], MemberOrgControl!$C142))</f>
        <v/>
      </c>
      <c r="C139" s="6" t="str">
        <f>IFERROR(INDEX(AllFilteredCFDAs[All CFDAs], MATCH(0, INDEX(COUNTIF($C$3:C138, AllFilteredCFDAs[All CFDAs]),),0)), "")</f>
        <v/>
      </c>
      <c r="D139" s="6" t="str">
        <f t="array" ref="D139">IFERROR(INDEX(MemberOrgsData[FEDERALPROGRAMNAME], MATCH(1, (SelectMemberOrgs = MemberOrgsData[Auditee Name])*(Table11[[#This Row],[Unique CFDA]] = MemberOrgsData[CFDA]), 0)), "")</f>
        <v/>
      </c>
      <c r="E139" s="25" t="str">
        <f t="array" ref="E139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39" s="26" t="str">
        <f t="array" ref="F139">IFERROR(INDEX(BudgetAppropData[President % Change], MATCH(1, (Table11[[#This Row],[Unique CFDA]] = BudgetAppropData[CFDA])*(SelectBudgetYear = BudgetAppropData[Fiscal Year]), 0)), "")</f>
        <v/>
      </c>
      <c r="G139" s="25" t="str">
        <f>IF(Table11[[#This Row],[Unique CFDA]] = "", "", IFERROR(Table11[[#This Row],[FY 2018 Total]]*Table11[[#This Row],[President % Change]], ""))</f>
        <v/>
      </c>
      <c r="H139" s="26" t="str">
        <f t="array" ref="H139">IFERROR(INDEX(BudgetAppropData[House % Change], MATCH(1, (Table11[[#This Row],[Unique CFDA]] = BudgetAppropData[CFDA])*(SelectBudgetYear = BudgetAppropData[Fiscal Year]),0)), "")</f>
        <v/>
      </c>
      <c r="I139" s="25" t="str">
        <f>IF(Table11[[#This Row],[Unique CFDA]] = "", "", IFERROR(Table11[[#This Row],[FY 2018 Total]]*Table11[[#This Row],[House % Change]], ""))</f>
        <v/>
      </c>
      <c r="J139" s="6"/>
      <c r="K139" s="25" t="str">
        <f>IF(Table11[[#This Row],[Unique CFDA]] = "", "", IFERROR(Table11[[#This Row],[FY 2018 Total]]*Table11[[#This Row],[Senate Budget]], ""))</f>
        <v/>
      </c>
      <c r="L139" s="6" t="str">
        <f>IF(Table11[[#This Row],[Unique CFDA]] = "", "", IF(ISNUMBER(Table11[[#This Row],[President $ Change]]), RANK(Table11[[#This Row],[President $ Change]], Table11[President $ Change])+COUNTIF($G139:G139, G139)-1,0))</f>
        <v/>
      </c>
      <c r="N139">
        <v>136</v>
      </c>
      <c r="O139" t="str">
        <f>IFERROR(INDEX(Table11[Unique CFDA], MATCH(N139, Table11[Pres. Sort], 0)), "")</f>
        <v/>
      </c>
      <c r="P139" s="1" t="str">
        <f>IFERROR(INDEX(Table11[Grant Name], MATCH(MemberOrgFinalSort[[#This Row],[CFDA]], Table11[Unique CFDA], 0)), "")</f>
        <v/>
      </c>
      <c r="Q139" s="20" t="str">
        <f>IFERROR(INDEX(Table11[FY 2018 Total], MATCH(MemberOrgFinalSort[[#This Row],[CFDA]], Table11[Unique CFDA], 0)), "")</f>
        <v/>
      </c>
      <c r="R139" s="21" t="str">
        <f>IFERROR(INDEX(Table11[President % Change], MATCH(MemberOrgFinalSort[[#This Row],[CFDA]], Table11[Unique CFDA], 0)), "")</f>
        <v/>
      </c>
      <c r="S139" s="20" t="str">
        <f>IFERROR(INDEX(Table11[President $ Change], MATCH(MemberOrgFinalSort[[#This Row],[CFDA]], Table11[Unique CFDA], 0)), "")</f>
        <v/>
      </c>
      <c r="T139" s="32" t="str">
        <f>IFERROR(INDEX(Table11[House % Change], MATCH(MemberOrgFinalSort[[#This Row],[CFDA]], Table11[Unique CFDA], 0)), "")</f>
        <v/>
      </c>
      <c r="U139" s="32" t="str">
        <f>IFERROR(INDEX(Table11[House $ Change], MATCH(MemberOrgFinalSort[[#This Row],[CFDA]], Table11[Unique CFDA], 0)), "")</f>
        <v/>
      </c>
      <c r="V139" s="20"/>
      <c r="X139" s="6"/>
      <c r="Y139" s="6"/>
      <c r="Z139" s="6"/>
      <c r="AA139" s="6"/>
      <c r="AB139" s="6"/>
    </row>
    <row r="140" spans="1:28" x14ac:dyDescent="0.25">
      <c r="A140" t="str">
        <f>IF(MemberOrgControl!$C143 = "", "", INDEX(MemberOrgsData[CFDA], MemberOrgControl!$C143))</f>
        <v/>
      </c>
      <c r="C140" s="6" t="str">
        <f>IFERROR(INDEX(AllFilteredCFDAs[All CFDAs], MATCH(0, INDEX(COUNTIF($C$3:C139, AllFilteredCFDAs[All CFDAs]),),0)), "")</f>
        <v/>
      </c>
      <c r="D140" s="6" t="str">
        <f t="array" ref="D140">IFERROR(INDEX(MemberOrgsData[FEDERALPROGRAMNAME], MATCH(1, (SelectMemberOrgs = MemberOrgsData[Auditee Name])*(Table11[[#This Row],[Unique CFDA]] = MemberOrgsData[CFDA]), 0)), "")</f>
        <v/>
      </c>
      <c r="E140" s="25" t="str">
        <f t="array" ref="E140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40" s="26" t="str">
        <f t="array" ref="F140">IFERROR(INDEX(BudgetAppropData[President % Change], MATCH(1, (Table11[[#This Row],[Unique CFDA]] = BudgetAppropData[CFDA])*(SelectBudgetYear = BudgetAppropData[Fiscal Year]), 0)), "")</f>
        <v/>
      </c>
      <c r="G140" s="25" t="str">
        <f>IF(Table11[[#This Row],[Unique CFDA]] = "", "", IFERROR(Table11[[#This Row],[FY 2018 Total]]*Table11[[#This Row],[President % Change]], ""))</f>
        <v/>
      </c>
      <c r="H140" s="26" t="str">
        <f t="array" ref="H140">IFERROR(INDEX(BudgetAppropData[House % Change], MATCH(1, (Table11[[#This Row],[Unique CFDA]] = BudgetAppropData[CFDA])*(SelectBudgetYear = BudgetAppropData[Fiscal Year]),0)), "")</f>
        <v/>
      </c>
      <c r="I140" s="25" t="str">
        <f>IF(Table11[[#This Row],[Unique CFDA]] = "", "", IFERROR(Table11[[#This Row],[FY 2018 Total]]*Table11[[#This Row],[House % Change]], ""))</f>
        <v/>
      </c>
      <c r="J140" s="6"/>
      <c r="K140" s="25" t="str">
        <f>IF(Table11[[#This Row],[Unique CFDA]] = "", "", IFERROR(Table11[[#This Row],[FY 2018 Total]]*Table11[[#This Row],[Senate Budget]], ""))</f>
        <v/>
      </c>
      <c r="L140" s="6" t="str">
        <f>IF(Table11[[#This Row],[Unique CFDA]] = "", "", IF(ISNUMBER(Table11[[#This Row],[President $ Change]]), RANK(Table11[[#This Row],[President $ Change]], Table11[President $ Change])+COUNTIF($G140:G140, G140)-1,0))</f>
        <v/>
      </c>
      <c r="N140">
        <v>137</v>
      </c>
      <c r="O140" t="str">
        <f>IFERROR(INDEX(Table11[Unique CFDA], MATCH(N140, Table11[Pres. Sort], 0)), "")</f>
        <v/>
      </c>
      <c r="P140" s="1" t="str">
        <f>IFERROR(INDEX(Table11[Grant Name], MATCH(MemberOrgFinalSort[[#This Row],[CFDA]], Table11[Unique CFDA], 0)), "")</f>
        <v/>
      </c>
      <c r="Q140" s="20" t="str">
        <f>IFERROR(INDEX(Table11[FY 2018 Total], MATCH(MemberOrgFinalSort[[#This Row],[CFDA]], Table11[Unique CFDA], 0)), "")</f>
        <v/>
      </c>
      <c r="R140" s="21" t="str">
        <f>IFERROR(INDEX(Table11[President % Change], MATCH(MemberOrgFinalSort[[#This Row],[CFDA]], Table11[Unique CFDA], 0)), "")</f>
        <v/>
      </c>
      <c r="S140" s="20" t="str">
        <f>IFERROR(INDEX(Table11[President $ Change], MATCH(MemberOrgFinalSort[[#This Row],[CFDA]], Table11[Unique CFDA], 0)), "")</f>
        <v/>
      </c>
      <c r="T140" s="32" t="str">
        <f>IFERROR(INDEX(Table11[House % Change], MATCH(MemberOrgFinalSort[[#This Row],[CFDA]], Table11[Unique CFDA], 0)), "")</f>
        <v/>
      </c>
      <c r="U140" s="32" t="str">
        <f>IFERROR(INDEX(Table11[House $ Change], MATCH(MemberOrgFinalSort[[#This Row],[CFDA]], Table11[Unique CFDA], 0)), "")</f>
        <v/>
      </c>
      <c r="V140" s="20"/>
      <c r="X140" s="6"/>
      <c r="Y140" s="6"/>
      <c r="Z140" s="6"/>
      <c r="AA140" s="6"/>
      <c r="AB140" s="6"/>
    </row>
    <row r="141" spans="1:28" x14ac:dyDescent="0.25">
      <c r="A141" t="str">
        <f>IF(MemberOrgControl!$C144 = "", "", INDEX(MemberOrgsData[CFDA], MemberOrgControl!$C144))</f>
        <v/>
      </c>
      <c r="C141" s="6" t="str">
        <f>IFERROR(INDEX(AllFilteredCFDAs[All CFDAs], MATCH(0, INDEX(COUNTIF($C$3:C140, AllFilteredCFDAs[All CFDAs]),),0)), "")</f>
        <v/>
      </c>
      <c r="D141" s="6" t="str">
        <f t="array" ref="D141">IFERROR(INDEX(MemberOrgsData[FEDERALPROGRAMNAME], MATCH(1, (SelectMemberOrgs = MemberOrgsData[Auditee Name])*(Table11[[#This Row],[Unique CFDA]] = MemberOrgsData[CFDA]), 0)), "")</f>
        <v/>
      </c>
      <c r="E141" s="25" t="str">
        <f t="array" ref="E141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41" s="26" t="str">
        <f t="array" ref="F141">IFERROR(INDEX(BudgetAppropData[President % Change], MATCH(1, (Table11[[#This Row],[Unique CFDA]] = BudgetAppropData[CFDA])*(SelectBudgetYear = BudgetAppropData[Fiscal Year]), 0)), "")</f>
        <v/>
      </c>
      <c r="G141" s="25" t="str">
        <f>IF(Table11[[#This Row],[Unique CFDA]] = "", "", IFERROR(Table11[[#This Row],[FY 2018 Total]]*Table11[[#This Row],[President % Change]], ""))</f>
        <v/>
      </c>
      <c r="H141" s="26" t="str">
        <f t="array" ref="H141">IFERROR(INDEX(BudgetAppropData[House % Change], MATCH(1, (Table11[[#This Row],[Unique CFDA]] = BudgetAppropData[CFDA])*(SelectBudgetYear = BudgetAppropData[Fiscal Year]),0)), "")</f>
        <v/>
      </c>
      <c r="I141" s="25" t="str">
        <f>IF(Table11[[#This Row],[Unique CFDA]] = "", "", IFERROR(Table11[[#This Row],[FY 2018 Total]]*Table11[[#This Row],[House % Change]], ""))</f>
        <v/>
      </c>
      <c r="J141" s="6"/>
      <c r="K141" s="25" t="str">
        <f>IF(Table11[[#This Row],[Unique CFDA]] = "", "", IFERROR(Table11[[#This Row],[FY 2018 Total]]*Table11[[#This Row],[Senate Budget]], ""))</f>
        <v/>
      </c>
      <c r="L141" s="6" t="str">
        <f>IF(Table11[[#This Row],[Unique CFDA]] = "", "", IF(ISNUMBER(Table11[[#This Row],[President $ Change]]), RANK(Table11[[#This Row],[President $ Change]], Table11[President $ Change])+COUNTIF($G141:G141, G141)-1,0))</f>
        <v/>
      </c>
      <c r="N141">
        <v>138</v>
      </c>
      <c r="O141" t="str">
        <f>IFERROR(INDEX(Table11[Unique CFDA], MATCH(N141, Table11[Pres. Sort], 0)), "")</f>
        <v/>
      </c>
      <c r="P141" s="1" t="str">
        <f>IFERROR(INDEX(Table11[Grant Name], MATCH(MemberOrgFinalSort[[#This Row],[CFDA]], Table11[Unique CFDA], 0)), "")</f>
        <v/>
      </c>
      <c r="Q141" s="20" t="str">
        <f>IFERROR(INDEX(Table11[FY 2018 Total], MATCH(MemberOrgFinalSort[[#This Row],[CFDA]], Table11[Unique CFDA], 0)), "")</f>
        <v/>
      </c>
      <c r="R141" s="21" t="str">
        <f>IFERROR(INDEX(Table11[President % Change], MATCH(MemberOrgFinalSort[[#This Row],[CFDA]], Table11[Unique CFDA], 0)), "")</f>
        <v/>
      </c>
      <c r="S141" s="20" t="str">
        <f>IFERROR(INDEX(Table11[President $ Change], MATCH(MemberOrgFinalSort[[#This Row],[CFDA]], Table11[Unique CFDA], 0)), "")</f>
        <v/>
      </c>
      <c r="T141" s="32" t="str">
        <f>IFERROR(INDEX(Table11[House % Change], MATCH(MemberOrgFinalSort[[#This Row],[CFDA]], Table11[Unique CFDA], 0)), "")</f>
        <v/>
      </c>
      <c r="U141" s="32" t="str">
        <f>IFERROR(INDEX(Table11[House $ Change], MATCH(MemberOrgFinalSort[[#This Row],[CFDA]], Table11[Unique CFDA], 0)), "")</f>
        <v/>
      </c>
      <c r="V141" s="20"/>
      <c r="X141" s="6"/>
      <c r="Y141" s="6"/>
      <c r="Z141" s="6"/>
      <c r="AA141" s="6"/>
      <c r="AB141" s="6"/>
    </row>
    <row r="142" spans="1:28" x14ac:dyDescent="0.25">
      <c r="A142" t="str">
        <f>IF(MemberOrgControl!$C145 = "", "", INDEX(MemberOrgsData[CFDA], MemberOrgControl!$C145))</f>
        <v/>
      </c>
      <c r="C142" s="6" t="str">
        <f>IFERROR(INDEX(AllFilteredCFDAs[All CFDAs], MATCH(0, INDEX(COUNTIF($C$3:C141, AllFilteredCFDAs[All CFDAs]),),0)), "")</f>
        <v/>
      </c>
      <c r="D142" s="6" t="str">
        <f t="array" ref="D142">IFERROR(INDEX(MemberOrgsData[FEDERALPROGRAMNAME], MATCH(1, (SelectMemberOrgs = MemberOrgsData[Auditee Name])*(Table11[[#This Row],[Unique CFDA]] = MemberOrgsData[CFDA]), 0)), "")</f>
        <v/>
      </c>
      <c r="E142" s="25" t="str">
        <f t="array" ref="E142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42" s="26" t="str">
        <f t="array" ref="F142">IFERROR(INDEX(BudgetAppropData[President % Change], MATCH(1, (Table11[[#This Row],[Unique CFDA]] = BudgetAppropData[CFDA])*(SelectBudgetYear = BudgetAppropData[Fiscal Year]), 0)), "")</f>
        <v/>
      </c>
      <c r="G142" s="25" t="str">
        <f>IF(Table11[[#This Row],[Unique CFDA]] = "", "", IFERROR(Table11[[#This Row],[FY 2018 Total]]*Table11[[#This Row],[President % Change]], ""))</f>
        <v/>
      </c>
      <c r="H142" s="26" t="str">
        <f t="array" ref="H142">IFERROR(INDEX(BudgetAppropData[House % Change], MATCH(1, (Table11[[#This Row],[Unique CFDA]] = BudgetAppropData[CFDA])*(SelectBudgetYear = BudgetAppropData[Fiscal Year]),0)), "")</f>
        <v/>
      </c>
      <c r="I142" s="25" t="str">
        <f>IF(Table11[[#This Row],[Unique CFDA]] = "", "", IFERROR(Table11[[#This Row],[FY 2018 Total]]*Table11[[#This Row],[House % Change]], ""))</f>
        <v/>
      </c>
      <c r="J142" s="6"/>
      <c r="K142" s="25" t="str">
        <f>IF(Table11[[#This Row],[Unique CFDA]] = "", "", IFERROR(Table11[[#This Row],[FY 2018 Total]]*Table11[[#This Row],[Senate Budget]], ""))</f>
        <v/>
      </c>
      <c r="L142" s="6" t="str">
        <f>IF(Table11[[#This Row],[Unique CFDA]] = "", "", IF(ISNUMBER(Table11[[#This Row],[President $ Change]]), RANK(Table11[[#This Row],[President $ Change]], Table11[President $ Change])+COUNTIF($G142:G142, G142)-1,0))</f>
        <v/>
      </c>
      <c r="N142">
        <v>139</v>
      </c>
      <c r="O142" t="str">
        <f>IFERROR(INDEX(Table11[Unique CFDA], MATCH(N142, Table11[Pres. Sort], 0)), "")</f>
        <v/>
      </c>
      <c r="P142" s="1" t="str">
        <f>IFERROR(INDEX(Table11[Grant Name], MATCH(MemberOrgFinalSort[[#This Row],[CFDA]], Table11[Unique CFDA], 0)), "")</f>
        <v/>
      </c>
      <c r="Q142" s="20" t="str">
        <f>IFERROR(INDEX(Table11[FY 2018 Total], MATCH(MemberOrgFinalSort[[#This Row],[CFDA]], Table11[Unique CFDA], 0)), "")</f>
        <v/>
      </c>
      <c r="R142" s="21" t="str">
        <f>IFERROR(INDEX(Table11[President % Change], MATCH(MemberOrgFinalSort[[#This Row],[CFDA]], Table11[Unique CFDA], 0)), "")</f>
        <v/>
      </c>
      <c r="S142" s="20" t="str">
        <f>IFERROR(INDEX(Table11[President $ Change], MATCH(MemberOrgFinalSort[[#This Row],[CFDA]], Table11[Unique CFDA], 0)), "")</f>
        <v/>
      </c>
      <c r="T142" s="32" t="str">
        <f>IFERROR(INDEX(Table11[House % Change], MATCH(MemberOrgFinalSort[[#This Row],[CFDA]], Table11[Unique CFDA], 0)), "")</f>
        <v/>
      </c>
      <c r="U142" s="32" t="str">
        <f>IFERROR(INDEX(Table11[House $ Change], MATCH(MemberOrgFinalSort[[#This Row],[CFDA]], Table11[Unique CFDA], 0)), "")</f>
        <v/>
      </c>
      <c r="V142" s="20"/>
      <c r="X142" s="6"/>
      <c r="Y142" s="6"/>
      <c r="Z142" s="6"/>
      <c r="AA142" s="6"/>
      <c r="AB142" s="6"/>
    </row>
    <row r="143" spans="1:28" x14ac:dyDescent="0.25">
      <c r="A143" t="str">
        <f>IF(MemberOrgControl!$C146 = "", "", INDEX(MemberOrgsData[CFDA], MemberOrgControl!$C146))</f>
        <v/>
      </c>
      <c r="C143" s="6" t="str">
        <f>IFERROR(INDEX(AllFilteredCFDAs[All CFDAs], MATCH(0, INDEX(COUNTIF($C$3:C142, AllFilteredCFDAs[All CFDAs]),),0)), "")</f>
        <v/>
      </c>
      <c r="D143" s="6" t="str">
        <f t="array" ref="D143">IFERROR(INDEX(MemberOrgsData[FEDERALPROGRAMNAME], MATCH(1, (SelectMemberOrgs = MemberOrgsData[Auditee Name])*(Table11[[#This Row],[Unique CFDA]] = MemberOrgsData[CFDA]), 0)), "")</f>
        <v/>
      </c>
      <c r="E143" s="25" t="str">
        <f t="array" ref="E143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43" s="26" t="str">
        <f t="array" ref="F143">IFERROR(INDEX(BudgetAppropData[President % Change], MATCH(1, (Table11[[#This Row],[Unique CFDA]] = BudgetAppropData[CFDA])*(SelectBudgetYear = BudgetAppropData[Fiscal Year]), 0)), "")</f>
        <v/>
      </c>
      <c r="G143" s="25" t="str">
        <f>IF(Table11[[#This Row],[Unique CFDA]] = "", "", IFERROR(Table11[[#This Row],[FY 2018 Total]]*Table11[[#This Row],[President % Change]], ""))</f>
        <v/>
      </c>
      <c r="H143" s="26" t="str">
        <f t="array" ref="H143">IFERROR(INDEX(BudgetAppropData[House % Change], MATCH(1, (Table11[[#This Row],[Unique CFDA]] = BudgetAppropData[CFDA])*(SelectBudgetYear = BudgetAppropData[Fiscal Year]),0)), "")</f>
        <v/>
      </c>
      <c r="I143" s="25" t="str">
        <f>IF(Table11[[#This Row],[Unique CFDA]] = "", "", IFERROR(Table11[[#This Row],[FY 2018 Total]]*Table11[[#This Row],[House % Change]], ""))</f>
        <v/>
      </c>
      <c r="J143" s="6"/>
      <c r="K143" s="25" t="str">
        <f>IF(Table11[[#This Row],[Unique CFDA]] = "", "", IFERROR(Table11[[#This Row],[FY 2018 Total]]*Table11[[#This Row],[Senate Budget]], ""))</f>
        <v/>
      </c>
      <c r="L143" s="6" t="str">
        <f>IF(Table11[[#This Row],[Unique CFDA]] = "", "", IF(ISNUMBER(Table11[[#This Row],[President $ Change]]), RANK(Table11[[#This Row],[President $ Change]], Table11[President $ Change])+COUNTIF($G143:G143, G143)-1,0))</f>
        <v/>
      </c>
      <c r="N143">
        <v>140</v>
      </c>
      <c r="O143" t="str">
        <f>IFERROR(INDEX(Table11[Unique CFDA], MATCH(N143, Table11[Pres. Sort], 0)), "")</f>
        <v/>
      </c>
      <c r="P143" s="1" t="str">
        <f>IFERROR(INDEX(Table11[Grant Name], MATCH(MemberOrgFinalSort[[#This Row],[CFDA]], Table11[Unique CFDA], 0)), "")</f>
        <v/>
      </c>
      <c r="Q143" s="20" t="str">
        <f>IFERROR(INDEX(Table11[FY 2018 Total], MATCH(MemberOrgFinalSort[[#This Row],[CFDA]], Table11[Unique CFDA], 0)), "")</f>
        <v/>
      </c>
      <c r="R143" s="21" t="str">
        <f>IFERROR(INDEX(Table11[President % Change], MATCH(MemberOrgFinalSort[[#This Row],[CFDA]], Table11[Unique CFDA], 0)), "")</f>
        <v/>
      </c>
      <c r="S143" s="20" t="str">
        <f>IFERROR(INDEX(Table11[President $ Change], MATCH(MemberOrgFinalSort[[#This Row],[CFDA]], Table11[Unique CFDA], 0)), "")</f>
        <v/>
      </c>
      <c r="T143" s="32" t="str">
        <f>IFERROR(INDEX(Table11[House % Change], MATCH(MemberOrgFinalSort[[#This Row],[CFDA]], Table11[Unique CFDA], 0)), "")</f>
        <v/>
      </c>
      <c r="U143" s="32" t="str">
        <f>IFERROR(INDEX(Table11[House $ Change], MATCH(MemberOrgFinalSort[[#This Row],[CFDA]], Table11[Unique CFDA], 0)), "")</f>
        <v/>
      </c>
      <c r="V143" s="20"/>
      <c r="X143" s="6"/>
      <c r="Y143" s="6"/>
      <c r="Z143" s="6"/>
      <c r="AA143" s="6"/>
      <c r="AB143" s="6"/>
    </row>
    <row r="144" spans="1:28" x14ac:dyDescent="0.25">
      <c r="A144" t="str">
        <f>IF(MemberOrgControl!$C147 = "", "", INDEX(MemberOrgsData[CFDA], MemberOrgControl!$C147))</f>
        <v/>
      </c>
      <c r="C144" s="6" t="str">
        <f>IFERROR(INDEX(AllFilteredCFDAs[All CFDAs], MATCH(0, INDEX(COUNTIF($C$3:C143, AllFilteredCFDAs[All CFDAs]),),0)), "")</f>
        <v/>
      </c>
      <c r="D144" s="6" t="str">
        <f t="array" ref="D144">IFERROR(INDEX(MemberOrgsData[FEDERALPROGRAMNAME], MATCH(1, (SelectMemberOrgs = MemberOrgsData[Auditee Name])*(Table11[[#This Row],[Unique CFDA]] = MemberOrgsData[CFDA]), 0)), "")</f>
        <v/>
      </c>
      <c r="E144" s="25" t="str">
        <f t="array" ref="E144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44" s="26" t="str">
        <f t="array" ref="F144">IFERROR(INDEX(BudgetAppropData[President % Change], MATCH(1, (Table11[[#This Row],[Unique CFDA]] = BudgetAppropData[CFDA])*(SelectBudgetYear = BudgetAppropData[Fiscal Year]), 0)), "")</f>
        <v/>
      </c>
      <c r="G144" s="25" t="str">
        <f>IF(Table11[[#This Row],[Unique CFDA]] = "", "", IFERROR(Table11[[#This Row],[FY 2018 Total]]*Table11[[#This Row],[President % Change]], ""))</f>
        <v/>
      </c>
      <c r="H144" s="26" t="str">
        <f t="array" ref="H144">IFERROR(INDEX(BudgetAppropData[House % Change], MATCH(1, (Table11[[#This Row],[Unique CFDA]] = BudgetAppropData[CFDA])*(SelectBudgetYear = BudgetAppropData[Fiscal Year]),0)), "")</f>
        <v/>
      </c>
      <c r="I144" s="25" t="str">
        <f>IF(Table11[[#This Row],[Unique CFDA]] = "", "", IFERROR(Table11[[#This Row],[FY 2018 Total]]*Table11[[#This Row],[House % Change]], ""))</f>
        <v/>
      </c>
      <c r="J144" s="6"/>
      <c r="K144" s="25" t="str">
        <f>IF(Table11[[#This Row],[Unique CFDA]] = "", "", IFERROR(Table11[[#This Row],[FY 2018 Total]]*Table11[[#This Row],[Senate Budget]], ""))</f>
        <v/>
      </c>
      <c r="L144" s="6" t="str">
        <f>IF(Table11[[#This Row],[Unique CFDA]] = "", "", IF(ISNUMBER(Table11[[#This Row],[President $ Change]]), RANK(Table11[[#This Row],[President $ Change]], Table11[President $ Change])+COUNTIF($G144:G144, G144)-1,0))</f>
        <v/>
      </c>
      <c r="N144">
        <v>141</v>
      </c>
      <c r="O144" t="str">
        <f>IFERROR(INDEX(Table11[Unique CFDA], MATCH(N144, Table11[Pres. Sort], 0)), "")</f>
        <v/>
      </c>
      <c r="P144" s="1" t="str">
        <f>IFERROR(INDEX(Table11[Grant Name], MATCH(MemberOrgFinalSort[[#This Row],[CFDA]], Table11[Unique CFDA], 0)), "")</f>
        <v/>
      </c>
      <c r="Q144" s="20" t="str">
        <f>IFERROR(INDEX(Table11[FY 2018 Total], MATCH(MemberOrgFinalSort[[#This Row],[CFDA]], Table11[Unique CFDA], 0)), "")</f>
        <v/>
      </c>
      <c r="R144" s="21" t="str">
        <f>IFERROR(INDEX(Table11[President % Change], MATCH(MemberOrgFinalSort[[#This Row],[CFDA]], Table11[Unique CFDA], 0)), "")</f>
        <v/>
      </c>
      <c r="S144" s="20" t="str">
        <f>IFERROR(INDEX(Table11[President $ Change], MATCH(MemberOrgFinalSort[[#This Row],[CFDA]], Table11[Unique CFDA], 0)), "")</f>
        <v/>
      </c>
      <c r="T144" s="32" t="str">
        <f>IFERROR(INDEX(Table11[House % Change], MATCH(MemberOrgFinalSort[[#This Row],[CFDA]], Table11[Unique CFDA], 0)), "")</f>
        <v/>
      </c>
      <c r="U144" s="32" t="str">
        <f>IFERROR(INDEX(Table11[House $ Change], MATCH(MemberOrgFinalSort[[#This Row],[CFDA]], Table11[Unique CFDA], 0)), "")</f>
        <v/>
      </c>
      <c r="V144" s="20"/>
      <c r="X144" s="6"/>
      <c r="Y144" s="6"/>
      <c r="Z144" s="6"/>
      <c r="AA144" s="6"/>
      <c r="AB144" s="6"/>
    </row>
    <row r="145" spans="1:28" x14ac:dyDescent="0.25">
      <c r="A145" t="str">
        <f>IF(MemberOrgControl!$C148 = "", "", INDEX(MemberOrgsData[CFDA], MemberOrgControl!$C148))</f>
        <v/>
      </c>
      <c r="C145" s="6" t="str">
        <f>IFERROR(INDEX(AllFilteredCFDAs[All CFDAs], MATCH(0, INDEX(COUNTIF($C$3:C144, AllFilteredCFDAs[All CFDAs]),),0)), "")</f>
        <v/>
      </c>
      <c r="D145" s="6" t="str">
        <f t="array" ref="D145">IFERROR(INDEX(MemberOrgsData[FEDERALPROGRAMNAME], MATCH(1, (SelectMemberOrgs = MemberOrgsData[Auditee Name])*(Table11[[#This Row],[Unique CFDA]] = MemberOrgsData[CFDA]), 0)), "")</f>
        <v/>
      </c>
      <c r="E145" s="25" t="str">
        <f t="array" ref="E145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45" s="26" t="str">
        <f t="array" ref="F145">IFERROR(INDEX(BudgetAppropData[President % Change], MATCH(1, (Table11[[#This Row],[Unique CFDA]] = BudgetAppropData[CFDA])*(SelectBudgetYear = BudgetAppropData[Fiscal Year]), 0)), "")</f>
        <v/>
      </c>
      <c r="G145" s="25" t="str">
        <f>IF(Table11[[#This Row],[Unique CFDA]] = "", "", IFERROR(Table11[[#This Row],[FY 2018 Total]]*Table11[[#This Row],[President % Change]], ""))</f>
        <v/>
      </c>
      <c r="H145" s="26" t="str">
        <f t="array" ref="H145">IFERROR(INDEX(BudgetAppropData[House % Change], MATCH(1, (Table11[[#This Row],[Unique CFDA]] = BudgetAppropData[CFDA])*(SelectBudgetYear = BudgetAppropData[Fiscal Year]),0)), "")</f>
        <v/>
      </c>
      <c r="I145" s="25" t="str">
        <f>IF(Table11[[#This Row],[Unique CFDA]] = "", "", IFERROR(Table11[[#This Row],[FY 2018 Total]]*Table11[[#This Row],[House % Change]], ""))</f>
        <v/>
      </c>
      <c r="J145" s="6"/>
      <c r="K145" s="25" t="str">
        <f>IF(Table11[[#This Row],[Unique CFDA]] = "", "", IFERROR(Table11[[#This Row],[FY 2018 Total]]*Table11[[#This Row],[Senate Budget]], ""))</f>
        <v/>
      </c>
      <c r="L145" s="6" t="str">
        <f>IF(Table11[[#This Row],[Unique CFDA]] = "", "", IF(ISNUMBER(Table11[[#This Row],[President $ Change]]), RANK(Table11[[#This Row],[President $ Change]], Table11[President $ Change])+COUNTIF($G145:G145, G145)-1,0))</f>
        <v/>
      </c>
      <c r="N145">
        <v>142</v>
      </c>
      <c r="O145" t="str">
        <f>IFERROR(INDEX(Table11[Unique CFDA], MATCH(N145, Table11[Pres. Sort], 0)), "")</f>
        <v/>
      </c>
      <c r="P145" s="1" t="str">
        <f>IFERROR(INDEX(Table11[Grant Name], MATCH(MemberOrgFinalSort[[#This Row],[CFDA]], Table11[Unique CFDA], 0)), "")</f>
        <v/>
      </c>
      <c r="Q145" s="20" t="str">
        <f>IFERROR(INDEX(Table11[FY 2018 Total], MATCH(MemberOrgFinalSort[[#This Row],[CFDA]], Table11[Unique CFDA], 0)), "")</f>
        <v/>
      </c>
      <c r="R145" s="21" t="str">
        <f>IFERROR(INDEX(Table11[President % Change], MATCH(MemberOrgFinalSort[[#This Row],[CFDA]], Table11[Unique CFDA], 0)), "")</f>
        <v/>
      </c>
      <c r="S145" s="20" t="str">
        <f>IFERROR(INDEX(Table11[President $ Change], MATCH(MemberOrgFinalSort[[#This Row],[CFDA]], Table11[Unique CFDA], 0)), "")</f>
        <v/>
      </c>
      <c r="T145" s="32" t="str">
        <f>IFERROR(INDEX(Table11[House % Change], MATCH(MemberOrgFinalSort[[#This Row],[CFDA]], Table11[Unique CFDA], 0)), "")</f>
        <v/>
      </c>
      <c r="U145" s="32" t="str">
        <f>IFERROR(INDEX(Table11[House $ Change], MATCH(MemberOrgFinalSort[[#This Row],[CFDA]], Table11[Unique CFDA], 0)), "")</f>
        <v/>
      </c>
      <c r="V145" s="20"/>
      <c r="X145" s="6"/>
      <c r="Y145" s="6"/>
      <c r="Z145" s="6"/>
      <c r="AA145" s="6"/>
      <c r="AB145" s="6"/>
    </row>
    <row r="146" spans="1:28" x14ac:dyDescent="0.25">
      <c r="A146" t="str">
        <f>IF(MemberOrgControl!$C149 = "", "", INDEX(MemberOrgsData[CFDA], MemberOrgControl!$C149))</f>
        <v/>
      </c>
      <c r="C146" s="6" t="str">
        <f>IFERROR(INDEX(AllFilteredCFDAs[All CFDAs], MATCH(0, INDEX(COUNTIF($C$3:C145, AllFilteredCFDAs[All CFDAs]),),0)), "")</f>
        <v/>
      </c>
      <c r="D146" s="6" t="str">
        <f t="array" ref="D146">IFERROR(INDEX(MemberOrgsData[FEDERALPROGRAMNAME], MATCH(1, (SelectMemberOrgs = MemberOrgsData[Auditee Name])*(Table11[[#This Row],[Unique CFDA]] = MemberOrgsData[CFDA]), 0)), "")</f>
        <v/>
      </c>
      <c r="E146" s="25" t="str">
        <f t="array" ref="E146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46" s="26" t="str">
        <f t="array" ref="F146">IFERROR(INDEX(BudgetAppropData[President % Change], MATCH(1, (Table11[[#This Row],[Unique CFDA]] = BudgetAppropData[CFDA])*(SelectBudgetYear = BudgetAppropData[Fiscal Year]), 0)), "")</f>
        <v/>
      </c>
      <c r="G146" s="25" t="str">
        <f>IF(Table11[[#This Row],[Unique CFDA]] = "", "", IFERROR(Table11[[#This Row],[FY 2018 Total]]*Table11[[#This Row],[President % Change]], ""))</f>
        <v/>
      </c>
      <c r="H146" s="26" t="str">
        <f t="array" ref="H146">IFERROR(INDEX(BudgetAppropData[House % Change], MATCH(1, (Table11[[#This Row],[Unique CFDA]] = BudgetAppropData[CFDA])*(SelectBudgetYear = BudgetAppropData[Fiscal Year]),0)), "")</f>
        <v/>
      </c>
      <c r="I146" s="25" t="str">
        <f>IF(Table11[[#This Row],[Unique CFDA]] = "", "", IFERROR(Table11[[#This Row],[FY 2018 Total]]*Table11[[#This Row],[House % Change]], ""))</f>
        <v/>
      </c>
      <c r="J146" s="6"/>
      <c r="K146" s="25" t="str">
        <f>IF(Table11[[#This Row],[Unique CFDA]] = "", "", IFERROR(Table11[[#This Row],[FY 2018 Total]]*Table11[[#This Row],[Senate Budget]], ""))</f>
        <v/>
      </c>
      <c r="L146" s="6" t="str">
        <f>IF(Table11[[#This Row],[Unique CFDA]] = "", "", IF(ISNUMBER(Table11[[#This Row],[President $ Change]]), RANK(Table11[[#This Row],[President $ Change]], Table11[President $ Change])+COUNTIF($G146:G146, G146)-1,0))</f>
        <v/>
      </c>
      <c r="N146">
        <v>143</v>
      </c>
      <c r="O146" t="str">
        <f>IFERROR(INDEX(Table11[Unique CFDA], MATCH(N146, Table11[Pres. Sort], 0)), "")</f>
        <v/>
      </c>
      <c r="P146" s="1" t="str">
        <f>IFERROR(INDEX(Table11[Grant Name], MATCH(MemberOrgFinalSort[[#This Row],[CFDA]], Table11[Unique CFDA], 0)), "")</f>
        <v/>
      </c>
      <c r="Q146" s="20" t="str">
        <f>IFERROR(INDEX(Table11[FY 2018 Total], MATCH(MemberOrgFinalSort[[#This Row],[CFDA]], Table11[Unique CFDA], 0)), "")</f>
        <v/>
      </c>
      <c r="R146" s="21" t="str">
        <f>IFERROR(INDEX(Table11[President % Change], MATCH(MemberOrgFinalSort[[#This Row],[CFDA]], Table11[Unique CFDA], 0)), "")</f>
        <v/>
      </c>
      <c r="S146" s="20" t="str">
        <f>IFERROR(INDEX(Table11[President $ Change], MATCH(MemberOrgFinalSort[[#This Row],[CFDA]], Table11[Unique CFDA], 0)), "")</f>
        <v/>
      </c>
      <c r="T146" s="32" t="str">
        <f>IFERROR(INDEX(Table11[House % Change], MATCH(MemberOrgFinalSort[[#This Row],[CFDA]], Table11[Unique CFDA], 0)), "")</f>
        <v/>
      </c>
      <c r="U146" s="32" t="str">
        <f>IFERROR(INDEX(Table11[House $ Change], MATCH(MemberOrgFinalSort[[#This Row],[CFDA]], Table11[Unique CFDA], 0)), "")</f>
        <v/>
      </c>
      <c r="V146" s="20"/>
      <c r="X146" s="6"/>
      <c r="Y146" s="6"/>
      <c r="Z146" s="6"/>
      <c r="AA146" s="6"/>
      <c r="AB146" s="6"/>
    </row>
    <row r="147" spans="1:28" x14ac:dyDescent="0.25">
      <c r="A147" t="str">
        <f>IF(MemberOrgControl!$C150 = "", "", INDEX(MemberOrgsData[CFDA], MemberOrgControl!$C150))</f>
        <v/>
      </c>
      <c r="C147" s="6" t="str">
        <f>IFERROR(INDEX(AllFilteredCFDAs[All CFDAs], MATCH(0, INDEX(COUNTIF($C$3:C146, AllFilteredCFDAs[All CFDAs]),),0)), "")</f>
        <v/>
      </c>
      <c r="D147" s="6" t="str">
        <f t="array" ref="D147">IFERROR(INDEX(MemberOrgsData[FEDERALPROGRAMNAME], MATCH(1, (SelectMemberOrgs = MemberOrgsData[Auditee Name])*(Table11[[#This Row],[Unique CFDA]] = MemberOrgsData[CFDA]), 0)), "")</f>
        <v/>
      </c>
      <c r="E147" s="25" t="str">
        <f t="array" ref="E147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47" s="26" t="str">
        <f t="array" ref="F147">IFERROR(INDEX(BudgetAppropData[President % Change], MATCH(1, (Table11[[#This Row],[Unique CFDA]] = BudgetAppropData[CFDA])*(SelectBudgetYear = BudgetAppropData[Fiscal Year]), 0)), "")</f>
        <v/>
      </c>
      <c r="G147" s="25" t="str">
        <f>IF(Table11[[#This Row],[Unique CFDA]] = "", "", IFERROR(Table11[[#This Row],[FY 2018 Total]]*Table11[[#This Row],[President % Change]], ""))</f>
        <v/>
      </c>
      <c r="H147" s="26" t="str">
        <f t="array" ref="H147">IFERROR(INDEX(BudgetAppropData[House % Change], MATCH(1, (Table11[[#This Row],[Unique CFDA]] = BudgetAppropData[CFDA])*(SelectBudgetYear = BudgetAppropData[Fiscal Year]),0)), "")</f>
        <v/>
      </c>
      <c r="I147" s="25" t="str">
        <f>IF(Table11[[#This Row],[Unique CFDA]] = "", "", IFERROR(Table11[[#This Row],[FY 2018 Total]]*Table11[[#This Row],[House % Change]], ""))</f>
        <v/>
      </c>
      <c r="J147" s="6"/>
      <c r="K147" s="25" t="str">
        <f>IF(Table11[[#This Row],[Unique CFDA]] = "", "", IFERROR(Table11[[#This Row],[FY 2018 Total]]*Table11[[#This Row],[Senate Budget]], ""))</f>
        <v/>
      </c>
      <c r="L147" s="6" t="str">
        <f>IF(Table11[[#This Row],[Unique CFDA]] = "", "", IF(ISNUMBER(Table11[[#This Row],[President $ Change]]), RANK(Table11[[#This Row],[President $ Change]], Table11[President $ Change])+COUNTIF($G147:G147, G147)-1,0))</f>
        <v/>
      </c>
      <c r="N147">
        <v>144</v>
      </c>
      <c r="O147" t="str">
        <f>IFERROR(INDEX(Table11[Unique CFDA], MATCH(N147, Table11[Pres. Sort], 0)), "")</f>
        <v/>
      </c>
      <c r="P147" s="1" t="str">
        <f>IFERROR(INDEX(Table11[Grant Name], MATCH(MemberOrgFinalSort[[#This Row],[CFDA]], Table11[Unique CFDA], 0)), "")</f>
        <v/>
      </c>
      <c r="Q147" s="20" t="str">
        <f>IFERROR(INDEX(Table11[FY 2018 Total], MATCH(MemberOrgFinalSort[[#This Row],[CFDA]], Table11[Unique CFDA], 0)), "")</f>
        <v/>
      </c>
      <c r="R147" s="21" t="str">
        <f>IFERROR(INDEX(Table11[President % Change], MATCH(MemberOrgFinalSort[[#This Row],[CFDA]], Table11[Unique CFDA], 0)), "")</f>
        <v/>
      </c>
      <c r="S147" s="20" t="str">
        <f>IFERROR(INDEX(Table11[President $ Change], MATCH(MemberOrgFinalSort[[#This Row],[CFDA]], Table11[Unique CFDA], 0)), "")</f>
        <v/>
      </c>
      <c r="T147" s="32" t="str">
        <f>IFERROR(INDEX(Table11[House % Change], MATCH(MemberOrgFinalSort[[#This Row],[CFDA]], Table11[Unique CFDA], 0)), "")</f>
        <v/>
      </c>
      <c r="U147" s="32" t="str">
        <f>IFERROR(INDEX(Table11[House $ Change], MATCH(MemberOrgFinalSort[[#This Row],[CFDA]], Table11[Unique CFDA], 0)), "")</f>
        <v/>
      </c>
      <c r="V147" s="20"/>
      <c r="X147" s="6"/>
      <c r="Y147" s="6"/>
      <c r="Z147" s="6"/>
      <c r="AA147" s="6"/>
      <c r="AB147" s="6"/>
    </row>
    <row r="148" spans="1:28" x14ac:dyDescent="0.25">
      <c r="A148" t="str">
        <f>IF(MemberOrgControl!$C151 = "", "", INDEX(MemberOrgsData[CFDA], MemberOrgControl!$C151))</f>
        <v/>
      </c>
      <c r="C148" s="6" t="str">
        <f>IFERROR(INDEX(AllFilteredCFDAs[All CFDAs], MATCH(0, INDEX(COUNTIF($C$3:C147, AllFilteredCFDAs[All CFDAs]),),0)), "")</f>
        <v/>
      </c>
      <c r="D148" s="6" t="str">
        <f t="array" ref="D148">IFERROR(INDEX(MemberOrgsData[FEDERALPROGRAMNAME], MATCH(1, (SelectMemberOrgs = MemberOrgsData[Auditee Name])*(Table11[[#This Row],[Unique CFDA]] = MemberOrgsData[CFDA]), 0)), "")</f>
        <v/>
      </c>
      <c r="E148" s="25" t="str">
        <f t="array" ref="E148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48" s="26" t="str">
        <f t="array" ref="F148">IFERROR(INDEX(BudgetAppropData[President % Change], MATCH(1, (Table11[[#This Row],[Unique CFDA]] = BudgetAppropData[CFDA])*(SelectBudgetYear = BudgetAppropData[Fiscal Year]), 0)), "")</f>
        <v/>
      </c>
      <c r="G148" s="25" t="str">
        <f>IF(Table11[[#This Row],[Unique CFDA]] = "", "", IFERROR(Table11[[#This Row],[FY 2018 Total]]*Table11[[#This Row],[President % Change]], ""))</f>
        <v/>
      </c>
      <c r="H148" s="26" t="str">
        <f t="array" ref="H148">IFERROR(INDEX(BudgetAppropData[House % Change], MATCH(1, (Table11[[#This Row],[Unique CFDA]] = BudgetAppropData[CFDA])*(SelectBudgetYear = BudgetAppropData[Fiscal Year]),0)), "")</f>
        <v/>
      </c>
      <c r="I148" s="25" t="str">
        <f>IF(Table11[[#This Row],[Unique CFDA]] = "", "", IFERROR(Table11[[#This Row],[FY 2018 Total]]*Table11[[#This Row],[House % Change]], ""))</f>
        <v/>
      </c>
      <c r="J148" s="6"/>
      <c r="K148" s="25" t="str">
        <f>IF(Table11[[#This Row],[Unique CFDA]] = "", "", IFERROR(Table11[[#This Row],[FY 2018 Total]]*Table11[[#This Row],[Senate Budget]], ""))</f>
        <v/>
      </c>
      <c r="L148" s="6" t="str">
        <f>IF(Table11[[#This Row],[Unique CFDA]] = "", "", IF(ISNUMBER(Table11[[#This Row],[President $ Change]]), RANK(Table11[[#This Row],[President $ Change]], Table11[President $ Change])+COUNTIF($G148:G148, G148)-1,0))</f>
        <v/>
      </c>
      <c r="N148">
        <v>145</v>
      </c>
      <c r="O148" t="str">
        <f>IFERROR(INDEX(Table11[Unique CFDA], MATCH(N148, Table11[Pres. Sort], 0)), "")</f>
        <v/>
      </c>
      <c r="P148" s="1" t="str">
        <f>IFERROR(INDEX(Table11[Grant Name], MATCH(MemberOrgFinalSort[[#This Row],[CFDA]], Table11[Unique CFDA], 0)), "")</f>
        <v/>
      </c>
      <c r="Q148" s="20" t="str">
        <f>IFERROR(INDEX(Table11[FY 2018 Total], MATCH(MemberOrgFinalSort[[#This Row],[CFDA]], Table11[Unique CFDA], 0)), "")</f>
        <v/>
      </c>
      <c r="R148" s="21" t="str">
        <f>IFERROR(INDEX(Table11[President % Change], MATCH(MemberOrgFinalSort[[#This Row],[CFDA]], Table11[Unique CFDA], 0)), "")</f>
        <v/>
      </c>
      <c r="S148" s="20" t="str">
        <f>IFERROR(INDEX(Table11[President $ Change], MATCH(MemberOrgFinalSort[[#This Row],[CFDA]], Table11[Unique CFDA], 0)), "")</f>
        <v/>
      </c>
      <c r="T148" s="32" t="str">
        <f>IFERROR(INDEX(Table11[House % Change], MATCH(MemberOrgFinalSort[[#This Row],[CFDA]], Table11[Unique CFDA], 0)), "")</f>
        <v/>
      </c>
      <c r="U148" s="32" t="str">
        <f>IFERROR(INDEX(Table11[House $ Change], MATCH(MemberOrgFinalSort[[#This Row],[CFDA]], Table11[Unique CFDA], 0)), "")</f>
        <v/>
      </c>
      <c r="V148" s="20"/>
      <c r="X148" s="6"/>
      <c r="Y148" s="6"/>
      <c r="Z148" s="6"/>
      <c r="AA148" s="6"/>
      <c r="AB148" s="6"/>
    </row>
    <row r="149" spans="1:28" x14ac:dyDescent="0.25">
      <c r="A149" t="str">
        <f>IF(MemberOrgControl!$C152 = "", "", INDEX(MemberOrgsData[CFDA], MemberOrgControl!$C152))</f>
        <v/>
      </c>
      <c r="C149" s="6" t="str">
        <f>IFERROR(INDEX(AllFilteredCFDAs[All CFDAs], MATCH(0, INDEX(COUNTIF($C$3:C148, AllFilteredCFDAs[All CFDAs]),),0)), "")</f>
        <v/>
      </c>
      <c r="D149" s="6" t="str">
        <f t="array" ref="D149">IFERROR(INDEX(MemberOrgsData[FEDERALPROGRAMNAME], MATCH(1, (SelectMemberOrgs = MemberOrgsData[Auditee Name])*(Table11[[#This Row],[Unique CFDA]] = MemberOrgsData[CFDA]), 0)), "")</f>
        <v/>
      </c>
      <c r="E149" s="25" t="str">
        <f t="array" ref="E149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49" s="26" t="str">
        <f t="array" ref="F149">IFERROR(INDEX(BudgetAppropData[President % Change], MATCH(1, (Table11[[#This Row],[Unique CFDA]] = BudgetAppropData[CFDA])*(SelectBudgetYear = BudgetAppropData[Fiscal Year]), 0)), "")</f>
        <v/>
      </c>
      <c r="G149" s="25" t="str">
        <f>IF(Table11[[#This Row],[Unique CFDA]] = "", "", IFERROR(Table11[[#This Row],[FY 2018 Total]]*Table11[[#This Row],[President % Change]], ""))</f>
        <v/>
      </c>
      <c r="H149" s="26" t="str">
        <f t="array" ref="H149">IFERROR(INDEX(BudgetAppropData[House % Change], MATCH(1, (Table11[[#This Row],[Unique CFDA]] = BudgetAppropData[CFDA])*(SelectBudgetYear = BudgetAppropData[Fiscal Year]),0)), "")</f>
        <v/>
      </c>
      <c r="I149" s="25" t="str">
        <f>IF(Table11[[#This Row],[Unique CFDA]] = "", "", IFERROR(Table11[[#This Row],[FY 2018 Total]]*Table11[[#This Row],[House % Change]], ""))</f>
        <v/>
      </c>
      <c r="J149" s="6"/>
      <c r="K149" s="25" t="str">
        <f>IF(Table11[[#This Row],[Unique CFDA]] = "", "", IFERROR(Table11[[#This Row],[FY 2018 Total]]*Table11[[#This Row],[Senate Budget]], ""))</f>
        <v/>
      </c>
      <c r="L149" s="6" t="str">
        <f>IF(Table11[[#This Row],[Unique CFDA]] = "", "", IF(ISNUMBER(Table11[[#This Row],[President $ Change]]), RANK(Table11[[#This Row],[President $ Change]], Table11[President $ Change])+COUNTIF($G149:G149, G149)-1,0))</f>
        <v/>
      </c>
      <c r="N149">
        <v>146</v>
      </c>
      <c r="O149" t="str">
        <f>IFERROR(INDEX(Table11[Unique CFDA], MATCH(N149, Table11[Pres. Sort], 0)), "")</f>
        <v/>
      </c>
      <c r="P149" s="1" t="str">
        <f>IFERROR(INDEX(Table11[Grant Name], MATCH(MemberOrgFinalSort[[#This Row],[CFDA]], Table11[Unique CFDA], 0)), "")</f>
        <v/>
      </c>
      <c r="Q149" s="20" t="str">
        <f>IFERROR(INDEX(Table11[FY 2018 Total], MATCH(MemberOrgFinalSort[[#This Row],[CFDA]], Table11[Unique CFDA], 0)), "")</f>
        <v/>
      </c>
      <c r="R149" s="21" t="str">
        <f>IFERROR(INDEX(Table11[President % Change], MATCH(MemberOrgFinalSort[[#This Row],[CFDA]], Table11[Unique CFDA], 0)), "")</f>
        <v/>
      </c>
      <c r="S149" s="20" t="str">
        <f>IFERROR(INDEX(Table11[President $ Change], MATCH(MemberOrgFinalSort[[#This Row],[CFDA]], Table11[Unique CFDA], 0)), "")</f>
        <v/>
      </c>
      <c r="T149" s="32" t="str">
        <f>IFERROR(INDEX(Table11[House % Change], MATCH(MemberOrgFinalSort[[#This Row],[CFDA]], Table11[Unique CFDA], 0)), "")</f>
        <v/>
      </c>
      <c r="U149" s="32" t="str">
        <f>IFERROR(INDEX(Table11[House $ Change], MATCH(MemberOrgFinalSort[[#This Row],[CFDA]], Table11[Unique CFDA], 0)), "")</f>
        <v/>
      </c>
      <c r="V149" s="20"/>
      <c r="X149" s="6"/>
      <c r="Y149" s="6"/>
      <c r="Z149" s="6"/>
      <c r="AA149" s="6"/>
      <c r="AB149" s="6"/>
    </row>
    <row r="150" spans="1:28" x14ac:dyDescent="0.25">
      <c r="A150" t="str">
        <f>IF(MemberOrgControl!$C153 = "", "", INDEX(MemberOrgsData[CFDA], MemberOrgControl!$C153))</f>
        <v/>
      </c>
      <c r="C150" s="6" t="str">
        <f>IFERROR(INDEX(AllFilteredCFDAs[All CFDAs], MATCH(0, INDEX(COUNTIF($C$3:C149, AllFilteredCFDAs[All CFDAs]),),0)), "")</f>
        <v/>
      </c>
      <c r="D150" s="6" t="str">
        <f t="array" ref="D150">IFERROR(INDEX(MemberOrgsData[FEDERALPROGRAMNAME], MATCH(1, (SelectMemberOrgs = MemberOrgsData[Auditee Name])*(Table11[[#This Row],[Unique CFDA]] = MemberOrgsData[CFDA]), 0)), "")</f>
        <v/>
      </c>
      <c r="E150" s="25" t="str">
        <f t="array" ref="E150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50" s="26" t="str">
        <f t="array" ref="F150">IFERROR(INDEX(BudgetAppropData[President % Change], MATCH(1, (Table11[[#This Row],[Unique CFDA]] = BudgetAppropData[CFDA])*(SelectBudgetYear = BudgetAppropData[Fiscal Year]), 0)), "")</f>
        <v/>
      </c>
      <c r="G150" s="25" t="str">
        <f>IF(Table11[[#This Row],[Unique CFDA]] = "", "", IFERROR(Table11[[#This Row],[FY 2018 Total]]*Table11[[#This Row],[President % Change]], ""))</f>
        <v/>
      </c>
      <c r="H150" s="26" t="str">
        <f t="array" ref="H150">IFERROR(INDEX(BudgetAppropData[House % Change], MATCH(1, (Table11[[#This Row],[Unique CFDA]] = BudgetAppropData[CFDA])*(SelectBudgetYear = BudgetAppropData[Fiscal Year]),0)), "")</f>
        <v/>
      </c>
      <c r="I150" s="25" t="str">
        <f>IF(Table11[[#This Row],[Unique CFDA]] = "", "", IFERROR(Table11[[#This Row],[FY 2018 Total]]*Table11[[#This Row],[House % Change]], ""))</f>
        <v/>
      </c>
      <c r="J150" s="6"/>
      <c r="K150" s="25" t="str">
        <f>IF(Table11[[#This Row],[Unique CFDA]] = "", "", IFERROR(Table11[[#This Row],[FY 2018 Total]]*Table11[[#This Row],[Senate Budget]], ""))</f>
        <v/>
      </c>
      <c r="L150" s="6" t="str">
        <f>IF(Table11[[#This Row],[Unique CFDA]] = "", "", IF(ISNUMBER(Table11[[#This Row],[President $ Change]]), RANK(Table11[[#This Row],[President $ Change]], Table11[President $ Change])+COUNTIF($G150:G150, G150)-1,0))</f>
        <v/>
      </c>
      <c r="N150">
        <v>147</v>
      </c>
      <c r="O150" t="str">
        <f>IFERROR(INDEX(Table11[Unique CFDA], MATCH(N150, Table11[Pres. Sort], 0)), "")</f>
        <v/>
      </c>
      <c r="P150" s="1" t="str">
        <f>IFERROR(INDEX(Table11[Grant Name], MATCH(MemberOrgFinalSort[[#This Row],[CFDA]], Table11[Unique CFDA], 0)), "")</f>
        <v/>
      </c>
      <c r="Q150" s="20" t="str">
        <f>IFERROR(INDEX(Table11[FY 2018 Total], MATCH(MemberOrgFinalSort[[#This Row],[CFDA]], Table11[Unique CFDA], 0)), "")</f>
        <v/>
      </c>
      <c r="R150" s="21" t="str">
        <f>IFERROR(INDEX(Table11[President % Change], MATCH(MemberOrgFinalSort[[#This Row],[CFDA]], Table11[Unique CFDA], 0)), "")</f>
        <v/>
      </c>
      <c r="S150" s="20" t="str">
        <f>IFERROR(INDEX(Table11[President $ Change], MATCH(MemberOrgFinalSort[[#This Row],[CFDA]], Table11[Unique CFDA], 0)), "")</f>
        <v/>
      </c>
      <c r="T150" s="32" t="str">
        <f>IFERROR(INDEX(Table11[House % Change], MATCH(MemberOrgFinalSort[[#This Row],[CFDA]], Table11[Unique CFDA], 0)), "")</f>
        <v/>
      </c>
      <c r="U150" s="32" t="str">
        <f>IFERROR(INDEX(Table11[House $ Change], MATCH(MemberOrgFinalSort[[#This Row],[CFDA]], Table11[Unique CFDA], 0)), "")</f>
        <v/>
      </c>
      <c r="V150" s="20"/>
      <c r="X150" s="6"/>
      <c r="Y150" s="6"/>
      <c r="Z150" s="6"/>
      <c r="AA150" s="6"/>
      <c r="AB150" s="6"/>
    </row>
    <row r="151" spans="1:28" x14ac:dyDescent="0.25">
      <c r="A151" t="str">
        <f>IF(MemberOrgControl!$C154 = "", "", INDEX(MemberOrgsData[CFDA], MemberOrgControl!$C154))</f>
        <v/>
      </c>
      <c r="C151" s="6" t="str">
        <f>IFERROR(INDEX(AllFilteredCFDAs[All CFDAs], MATCH(0, INDEX(COUNTIF($C$3:C150, AllFilteredCFDAs[All CFDAs]),),0)), "")</f>
        <v/>
      </c>
      <c r="D151" s="6" t="str">
        <f t="array" ref="D151">IFERROR(INDEX(MemberOrgsData[FEDERALPROGRAMNAME], MATCH(1, (SelectMemberOrgs = MemberOrgsData[Auditee Name])*(Table11[[#This Row],[Unique CFDA]] = MemberOrgsData[CFDA]), 0)), "")</f>
        <v/>
      </c>
      <c r="E151" s="25" t="str">
        <f t="array" ref="E151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51" s="26" t="str">
        <f t="array" ref="F151">IFERROR(INDEX(BudgetAppropData[President % Change], MATCH(1, (Table11[[#This Row],[Unique CFDA]] = BudgetAppropData[CFDA])*(SelectBudgetYear = BudgetAppropData[Fiscal Year]), 0)), "")</f>
        <v/>
      </c>
      <c r="G151" s="25" t="str">
        <f>IF(Table11[[#This Row],[Unique CFDA]] = "", "", IFERROR(Table11[[#This Row],[FY 2018 Total]]*Table11[[#This Row],[President % Change]], ""))</f>
        <v/>
      </c>
      <c r="H151" s="26" t="str">
        <f t="array" ref="H151">IFERROR(INDEX(BudgetAppropData[House % Change], MATCH(1, (Table11[[#This Row],[Unique CFDA]] = BudgetAppropData[CFDA])*(SelectBudgetYear = BudgetAppropData[Fiscal Year]),0)), "")</f>
        <v/>
      </c>
      <c r="I151" s="25" t="str">
        <f>IF(Table11[[#This Row],[Unique CFDA]] = "", "", IFERROR(Table11[[#This Row],[FY 2018 Total]]*Table11[[#This Row],[House % Change]], ""))</f>
        <v/>
      </c>
      <c r="J151" s="6"/>
      <c r="K151" s="25" t="str">
        <f>IF(Table11[[#This Row],[Unique CFDA]] = "", "", IFERROR(Table11[[#This Row],[FY 2018 Total]]*Table11[[#This Row],[Senate Budget]], ""))</f>
        <v/>
      </c>
      <c r="L151" s="6" t="str">
        <f>IF(Table11[[#This Row],[Unique CFDA]] = "", "", IF(ISNUMBER(Table11[[#This Row],[President $ Change]]), RANK(Table11[[#This Row],[President $ Change]], Table11[President $ Change])+COUNTIF($G151:G151, G151)-1,0))</f>
        <v/>
      </c>
      <c r="N151">
        <v>148</v>
      </c>
      <c r="O151" t="str">
        <f>IFERROR(INDEX(Table11[Unique CFDA], MATCH(N151, Table11[Pres. Sort], 0)), "")</f>
        <v/>
      </c>
      <c r="P151" s="1" t="str">
        <f>IFERROR(INDEX(Table11[Grant Name], MATCH(MemberOrgFinalSort[[#This Row],[CFDA]], Table11[Unique CFDA], 0)), "")</f>
        <v/>
      </c>
      <c r="Q151" s="20" t="str">
        <f>IFERROR(INDEX(Table11[FY 2018 Total], MATCH(MemberOrgFinalSort[[#This Row],[CFDA]], Table11[Unique CFDA], 0)), "")</f>
        <v/>
      </c>
      <c r="R151" s="21" t="str">
        <f>IFERROR(INDEX(Table11[President % Change], MATCH(MemberOrgFinalSort[[#This Row],[CFDA]], Table11[Unique CFDA], 0)), "")</f>
        <v/>
      </c>
      <c r="S151" s="20" t="str">
        <f>IFERROR(INDEX(Table11[President $ Change], MATCH(MemberOrgFinalSort[[#This Row],[CFDA]], Table11[Unique CFDA], 0)), "")</f>
        <v/>
      </c>
      <c r="T151" s="32" t="str">
        <f>IFERROR(INDEX(Table11[House % Change], MATCH(MemberOrgFinalSort[[#This Row],[CFDA]], Table11[Unique CFDA], 0)), "")</f>
        <v/>
      </c>
      <c r="U151" s="32" t="str">
        <f>IFERROR(INDEX(Table11[House $ Change], MATCH(MemberOrgFinalSort[[#This Row],[CFDA]], Table11[Unique CFDA], 0)), "")</f>
        <v/>
      </c>
      <c r="V151" s="20"/>
      <c r="X151" s="6"/>
      <c r="Y151" s="6"/>
      <c r="Z151" s="6"/>
      <c r="AA151" s="6"/>
      <c r="AB151" s="6"/>
    </row>
    <row r="152" spans="1:28" x14ac:dyDescent="0.25">
      <c r="A152" t="str">
        <f>IF(MemberOrgControl!$C155 = "", "", INDEX(MemberOrgsData[CFDA], MemberOrgControl!$C155))</f>
        <v/>
      </c>
      <c r="C152" s="6" t="str">
        <f>IFERROR(INDEX(AllFilteredCFDAs[All CFDAs], MATCH(0, INDEX(COUNTIF($C$3:C151, AllFilteredCFDAs[All CFDAs]),),0)), "")</f>
        <v/>
      </c>
      <c r="D152" s="6" t="str">
        <f t="array" ref="D152">IFERROR(INDEX(MemberOrgsData[FEDERALPROGRAMNAME], MATCH(1, (SelectMemberOrgs = MemberOrgsData[Auditee Name])*(Table11[[#This Row],[Unique CFDA]] = MemberOrgsData[CFDA]), 0)), "")</f>
        <v/>
      </c>
      <c r="E152" s="25" t="str">
        <f t="array" ref="E152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52" s="26" t="str">
        <f t="array" ref="F152">IFERROR(INDEX(BudgetAppropData[President % Change], MATCH(1, (Table11[[#This Row],[Unique CFDA]] = BudgetAppropData[CFDA])*(SelectBudgetYear = BudgetAppropData[Fiscal Year]), 0)), "")</f>
        <v/>
      </c>
      <c r="G152" s="25" t="str">
        <f>IF(Table11[[#This Row],[Unique CFDA]] = "", "", IFERROR(Table11[[#This Row],[FY 2018 Total]]*Table11[[#This Row],[President % Change]], ""))</f>
        <v/>
      </c>
      <c r="H152" s="26" t="str">
        <f t="array" ref="H152">IFERROR(INDEX(BudgetAppropData[House % Change], MATCH(1, (Table11[[#This Row],[Unique CFDA]] = BudgetAppropData[CFDA])*(SelectBudgetYear = BudgetAppropData[Fiscal Year]),0)), "")</f>
        <v/>
      </c>
      <c r="I152" s="25" t="str">
        <f>IF(Table11[[#This Row],[Unique CFDA]] = "", "", IFERROR(Table11[[#This Row],[FY 2018 Total]]*Table11[[#This Row],[House % Change]], ""))</f>
        <v/>
      </c>
      <c r="J152" s="6"/>
      <c r="K152" s="25" t="str">
        <f>IF(Table11[[#This Row],[Unique CFDA]] = "", "", IFERROR(Table11[[#This Row],[FY 2018 Total]]*Table11[[#This Row],[Senate Budget]], ""))</f>
        <v/>
      </c>
      <c r="L152" s="6" t="str">
        <f>IF(Table11[[#This Row],[Unique CFDA]] = "", "", IF(ISNUMBER(Table11[[#This Row],[President $ Change]]), RANK(Table11[[#This Row],[President $ Change]], Table11[President $ Change])+COUNTIF($G152:G152, G152)-1,0))</f>
        <v/>
      </c>
      <c r="N152">
        <v>149</v>
      </c>
      <c r="O152" t="str">
        <f>IFERROR(INDEX(Table11[Unique CFDA], MATCH(N152, Table11[Pres. Sort], 0)), "")</f>
        <v/>
      </c>
      <c r="P152" s="1" t="str">
        <f>IFERROR(INDEX(Table11[Grant Name], MATCH(MemberOrgFinalSort[[#This Row],[CFDA]], Table11[Unique CFDA], 0)), "")</f>
        <v/>
      </c>
      <c r="Q152" s="20" t="str">
        <f>IFERROR(INDEX(Table11[FY 2018 Total], MATCH(MemberOrgFinalSort[[#This Row],[CFDA]], Table11[Unique CFDA], 0)), "")</f>
        <v/>
      </c>
      <c r="R152" s="21" t="str">
        <f>IFERROR(INDEX(Table11[President % Change], MATCH(MemberOrgFinalSort[[#This Row],[CFDA]], Table11[Unique CFDA], 0)), "")</f>
        <v/>
      </c>
      <c r="S152" s="20" t="str">
        <f>IFERROR(INDEX(Table11[President $ Change], MATCH(MemberOrgFinalSort[[#This Row],[CFDA]], Table11[Unique CFDA], 0)), "")</f>
        <v/>
      </c>
      <c r="T152" s="32" t="str">
        <f>IFERROR(INDEX(Table11[House % Change], MATCH(MemberOrgFinalSort[[#This Row],[CFDA]], Table11[Unique CFDA], 0)), "")</f>
        <v/>
      </c>
      <c r="U152" s="32" t="str">
        <f>IFERROR(INDEX(Table11[House $ Change], MATCH(MemberOrgFinalSort[[#This Row],[CFDA]], Table11[Unique CFDA], 0)), "")</f>
        <v/>
      </c>
      <c r="V152" s="20"/>
      <c r="X152" s="6"/>
      <c r="Y152" s="6"/>
      <c r="Z152" s="6"/>
      <c r="AA152" s="6"/>
      <c r="AB152" s="6"/>
    </row>
    <row r="153" spans="1:28" x14ac:dyDescent="0.25">
      <c r="A153" t="str">
        <f>IF(MemberOrgControl!$C156 = "", "", INDEX(MemberOrgsData[CFDA], MemberOrgControl!$C156))</f>
        <v/>
      </c>
      <c r="C153" s="6" t="str">
        <f>IFERROR(INDEX(AllFilteredCFDAs[All CFDAs], MATCH(0, INDEX(COUNTIF($C$3:C152, AllFilteredCFDAs[All CFDAs]),),0)), "")</f>
        <v/>
      </c>
      <c r="D153" s="6" t="str">
        <f t="array" ref="D153">IFERROR(INDEX(MemberOrgsData[FEDERALPROGRAMNAME], MATCH(1, (SelectMemberOrgs = MemberOrgsData[Auditee Name])*(Table11[[#This Row],[Unique CFDA]] = MemberOrgsData[CFDA]), 0)), "")</f>
        <v/>
      </c>
      <c r="E153" s="25" t="str">
        <f t="array" ref="E153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53" s="26" t="str">
        <f t="array" ref="F153">IFERROR(INDEX(BudgetAppropData[President % Change], MATCH(1, (Table11[[#This Row],[Unique CFDA]] = BudgetAppropData[CFDA])*(SelectBudgetYear = BudgetAppropData[Fiscal Year]), 0)), "")</f>
        <v/>
      </c>
      <c r="G153" s="25" t="str">
        <f>IF(Table11[[#This Row],[Unique CFDA]] = "", "", IFERROR(Table11[[#This Row],[FY 2018 Total]]*Table11[[#This Row],[President % Change]], ""))</f>
        <v/>
      </c>
      <c r="H153" s="26" t="str">
        <f t="array" ref="H153">IFERROR(INDEX(BudgetAppropData[House % Change], MATCH(1, (Table11[[#This Row],[Unique CFDA]] = BudgetAppropData[CFDA])*(SelectBudgetYear = BudgetAppropData[Fiscal Year]),0)), "")</f>
        <v/>
      </c>
      <c r="I153" s="25" t="str">
        <f>IF(Table11[[#This Row],[Unique CFDA]] = "", "", IFERROR(Table11[[#This Row],[FY 2018 Total]]*Table11[[#This Row],[House % Change]], ""))</f>
        <v/>
      </c>
      <c r="J153" s="6"/>
      <c r="K153" s="25" t="str">
        <f>IF(Table11[[#This Row],[Unique CFDA]] = "", "", IFERROR(Table11[[#This Row],[FY 2018 Total]]*Table11[[#This Row],[Senate Budget]], ""))</f>
        <v/>
      </c>
      <c r="L153" s="6" t="str">
        <f>IF(Table11[[#This Row],[Unique CFDA]] = "", "", IF(ISNUMBER(Table11[[#This Row],[President $ Change]]), RANK(Table11[[#This Row],[President $ Change]], Table11[President $ Change])+COUNTIF($G153:G153, G153)-1,0))</f>
        <v/>
      </c>
      <c r="N153">
        <v>150</v>
      </c>
      <c r="O153" t="str">
        <f>IFERROR(INDEX(Table11[Unique CFDA], MATCH(N153, Table11[Pres. Sort], 0)), "")</f>
        <v/>
      </c>
      <c r="P153" s="1" t="str">
        <f>IFERROR(INDEX(Table11[Grant Name], MATCH(MemberOrgFinalSort[[#This Row],[CFDA]], Table11[Unique CFDA], 0)), "")</f>
        <v/>
      </c>
      <c r="Q153" s="20" t="str">
        <f>IFERROR(INDEX(Table11[FY 2018 Total], MATCH(MemberOrgFinalSort[[#This Row],[CFDA]], Table11[Unique CFDA], 0)), "")</f>
        <v/>
      </c>
      <c r="R153" s="21" t="str">
        <f>IFERROR(INDEX(Table11[President % Change], MATCH(MemberOrgFinalSort[[#This Row],[CFDA]], Table11[Unique CFDA], 0)), "")</f>
        <v/>
      </c>
      <c r="S153" s="20" t="str">
        <f>IFERROR(INDEX(Table11[President $ Change], MATCH(MemberOrgFinalSort[[#This Row],[CFDA]], Table11[Unique CFDA], 0)), "")</f>
        <v/>
      </c>
      <c r="T153" s="32" t="str">
        <f>IFERROR(INDEX(Table11[House % Change], MATCH(MemberOrgFinalSort[[#This Row],[CFDA]], Table11[Unique CFDA], 0)), "")</f>
        <v/>
      </c>
      <c r="U153" s="32" t="str">
        <f>IFERROR(INDEX(Table11[House $ Change], MATCH(MemberOrgFinalSort[[#This Row],[CFDA]], Table11[Unique CFDA], 0)), "")</f>
        <v/>
      </c>
      <c r="V153" s="20"/>
      <c r="X153" s="6"/>
      <c r="Y153" s="6"/>
      <c r="Z153" s="6"/>
      <c r="AA153" s="6"/>
      <c r="AB153" s="6"/>
    </row>
    <row r="154" spans="1:28" x14ac:dyDescent="0.25">
      <c r="A154" t="str">
        <f>IF(MemberOrgControl!$C157 = "", "", INDEX(MemberOrgsData[CFDA], MemberOrgControl!$C157))</f>
        <v/>
      </c>
      <c r="C154" s="6" t="str">
        <f>IFERROR(INDEX(AllFilteredCFDAs[All CFDAs], MATCH(0, INDEX(COUNTIF($C$3:C153, AllFilteredCFDAs[All CFDAs]),),0)), "")</f>
        <v/>
      </c>
      <c r="D154" s="6" t="str">
        <f t="array" ref="D154">IFERROR(INDEX(MemberOrgsData[FEDERALPROGRAMNAME], MATCH(1, (SelectMemberOrgs = MemberOrgsData[Auditee Name])*(Table11[[#This Row],[Unique CFDA]] = MemberOrgsData[CFDA]), 0)), "")</f>
        <v/>
      </c>
      <c r="E154" s="25" t="str">
        <f t="array" ref="E154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54" s="26" t="str">
        <f t="array" ref="F154">IFERROR(INDEX(BudgetAppropData[President % Change], MATCH(1, (Table11[[#This Row],[Unique CFDA]] = BudgetAppropData[CFDA])*(SelectBudgetYear = BudgetAppropData[Fiscal Year]), 0)), "")</f>
        <v/>
      </c>
      <c r="G154" s="25" t="str">
        <f>IF(Table11[[#This Row],[Unique CFDA]] = "", "", IFERROR(Table11[[#This Row],[FY 2018 Total]]*Table11[[#This Row],[President % Change]], ""))</f>
        <v/>
      </c>
      <c r="H154" s="26" t="str">
        <f t="array" ref="H154">IFERROR(INDEX(BudgetAppropData[House % Change], MATCH(1, (Table11[[#This Row],[Unique CFDA]] = BudgetAppropData[CFDA])*(SelectBudgetYear = BudgetAppropData[Fiscal Year]),0)), "")</f>
        <v/>
      </c>
      <c r="I154" s="25" t="str">
        <f>IF(Table11[[#This Row],[Unique CFDA]] = "", "", IFERROR(Table11[[#This Row],[FY 2018 Total]]*Table11[[#This Row],[House % Change]], ""))</f>
        <v/>
      </c>
      <c r="J154" s="6"/>
      <c r="K154" s="25" t="str">
        <f>IF(Table11[[#This Row],[Unique CFDA]] = "", "", IFERROR(Table11[[#This Row],[FY 2018 Total]]*Table11[[#This Row],[Senate Budget]], ""))</f>
        <v/>
      </c>
      <c r="L154" s="6" t="str">
        <f>IF(Table11[[#This Row],[Unique CFDA]] = "", "", IF(ISNUMBER(Table11[[#This Row],[President $ Change]]), RANK(Table11[[#This Row],[President $ Change]], Table11[President $ Change])+COUNTIF($G154:G154, G154)-1,0))</f>
        <v/>
      </c>
      <c r="N154">
        <v>151</v>
      </c>
      <c r="O154" t="str">
        <f>IFERROR(INDEX(Table11[Unique CFDA], MATCH(N154, Table11[Pres. Sort], 0)), "")</f>
        <v/>
      </c>
      <c r="P154" s="1" t="str">
        <f>IFERROR(INDEX(Table11[Grant Name], MATCH(MemberOrgFinalSort[[#This Row],[CFDA]], Table11[Unique CFDA], 0)), "")</f>
        <v/>
      </c>
      <c r="Q154" s="20" t="str">
        <f>IFERROR(INDEX(Table11[FY 2018 Total], MATCH(MemberOrgFinalSort[[#This Row],[CFDA]], Table11[Unique CFDA], 0)), "")</f>
        <v/>
      </c>
      <c r="R154" s="21" t="str">
        <f>IFERROR(INDEX(Table11[President % Change], MATCH(MemberOrgFinalSort[[#This Row],[CFDA]], Table11[Unique CFDA], 0)), "")</f>
        <v/>
      </c>
      <c r="S154" s="20" t="str">
        <f>IFERROR(INDEX(Table11[President $ Change], MATCH(MemberOrgFinalSort[[#This Row],[CFDA]], Table11[Unique CFDA], 0)), "")</f>
        <v/>
      </c>
      <c r="T154" s="32" t="str">
        <f>IFERROR(INDEX(Table11[House % Change], MATCH(MemberOrgFinalSort[[#This Row],[CFDA]], Table11[Unique CFDA], 0)), "")</f>
        <v/>
      </c>
      <c r="U154" s="32" t="str">
        <f>IFERROR(INDEX(Table11[House $ Change], MATCH(MemberOrgFinalSort[[#This Row],[CFDA]], Table11[Unique CFDA], 0)), "")</f>
        <v/>
      </c>
      <c r="V154" s="20"/>
      <c r="X154" s="6"/>
      <c r="Y154" s="6"/>
      <c r="Z154" s="6"/>
      <c r="AA154" s="6"/>
      <c r="AB154" s="6"/>
    </row>
    <row r="155" spans="1:28" x14ac:dyDescent="0.25">
      <c r="A155" t="str">
        <f>IF(MemberOrgControl!$C158 = "", "", INDEX(MemberOrgsData[CFDA], MemberOrgControl!$C158))</f>
        <v/>
      </c>
      <c r="C155" s="6" t="str">
        <f>IFERROR(INDEX(AllFilteredCFDAs[All CFDAs], MATCH(0, INDEX(COUNTIF($C$3:C154, AllFilteredCFDAs[All CFDAs]),),0)), "")</f>
        <v/>
      </c>
      <c r="D155" s="6" t="str">
        <f t="array" ref="D155">IFERROR(INDEX(MemberOrgsData[FEDERALPROGRAMNAME], MATCH(1, (SelectMemberOrgs = MemberOrgsData[Auditee Name])*(Table11[[#This Row],[Unique CFDA]] = MemberOrgsData[CFDA]), 0)), "")</f>
        <v/>
      </c>
      <c r="E155" s="25" t="str">
        <f t="array" ref="E155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55" s="26" t="str">
        <f t="array" ref="F155">IFERROR(INDEX(BudgetAppropData[President % Change], MATCH(1, (Table11[[#This Row],[Unique CFDA]] = BudgetAppropData[CFDA])*(SelectBudgetYear = BudgetAppropData[Fiscal Year]), 0)), "")</f>
        <v/>
      </c>
      <c r="G155" s="25" t="str">
        <f>IF(Table11[[#This Row],[Unique CFDA]] = "", "", IFERROR(Table11[[#This Row],[FY 2018 Total]]*Table11[[#This Row],[President % Change]], ""))</f>
        <v/>
      </c>
      <c r="H155" s="26" t="str">
        <f t="array" ref="H155">IFERROR(INDEX(BudgetAppropData[House % Change], MATCH(1, (Table11[[#This Row],[Unique CFDA]] = BudgetAppropData[CFDA])*(SelectBudgetYear = BudgetAppropData[Fiscal Year]),0)), "")</f>
        <v/>
      </c>
      <c r="I155" s="25" t="str">
        <f>IF(Table11[[#This Row],[Unique CFDA]] = "", "", IFERROR(Table11[[#This Row],[FY 2018 Total]]*Table11[[#This Row],[House % Change]], ""))</f>
        <v/>
      </c>
      <c r="J155" s="6"/>
      <c r="K155" s="25" t="str">
        <f>IF(Table11[[#This Row],[Unique CFDA]] = "", "", IFERROR(Table11[[#This Row],[FY 2018 Total]]*Table11[[#This Row],[Senate Budget]], ""))</f>
        <v/>
      </c>
      <c r="L155" s="6" t="str">
        <f>IF(Table11[[#This Row],[Unique CFDA]] = "", "", IF(ISNUMBER(Table11[[#This Row],[President $ Change]]), RANK(Table11[[#This Row],[President $ Change]], Table11[President $ Change])+COUNTIF($G155:G155, G155)-1,0))</f>
        <v/>
      </c>
      <c r="N155">
        <v>152</v>
      </c>
      <c r="O155" t="str">
        <f>IFERROR(INDEX(Table11[Unique CFDA], MATCH(N155, Table11[Pres. Sort], 0)), "")</f>
        <v/>
      </c>
      <c r="P155" s="1" t="str">
        <f>IFERROR(INDEX(Table11[Grant Name], MATCH(MemberOrgFinalSort[[#This Row],[CFDA]], Table11[Unique CFDA], 0)), "")</f>
        <v/>
      </c>
      <c r="Q155" s="20" t="str">
        <f>IFERROR(INDEX(Table11[FY 2018 Total], MATCH(MemberOrgFinalSort[[#This Row],[CFDA]], Table11[Unique CFDA], 0)), "")</f>
        <v/>
      </c>
      <c r="R155" s="21" t="str">
        <f>IFERROR(INDEX(Table11[President % Change], MATCH(MemberOrgFinalSort[[#This Row],[CFDA]], Table11[Unique CFDA], 0)), "")</f>
        <v/>
      </c>
      <c r="S155" s="20" t="str">
        <f>IFERROR(INDEX(Table11[President $ Change], MATCH(MemberOrgFinalSort[[#This Row],[CFDA]], Table11[Unique CFDA], 0)), "")</f>
        <v/>
      </c>
      <c r="T155" s="32" t="str">
        <f>IFERROR(INDEX(Table11[House % Change], MATCH(MemberOrgFinalSort[[#This Row],[CFDA]], Table11[Unique CFDA], 0)), "")</f>
        <v/>
      </c>
      <c r="U155" s="32" t="str">
        <f>IFERROR(INDEX(Table11[House $ Change], MATCH(MemberOrgFinalSort[[#This Row],[CFDA]], Table11[Unique CFDA], 0)), "")</f>
        <v/>
      </c>
      <c r="V155" s="20"/>
      <c r="X155" s="6"/>
      <c r="Y155" s="6"/>
      <c r="Z155" s="6"/>
      <c r="AA155" s="6"/>
      <c r="AB155" s="6"/>
    </row>
    <row r="156" spans="1:28" x14ac:dyDescent="0.25">
      <c r="A156" t="str">
        <f>IF(MemberOrgControl!$C159 = "", "", INDEX(MemberOrgsData[CFDA], MemberOrgControl!$C159))</f>
        <v/>
      </c>
      <c r="C156" s="6" t="str">
        <f>IFERROR(INDEX(AllFilteredCFDAs[All CFDAs], MATCH(0, INDEX(COUNTIF($C$3:C155, AllFilteredCFDAs[All CFDAs]),),0)), "")</f>
        <v/>
      </c>
      <c r="D156" s="6" t="str">
        <f t="array" ref="D156">IFERROR(INDEX(MemberOrgsData[FEDERALPROGRAMNAME], MATCH(1, (SelectMemberOrgs = MemberOrgsData[Auditee Name])*(Table11[[#This Row],[Unique CFDA]] = MemberOrgsData[CFDA]), 0)), "")</f>
        <v/>
      </c>
      <c r="E156" s="25" t="str">
        <f t="array" ref="E156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56" s="26" t="str">
        <f t="array" ref="F156">IFERROR(INDEX(BudgetAppropData[President % Change], MATCH(1, (Table11[[#This Row],[Unique CFDA]] = BudgetAppropData[CFDA])*(SelectBudgetYear = BudgetAppropData[Fiscal Year]), 0)), "")</f>
        <v/>
      </c>
      <c r="G156" s="25" t="str">
        <f>IF(Table11[[#This Row],[Unique CFDA]] = "", "", IFERROR(Table11[[#This Row],[FY 2018 Total]]*Table11[[#This Row],[President % Change]], ""))</f>
        <v/>
      </c>
      <c r="H156" s="26" t="str">
        <f t="array" ref="H156">IFERROR(INDEX(BudgetAppropData[House % Change], MATCH(1, (Table11[[#This Row],[Unique CFDA]] = BudgetAppropData[CFDA])*(SelectBudgetYear = BudgetAppropData[Fiscal Year]),0)), "")</f>
        <v/>
      </c>
      <c r="I156" s="25" t="str">
        <f>IF(Table11[[#This Row],[Unique CFDA]] = "", "", IFERROR(Table11[[#This Row],[FY 2018 Total]]*Table11[[#This Row],[House % Change]], ""))</f>
        <v/>
      </c>
      <c r="J156" s="6"/>
      <c r="K156" s="25" t="str">
        <f>IF(Table11[[#This Row],[Unique CFDA]] = "", "", IFERROR(Table11[[#This Row],[FY 2018 Total]]*Table11[[#This Row],[Senate Budget]], ""))</f>
        <v/>
      </c>
      <c r="L156" s="6" t="str">
        <f>IF(Table11[[#This Row],[Unique CFDA]] = "", "", IF(ISNUMBER(Table11[[#This Row],[President $ Change]]), RANK(Table11[[#This Row],[President $ Change]], Table11[President $ Change])+COUNTIF($G156:G156, G156)-1,0))</f>
        <v/>
      </c>
      <c r="N156">
        <v>153</v>
      </c>
      <c r="O156" t="str">
        <f>IFERROR(INDEX(Table11[Unique CFDA], MATCH(N156, Table11[Pres. Sort], 0)), "")</f>
        <v/>
      </c>
      <c r="P156" s="1" t="str">
        <f>IFERROR(INDEX(Table11[Grant Name], MATCH(MemberOrgFinalSort[[#This Row],[CFDA]], Table11[Unique CFDA], 0)), "")</f>
        <v/>
      </c>
      <c r="Q156" s="20" t="str">
        <f>IFERROR(INDEX(Table11[FY 2018 Total], MATCH(MemberOrgFinalSort[[#This Row],[CFDA]], Table11[Unique CFDA], 0)), "")</f>
        <v/>
      </c>
      <c r="R156" s="21" t="str">
        <f>IFERROR(INDEX(Table11[President % Change], MATCH(MemberOrgFinalSort[[#This Row],[CFDA]], Table11[Unique CFDA], 0)), "")</f>
        <v/>
      </c>
      <c r="S156" s="20" t="str">
        <f>IFERROR(INDEX(Table11[President $ Change], MATCH(MemberOrgFinalSort[[#This Row],[CFDA]], Table11[Unique CFDA], 0)), "")</f>
        <v/>
      </c>
      <c r="T156" s="32" t="str">
        <f>IFERROR(INDEX(Table11[House % Change], MATCH(MemberOrgFinalSort[[#This Row],[CFDA]], Table11[Unique CFDA], 0)), "")</f>
        <v/>
      </c>
      <c r="U156" s="32" t="str">
        <f>IFERROR(INDEX(Table11[House $ Change], MATCH(MemberOrgFinalSort[[#This Row],[CFDA]], Table11[Unique CFDA], 0)), "")</f>
        <v/>
      </c>
      <c r="V156" s="20"/>
      <c r="X156" s="6"/>
      <c r="Y156" s="6"/>
      <c r="Z156" s="6"/>
      <c r="AA156" s="6"/>
      <c r="AB156" s="6"/>
    </row>
    <row r="157" spans="1:28" x14ac:dyDescent="0.25">
      <c r="A157" t="str">
        <f>IF(MemberOrgControl!$C160 = "", "", INDEX(MemberOrgsData[CFDA], MemberOrgControl!$C160))</f>
        <v/>
      </c>
      <c r="C157" s="6" t="str">
        <f>IFERROR(INDEX(AllFilteredCFDAs[All CFDAs], MATCH(0, INDEX(COUNTIF($C$3:C156, AllFilteredCFDAs[All CFDAs]),),0)), "")</f>
        <v/>
      </c>
      <c r="D157" s="6" t="str">
        <f t="array" ref="D157">IFERROR(INDEX(MemberOrgsData[FEDERALPROGRAMNAME], MATCH(1, (SelectMemberOrgs = MemberOrgsData[Auditee Name])*(Table11[[#This Row],[Unique CFDA]] = MemberOrgsData[CFDA]), 0)), "")</f>
        <v/>
      </c>
      <c r="E157" s="25" t="str">
        <f t="array" ref="E157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57" s="26" t="str">
        <f t="array" ref="F157">IFERROR(INDEX(BudgetAppropData[President % Change], MATCH(1, (Table11[[#This Row],[Unique CFDA]] = BudgetAppropData[CFDA])*(SelectBudgetYear = BudgetAppropData[Fiscal Year]), 0)), "")</f>
        <v/>
      </c>
      <c r="G157" s="25" t="str">
        <f>IF(Table11[[#This Row],[Unique CFDA]] = "", "", IFERROR(Table11[[#This Row],[FY 2018 Total]]*Table11[[#This Row],[President % Change]], ""))</f>
        <v/>
      </c>
      <c r="H157" s="26" t="str">
        <f t="array" ref="H157">IFERROR(INDEX(BudgetAppropData[House % Change], MATCH(1, (Table11[[#This Row],[Unique CFDA]] = BudgetAppropData[CFDA])*(SelectBudgetYear = BudgetAppropData[Fiscal Year]),0)), "")</f>
        <v/>
      </c>
      <c r="I157" s="25" t="str">
        <f>IF(Table11[[#This Row],[Unique CFDA]] = "", "", IFERROR(Table11[[#This Row],[FY 2018 Total]]*Table11[[#This Row],[House % Change]], ""))</f>
        <v/>
      </c>
      <c r="J157" s="6"/>
      <c r="K157" s="25" t="str">
        <f>IF(Table11[[#This Row],[Unique CFDA]] = "", "", IFERROR(Table11[[#This Row],[FY 2018 Total]]*Table11[[#This Row],[Senate Budget]], ""))</f>
        <v/>
      </c>
      <c r="L157" s="6" t="str">
        <f>IF(Table11[[#This Row],[Unique CFDA]] = "", "", IF(ISNUMBER(Table11[[#This Row],[President $ Change]]), RANK(Table11[[#This Row],[President $ Change]], Table11[President $ Change])+COUNTIF($G157:G157, G157)-1,0))</f>
        <v/>
      </c>
      <c r="N157">
        <v>154</v>
      </c>
      <c r="O157" t="str">
        <f>IFERROR(INDEX(Table11[Unique CFDA], MATCH(N157, Table11[Pres. Sort], 0)), "")</f>
        <v/>
      </c>
      <c r="P157" s="1" t="str">
        <f>IFERROR(INDEX(Table11[Grant Name], MATCH(MemberOrgFinalSort[[#This Row],[CFDA]], Table11[Unique CFDA], 0)), "")</f>
        <v/>
      </c>
      <c r="Q157" s="20" t="str">
        <f>IFERROR(INDEX(Table11[FY 2018 Total], MATCH(MemberOrgFinalSort[[#This Row],[CFDA]], Table11[Unique CFDA], 0)), "")</f>
        <v/>
      </c>
      <c r="R157" s="21" t="str">
        <f>IFERROR(INDEX(Table11[President % Change], MATCH(MemberOrgFinalSort[[#This Row],[CFDA]], Table11[Unique CFDA], 0)), "")</f>
        <v/>
      </c>
      <c r="S157" s="20" t="str">
        <f>IFERROR(INDEX(Table11[President $ Change], MATCH(MemberOrgFinalSort[[#This Row],[CFDA]], Table11[Unique CFDA], 0)), "")</f>
        <v/>
      </c>
      <c r="T157" s="32" t="str">
        <f>IFERROR(INDEX(Table11[House % Change], MATCH(MemberOrgFinalSort[[#This Row],[CFDA]], Table11[Unique CFDA], 0)), "")</f>
        <v/>
      </c>
      <c r="U157" s="32" t="str">
        <f>IFERROR(INDEX(Table11[House $ Change], MATCH(MemberOrgFinalSort[[#This Row],[CFDA]], Table11[Unique CFDA], 0)), "")</f>
        <v/>
      </c>
      <c r="V157" s="20"/>
      <c r="X157" s="6"/>
      <c r="Y157" s="6"/>
      <c r="Z157" s="6"/>
      <c r="AA157" s="6"/>
      <c r="AB157" s="6"/>
    </row>
    <row r="158" spans="1:28" x14ac:dyDescent="0.25">
      <c r="A158" t="str">
        <f>IF(MemberOrgControl!$C161 = "", "", INDEX(MemberOrgsData[CFDA], MemberOrgControl!$C161))</f>
        <v/>
      </c>
      <c r="C158" s="6" t="str">
        <f>IFERROR(INDEX(AllFilteredCFDAs[All CFDAs], MATCH(0, INDEX(COUNTIF($C$3:C157, AllFilteredCFDAs[All CFDAs]),),0)), "")</f>
        <v/>
      </c>
      <c r="D158" s="6" t="str">
        <f t="array" ref="D158">IFERROR(INDEX(MemberOrgsData[FEDERALPROGRAMNAME], MATCH(1, (SelectMemberOrgs = MemberOrgsData[Auditee Name])*(Table11[[#This Row],[Unique CFDA]] = MemberOrgsData[CFDA]), 0)), "")</f>
        <v/>
      </c>
      <c r="E158" s="25" t="str">
        <f t="array" ref="E158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58" s="26" t="str">
        <f t="array" ref="F158">IFERROR(INDEX(BudgetAppropData[President % Change], MATCH(1, (Table11[[#This Row],[Unique CFDA]] = BudgetAppropData[CFDA])*(SelectBudgetYear = BudgetAppropData[Fiscal Year]), 0)), "")</f>
        <v/>
      </c>
      <c r="G158" s="25" t="str">
        <f>IF(Table11[[#This Row],[Unique CFDA]] = "", "", IFERROR(Table11[[#This Row],[FY 2018 Total]]*Table11[[#This Row],[President % Change]], ""))</f>
        <v/>
      </c>
      <c r="H158" s="26" t="str">
        <f t="array" ref="H158">IFERROR(INDEX(BudgetAppropData[House % Change], MATCH(1, (Table11[[#This Row],[Unique CFDA]] = BudgetAppropData[CFDA])*(SelectBudgetYear = BudgetAppropData[Fiscal Year]),0)), "")</f>
        <v/>
      </c>
      <c r="I158" s="25" t="str">
        <f>IF(Table11[[#This Row],[Unique CFDA]] = "", "", IFERROR(Table11[[#This Row],[FY 2018 Total]]*Table11[[#This Row],[House % Change]], ""))</f>
        <v/>
      </c>
      <c r="J158" s="6"/>
      <c r="K158" s="25" t="str">
        <f>IF(Table11[[#This Row],[Unique CFDA]] = "", "", IFERROR(Table11[[#This Row],[FY 2018 Total]]*Table11[[#This Row],[Senate Budget]], ""))</f>
        <v/>
      </c>
      <c r="L158" s="6" t="str">
        <f>IF(Table11[[#This Row],[Unique CFDA]] = "", "", IF(ISNUMBER(Table11[[#This Row],[President $ Change]]), RANK(Table11[[#This Row],[President $ Change]], Table11[President $ Change])+COUNTIF($G158:G158, G158)-1,0))</f>
        <v/>
      </c>
      <c r="N158">
        <v>155</v>
      </c>
      <c r="O158" t="str">
        <f>IFERROR(INDEX(Table11[Unique CFDA], MATCH(N158, Table11[Pres. Sort], 0)), "")</f>
        <v/>
      </c>
      <c r="P158" s="1" t="str">
        <f>IFERROR(INDEX(Table11[Grant Name], MATCH(MemberOrgFinalSort[[#This Row],[CFDA]], Table11[Unique CFDA], 0)), "")</f>
        <v/>
      </c>
      <c r="Q158" s="20" t="str">
        <f>IFERROR(INDEX(Table11[FY 2018 Total], MATCH(MemberOrgFinalSort[[#This Row],[CFDA]], Table11[Unique CFDA], 0)), "")</f>
        <v/>
      </c>
      <c r="R158" s="21" t="str">
        <f>IFERROR(INDEX(Table11[President % Change], MATCH(MemberOrgFinalSort[[#This Row],[CFDA]], Table11[Unique CFDA], 0)), "")</f>
        <v/>
      </c>
      <c r="S158" s="20" t="str">
        <f>IFERROR(INDEX(Table11[President $ Change], MATCH(MemberOrgFinalSort[[#This Row],[CFDA]], Table11[Unique CFDA], 0)), "")</f>
        <v/>
      </c>
      <c r="T158" s="32" t="str">
        <f>IFERROR(INDEX(Table11[House % Change], MATCH(MemberOrgFinalSort[[#This Row],[CFDA]], Table11[Unique CFDA], 0)), "")</f>
        <v/>
      </c>
      <c r="U158" s="32" t="str">
        <f>IFERROR(INDEX(Table11[House $ Change], MATCH(MemberOrgFinalSort[[#This Row],[CFDA]], Table11[Unique CFDA], 0)), "")</f>
        <v/>
      </c>
      <c r="V158" s="20"/>
      <c r="X158" s="6"/>
      <c r="Y158" s="6"/>
      <c r="Z158" s="6"/>
      <c r="AA158" s="6"/>
      <c r="AB158" s="6"/>
    </row>
    <row r="159" spans="1:28" x14ac:dyDescent="0.25">
      <c r="A159" t="str">
        <f>IF(MemberOrgControl!$C162 = "", "", INDEX(MemberOrgsData[CFDA], MemberOrgControl!$C162))</f>
        <v/>
      </c>
      <c r="C159" s="6" t="str">
        <f>IFERROR(INDEX(AllFilteredCFDAs[All CFDAs], MATCH(0, INDEX(COUNTIF($C$3:C158, AllFilteredCFDAs[All CFDAs]),),0)), "")</f>
        <v/>
      </c>
      <c r="D159" s="6" t="str">
        <f t="array" ref="D159">IFERROR(INDEX(MemberOrgsData[FEDERALPROGRAMNAME], MATCH(1, (SelectMemberOrgs = MemberOrgsData[Auditee Name])*(Table11[[#This Row],[Unique CFDA]] = MemberOrgsData[CFDA]), 0)), "")</f>
        <v/>
      </c>
      <c r="E159" s="25" t="str">
        <f t="array" ref="E159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59" s="26" t="str">
        <f t="array" ref="F159">IFERROR(INDEX(BudgetAppropData[President % Change], MATCH(1, (Table11[[#This Row],[Unique CFDA]] = BudgetAppropData[CFDA])*(SelectBudgetYear = BudgetAppropData[Fiscal Year]), 0)), "")</f>
        <v/>
      </c>
      <c r="G159" s="25" t="str">
        <f>IF(Table11[[#This Row],[Unique CFDA]] = "", "", IFERROR(Table11[[#This Row],[FY 2018 Total]]*Table11[[#This Row],[President % Change]], ""))</f>
        <v/>
      </c>
      <c r="H159" s="26" t="str">
        <f t="array" ref="H159">IFERROR(INDEX(BudgetAppropData[House % Change], MATCH(1, (Table11[[#This Row],[Unique CFDA]] = BudgetAppropData[CFDA])*(SelectBudgetYear = BudgetAppropData[Fiscal Year]),0)), "")</f>
        <v/>
      </c>
      <c r="I159" s="25" t="str">
        <f>IF(Table11[[#This Row],[Unique CFDA]] = "", "", IFERROR(Table11[[#This Row],[FY 2018 Total]]*Table11[[#This Row],[House % Change]], ""))</f>
        <v/>
      </c>
      <c r="J159" s="6"/>
      <c r="K159" s="25" t="str">
        <f>IF(Table11[[#This Row],[Unique CFDA]] = "", "", IFERROR(Table11[[#This Row],[FY 2018 Total]]*Table11[[#This Row],[Senate Budget]], ""))</f>
        <v/>
      </c>
      <c r="L159" s="6" t="str">
        <f>IF(Table11[[#This Row],[Unique CFDA]] = "", "", IF(ISNUMBER(Table11[[#This Row],[President $ Change]]), RANK(Table11[[#This Row],[President $ Change]], Table11[President $ Change])+COUNTIF($G159:G159, G159)-1,0))</f>
        <v/>
      </c>
      <c r="N159">
        <v>156</v>
      </c>
      <c r="O159" t="str">
        <f>IFERROR(INDEX(Table11[Unique CFDA], MATCH(N159, Table11[Pres. Sort], 0)), "")</f>
        <v/>
      </c>
      <c r="P159" s="1" t="str">
        <f>IFERROR(INDEX(Table11[Grant Name], MATCH(MemberOrgFinalSort[[#This Row],[CFDA]], Table11[Unique CFDA], 0)), "")</f>
        <v/>
      </c>
      <c r="Q159" s="20" t="str">
        <f>IFERROR(INDEX(Table11[FY 2018 Total], MATCH(MemberOrgFinalSort[[#This Row],[CFDA]], Table11[Unique CFDA], 0)), "")</f>
        <v/>
      </c>
      <c r="R159" s="21" t="str">
        <f>IFERROR(INDEX(Table11[President % Change], MATCH(MemberOrgFinalSort[[#This Row],[CFDA]], Table11[Unique CFDA], 0)), "")</f>
        <v/>
      </c>
      <c r="S159" s="20" t="str">
        <f>IFERROR(INDEX(Table11[President $ Change], MATCH(MemberOrgFinalSort[[#This Row],[CFDA]], Table11[Unique CFDA], 0)), "")</f>
        <v/>
      </c>
      <c r="T159" s="32" t="str">
        <f>IFERROR(INDEX(Table11[House % Change], MATCH(MemberOrgFinalSort[[#This Row],[CFDA]], Table11[Unique CFDA], 0)), "")</f>
        <v/>
      </c>
      <c r="U159" s="32" t="str">
        <f>IFERROR(INDEX(Table11[House $ Change], MATCH(MemberOrgFinalSort[[#This Row],[CFDA]], Table11[Unique CFDA], 0)), "")</f>
        <v/>
      </c>
      <c r="V159" s="20"/>
      <c r="X159" s="6"/>
      <c r="Y159" s="6"/>
      <c r="Z159" s="6"/>
      <c r="AA159" s="6"/>
      <c r="AB159" s="6"/>
    </row>
    <row r="160" spans="1:28" x14ac:dyDescent="0.25">
      <c r="A160" t="str">
        <f>IF(MemberOrgControl!$C163 = "", "", INDEX(MemberOrgsData[CFDA], MemberOrgControl!$C163))</f>
        <v/>
      </c>
      <c r="C160" s="6" t="str">
        <f>IFERROR(INDEX(AllFilteredCFDAs[All CFDAs], MATCH(0, INDEX(COUNTIF($C$3:C159, AllFilteredCFDAs[All CFDAs]),),0)), "")</f>
        <v/>
      </c>
      <c r="D160" s="6" t="str">
        <f t="array" ref="D160">IFERROR(INDEX(MemberOrgsData[FEDERALPROGRAMNAME], MATCH(1, (SelectMemberOrgs = MemberOrgsData[Auditee Name])*(Table11[[#This Row],[Unique CFDA]] = MemberOrgsData[CFDA]), 0)), "")</f>
        <v/>
      </c>
      <c r="E160" s="25" t="str">
        <f t="array" ref="E160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60" s="26" t="str">
        <f t="array" ref="F160">IFERROR(INDEX(BudgetAppropData[President % Change], MATCH(1, (Table11[[#This Row],[Unique CFDA]] = BudgetAppropData[CFDA])*(SelectBudgetYear = BudgetAppropData[Fiscal Year]), 0)), "")</f>
        <v/>
      </c>
      <c r="G160" s="25" t="str">
        <f>IF(Table11[[#This Row],[Unique CFDA]] = "", "", IFERROR(Table11[[#This Row],[FY 2018 Total]]*Table11[[#This Row],[President % Change]], ""))</f>
        <v/>
      </c>
      <c r="H160" s="26" t="str">
        <f t="array" ref="H160">IFERROR(INDEX(BudgetAppropData[House % Change], MATCH(1, (Table11[[#This Row],[Unique CFDA]] = BudgetAppropData[CFDA])*(SelectBudgetYear = BudgetAppropData[Fiscal Year]),0)), "")</f>
        <v/>
      </c>
      <c r="I160" s="25" t="str">
        <f>IF(Table11[[#This Row],[Unique CFDA]] = "", "", IFERROR(Table11[[#This Row],[FY 2018 Total]]*Table11[[#This Row],[House % Change]], ""))</f>
        <v/>
      </c>
      <c r="J160" s="6"/>
      <c r="K160" s="25" t="str">
        <f>IF(Table11[[#This Row],[Unique CFDA]] = "", "", IFERROR(Table11[[#This Row],[FY 2018 Total]]*Table11[[#This Row],[Senate Budget]], ""))</f>
        <v/>
      </c>
      <c r="L160" s="6" t="str">
        <f>IF(Table11[[#This Row],[Unique CFDA]] = "", "", IF(ISNUMBER(Table11[[#This Row],[President $ Change]]), RANK(Table11[[#This Row],[President $ Change]], Table11[President $ Change])+COUNTIF($G160:G160, G160)-1,0))</f>
        <v/>
      </c>
      <c r="N160">
        <v>157</v>
      </c>
      <c r="O160" t="str">
        <f>IFERROR(INDEX(Table11[Unique CFDA], MATCH(N160, Table11[Pres. Sort], 0)), "")</f>
        <v/>
      </c>
      <c r="P160" s="1" t="str">
        <f>IFERROR(INDEX(Table11[Grant Name], MATCH(MemberOrgFinalSort[[#This Row],[CFDA]], Table11[Unique CFDA], 0)), "")</f>
        <v/>
      </c>
      <c r="Q160" s="20" t="str">
        <f>IFERROR(INDEX(Table11[FY 2018 Total], MATCH(MemberOrgFinalSort[[#This Row],[CFDA]], Table11[Unique CFDA], 0)), "")</f>
        <v/>
      </c>
      <c r="R160" s="21" t="str">
        <f>IFERROR(INDEX(Table11[President % Change], MATCH(MemberOrgFinalSort[[#This Row],[CFDA]], Table11[Unique CFDA], 0)), "")</f>
        <v/>
      </c>
      <c r="S160" s="20" t="str">
        <f>IFERROR(INDEX(Table11[President $ Change], MATCH(MemberOrgFinalSort[[#This Row],[CFDA]], Table11[Unique CFDA], 0)), "")</f>
        <v/>
      </c>
      <c r="T160" s="32" t="str">
        <f>IFERROR(INDEX(Table11[House % Change], MATCH(MemberOrgFinalSort[[#This Row],[CFDA]], Table11[Unique CFDA], 0)), "")</f>
        <v/>
      </c>
      <c r="U160" s="32" t="str">
        <f>IFERROR(INDEX(Table11[House $ Change], MATCH(MemberOrgFinalSort[[#This Row],[CFDA]], Table11[Unique CFDA], 0)), "")</f>
        <v/>
      </c>
      <c r="V160" s="20"/>
      <c r="X160" s="6"/>
      <c r="Y160" s="6"/>
      <c r="Z160" s="6"/>
      <c r="AA160" s="6"/>
      <c r="AB160" s="6"/>
    </row>
    <row r="161" spans="1:28" x14ac:dyDescent="0.25">
      <c r="A161" t="str">
        <f>IF(MemberOrgControl!$C164 = "", "", INDEX(MemberOrgsData[CFDA], MemberOrgControl!$C164))</f>
        <v/>
      </c>
      <c r="C161" s="6" t="str">
        <f>IFERROR(INDEX(AllFilteredCFDAs[All CFDAs], MATCH(0, INDEX(COUNTIF($C$3:C160, AllFilteredCFDAs[All CFDAs]),),0)), "")</f>
        <v/>
      </c>
      <c r="D161" s="6" t="str">
        <f t="array" ref="D161">IFERROR(INDEX(MemberOrgsData[FEDERALPROGRAMNAME], MATCH(1, (SelectMemberOrgs = MemberOrgsData[Auditee Name])*(Table11[[#This Row],[Unique CFDA]] = MemberOrgsData[CFDA]), 0)), "")</f>
        <v/>
      </c>
      <c r="E161" s="25" t="str">
        <f t="array" ref="E161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61" s="26" t="str">
        <f t="array" ref="F161">IFERROR(INDEX(BudgetAppropData[President % Change], MATCH(1, (Table11[[#This Row],[Unique CFDA]] = BudgetAppropData[CFDA])*(SelectBudgetYear = BudgetAppropData[Fiscal Year]), 0)), "")</f>
        <v/>
      </c>
      <c r="G161" s="25" t="str">
        <f>IF(Table11[[#This Row],[Unique CFDA]] = "", "", IFERROR(Table11[[#This Row],[FY 2018 Total]]*Table11[[#This Row],[President % Change]], ""))</f>
        <v/>
      </c>
      <c r="H161" s="26" t="str">
        <f t="array" ref="H161">IFERROR(INDEX(BudgetAppropData[House % Change], MATCH(1, (Table11[[#This Row],[Unique CFDA]] = BudgetAppropData[CFDA])*(SelectBudgetYear = BudgetAppropData[Fiscal Year]),0)), "")</f>
        <v/>
      </c>
      <c r="I161" s="25" t="str">
        <f>IF(Table11[[#This Row],[Unique CFDA]] = "", "", IFERROR(Table11[[#This Row],[FY 2018 Total]]*Table11[[#This Row],[House % Change]], ""))</f>
        <v/>
      </c>
      <c r="J161" s="6"/>
      <c r="K161" s="25" t="str">
        <f>IF(Table11[[#This Row],[Unique CFDA]] = "", "", IFERROR(Table11[[#This Row],[FY 2018 Total]]*Table11[[#This Row],[Senate Budget]], ""))</f>
        <v/>
      </c>
      <c r="L161" s="6" t="str">
        <f>IF(Table11[[#This Row],[Unique CFDA]] = "", "", IF(ISNUMBER(Table11[[#This Row],[President $ Change]]), RANK(Table11[[#This Row],[President $ Change]], Table11[President $ Change])+COUNTIF($G161:G161, G161)-1,0))</f>
        <v/>
      </c>
      <c r="N161">
        <v>158</v>
      </c>
      <c r="O161" t="str">
        <f>IFERROR(INDEX(Table11[Unique CFDA], MATCH(N161, Table11[Pres. Sort], 0)), "")</f>
        <v/>
      </c>
      <c r="P161" s="1" t="str">
        <f>IFERROR(INDEX(Table11[Grant Name], MATCH(MemberOrgFinalSort[[#This Row],[CFDA]], Table11[Unique CFDA], 0)), "")</f>
        <v/>
      </c>
      <c r="Q161" s="20" t="str">
        <f>IFERROR(INDEX(Table11[FY 2018 Total], MATCH(MemberOrgFinalSort[[#This Row],[CFDA]], Table11[Unique CFDA], 0)), "")</f>
        <v/>
      </c>
      <c r="R161" s="21" t="str">
        <f>IFERROR(INDEX(Table11[President % Change], MATCH(MemberOrgFinalSort[[#This Row],[CFDA]], Table11[Unique CFDA], 0)), "")</f>
        <v/>
      </c>
      <c r="S161" s="20" t="str">
        <f>IFERROR(INDEX(Table11[President $ Change], MATCH(MemberOrgFinalSort[[#This Row],[CFDA]], Table11[Unique CFDA], 0)), "")</f>
        <v/>
      </c>
      <c r="T161" s="32" t="str">
        <f>IFERROR(INDEX(Table11[House % Change], MATCH(MemberOrgFinalSort[[#This Row],[CFDA]], Table11[Unique CFDA], 0)), "")</f>
        <v/>
      </c>
      <c r="U161" s="32" t="str">
        <f>IFERROR(INDEX(Table11[House $ Change], MATCH(MemberOrgFinalSort[[#This Row],[CFDA]], Table11[Unique CFDA], 0)), "")</f>
        <v/>
      </c>
      <c r="V161" s="20"/>
      <c r="X161" s="6"/>
      <c r="Y161" s="6"/>
      <c r="Z161" s="6"/>
      <c r="AA161" s="6"/>
      <c r="AB161" s="6"/>
    </row>
    <row r="162" spans="1:28" x14ac:dyDescent="0.25">
      <c r="A162" t="str">
        <f>IF(MemberOrgControl!$C165 = "", "", INDEX(MemberOrgsData[CFDA], MemberOrgControl!$C165))</f>
        <v/>
      </c>
      <c r="C162" s="6" t="str">
        <f>IFERROR(INDEX(AllFilteredCFDAs[All CFDAs], MATCH(0, INDEX(COUNTIF($C$3:C161, AllFilteredCFDAs[All CFDAs]),),0)), "")</f>
        <v/>
      </c>
      <c r="D162" s="6" t="str">
        <f t="array" ref="D162">IFERROR(INDEX(MemberOrgsData[FEDERALPROGRAMNAME], MATCH(1, (SelectMemberOrgs = MemberOrgsData[Auditee Name])*(Table11[[#This Row],[Unique CFDA]] = MemberOrgsData[CFDA]), 0)), "")</f>
        <v/>
      </c>
      <c r="E162" s="25" t="str">
        <f t="array" ref="E162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62" s="26" t="str">
        <f t="array" ref="F162">IFERROR(INDEX(BudgetAppropData[President % Change], MATCH(1, (Table11[[#This Row],[Unique CFDA]] = BudgetAppropData[CFDA])*(SelectBudgetYear = BudgetAppropData[Fiscal Year]), 0)), "")</f>
        <v/>
      </c>
      <c r="G162" s="25" t="str">
        <f>IF(Table11[[#This Row],[Unique CFDA]] = "", "", IFERROR(Table11[[#This Row],[FY 2018 Total]]*Table11[[#This Row],[President % Change]], ""))</f>
        <v/>
      </c>
      <c r="H162" s="26" t="str">
        <f t="array" ref="H162">IFERROR(INDEX(BudgetAppropData[House % Change], MATCH(1, (Table11[[#This Row],[Unique CFDA]] = BudgetAppropData[CFDA])*(SelectBudgetYear = BudgetAppropData[Fiscal Year]),0)), "")</f>
        <v/>
      </c>
      <c r="I162" s="25" t="str">
        <f>IF(Table11[[#This Row],[Unique CFDA]] = "", "", IFERROR(Table11[[#This Row],[FY 2018 Total]]*Table11[[#This Row],[House % Change]], ""))</f>
        <v/>
      </c>
      <c r="J162" s="6"/>
      <c r="K162" s="25" t="str">
        <f>IF(Table11[[#This Row],[Unique CFDA]] = "", "", IFERROR(Table11[[#This Row],[FY 2018 Total]]*Table11[[#This Row],[Senate Budget]], ""))</f>
        <v/>
      </c>
      <c r="L162" s="6" t="str">
        <f>IF(Table11[[#This Row],[Unique CFDA]] = "", "", IF(ISNUMBER(Table11[[#This Row],[President $ Change]]), RANK(Table11[[#This Row],[President $ Change]], Table11[President $ Change])+COUNTIF($G162:G162, G162)-1,0))</f>
        <v/>
      </c>
      <c r="N162">
        <v>159</v>
      </c>
      <c r="O162" t="str">
        <f>IFERROR(INDEX(Table11[Unique CFDA], MATCH(N162, Table11[Pres. Sort], 0)), "")</f>
        <v/>
      </c>
      <c r="P162" s="1" t="str">
        <f>IFERROR(INDEX(Table11[Grant Name], MATCH(MemberOrgFinalSort[[#This Row],[CFDA]], Table11[Unique CFDA], 0)), "")</f>
        <v/>
      </c>
      <c r="Q162" s="20" t="str">
        <f>IFERROR(INDEX(Table11[FY 2018 Total], MATCH(MemberOrgFinalSort[[#This Row],[CFDA]], Table11[Unique CFDA], 0)), "")</f>
        <v/>
      </c>
      <c r="R162" s="21" t="str">
        <f>IFERROR(INDEX(Table11[President % Change], MATCH(MemberOrgFinalSort[[#This Row],[CFDA]], Table11[Unique CFDA], 0)), "")</f>
        <v/>
      </c>
      <c r="S162" s="20" t="str">
        <f>IFERROR(INDEX(Table11[President $ Change], MATCH(MemberOrgFinalSort[[#This Row],[CFDA]], Table11[Unique CFDA], 0)), "")</f>
        <v/>
      </c>
      <c r="T162" s="32" t="str">
        <f>IFERROR(INDEX(Table11[House % Change], MATCH(MemberOrgFinalSort[[#This Row],[CFDA]], Table11[Unique CFDA], 0)), "")</f>
        <v/>
      </c>
      <c r="U162" s="32" t="str">
        <f>IFERROR(INDEX(Table11[House $ Change], MATCH(MemberOrgFinalSort[[#This Row],[CFDA]], Table11[Unique CFDA], 0)), "")</f>
        <v/>
      </c>
      <c r="V162" s="20"/>
      <c r="X162" s="6"/>
      <c r="Y162" s="6"/>
      <c r="Z162" s="6"/>
      <c r="AA162" s="6"/>
      <c r="AB162" s="6"/>
    </row>
    <row r="163" spans="1:28" x14ac:dyDescent="0.25">
      <c r="A163" t="str">
        <f>IF(MemberOrgControl!$C166 = "", "", INDEX(MemberOrgsData[CFDA], MemberOrgControl!$C166))</f>
        <v/>
      </c>
      <c r="C163" s="6" t="str">
        <f>IFERROR(INDEX(AllFilteredCFDAs[All CFDAs], MATCH(0, INDEX(COUNTIF($C$3:C162, AllFilteredCFDAs[All CFDAs]),),0)), "")</f>
        <v/>
      </c>
      <c r="D163" s="6" t="str">
        <f t="array" ref="D163">IFERROR(INDEX(MemberOrgsData[FEDERALPROGRAMNAME], MATCH(1, (SelectMemberOrgs = MemberOrgsData[Auditee Name])*(Table11[[#This Row],[Unique CFDA]] = MemberOrgsData[CFDA]), 0)), "")</f>
        <v/>
      </c>
      <c r="E163" s="25" t="str">
        <f t="array" ref="E163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63" s="26" t="str">
        <f t="array" ref="F163">IFERROR(INDEX(BudgetAppropData[President % Change], MATCH(1, (Table11[[#This Row],[Unique CFDA]] = BudgetAppropData[CFDA])*(SelectBudgetYear = BudgetAppropData[Fiscal Year]), 0)), "")</f>
        <v/>
      </c>
      <c r="G163" s="25" t="str">
        <f>IF(Table11[[#This Row],[Unique CFDA]] = "", "", IFERROR(Table11[[#This Row],[FY 2018 Total]]*Table11[[#This Row],[President % Change]], ""))</f>
        <v/>
      </c>
      <c r="H163" s="26" t="str">
        <f t="array" ref="H163">IFERROR(INDEX(BudgetAppropData[House % Change], MATCH(1, (Table11[[#This Row],[Unique CFDA]] = BudgetAppropData[CFDA])*(SelectBudgetYear = BudgetAppropData[Fiscal Year]),0)), "")</f>
        <v/>
      </c>
      <c r="I163" s="25" t="str">
        <f>IF(Table11[[#This Row],[Unique CFDA]] = "", "", IFERROR(Table11[[#This Row],[FY 2018 Total]]*Table11[[#This Row],[House % Change]], ""))</f>
        <v/>
      </c>
      <c r="J163" s="6"/>
      <c r="K163" s="25" t="str">
        <f>IF(Table11[[#This Row],[Unique CFDA]] = "", "", IFERROR(Table11[[#This Row],[FY 2018 Total]]*Table11[[#This Row],[Senate Budget]], ""))</f>
        <v/>
      </c>
      <c r="L163" s="6" t="str">
        <f>IF(Table11[[#This Row],[Unique CFDA]] = "", "", IF(ISNUMBER(Table11[[#This Row],[President $ Change]]), RANK(Table11[[#This Row],[President $ Change]], Table11[President $ Change])+COUNTIF($G163:G163, G163)-1,0))</f>
        <v/>
      </c>
      <c r="N163">
        <v>160</v>
      </c>
      <c r="O163" t="str">
        <f>IFERROR(INDEX(Table11[Unique CFDA], MATCH(N163, Table11[Pres. Sort], 0)), "")</f>
        <v/>
      </c>
      <c r="P163" s="1" t="str">
        <f>IFERROR(INDEX(Table11[Grant Name], MATCH(MemberOrgFinalSort[[#This Row],[CFDA]], Table11[Unique CFDA], 0)), "")</f>
        <v/>
      </c>
      <c r="Q163" s="20" t="str">
        <f>IFERROR(INDEX(Table11[FY 2018 Total], MATCH(MemberOrgFinalSort[[#This Row],[CFDA]], Table11[Unique CFDA], 0)), "")</f>
        <v/>
      </c>
      <c r="R163" s="21" t="str">
        <f>IFERROR(INDEX(Table11[President % Change], MATCH(MemberOrgFinalSort[[#This Row],[CFDA]], Table11[Unique CFDA], 0)), "")</f>
        <v/>
      </c>
      <c r="S163" s="20" t="str">
        <f>IFERROR(INDEX(Table11[President $ Change], MATCH(MemberOrgFinalSort[[#This Row],[CFDA]], Table11[Unique CFDA], 0)), "")</f>
        <v/>
      </c>
      <c r="T163" s="32" t="str">
        <f>IFERROR(INDEX(Table11[House % Change], MATCH(MemberOrgFinalSort[[#This Row],[CFDA]], Table11[Unique CFDA], 0)), "")</f>
        <v/>
      </c>
      <c r="U163" s="32" t="str">
        <f>IFERROR(INDEX(Table11[House $ Change], MATCH(MemberOrgFinalSort[[#This Row],[CFDA]], Table11[Unique CFDA], 0)), "")</f>
        <v/>
      </c>
      <c r="V163" s="20"/>
      <c r="X163" s="6"/>
      <c r="Y163" s="6"/>
      <c r="Z163" s="6"/>
      <c r="AA163" s="6"/>
      <c r="AB163" s="6"/>
    </row>
    <row r="164" spans="1:28" x14ac:dyDescent="0.25">
      <c r="A164" t="str">
        <f>IF(MemberOrgControl!$C167 = "", "", INDEX(MemberOrgsData[CFDA], MemberOrgControl!$C167))</f>
        <v/>
      </c>
      <c r="C164" s="6" t="str">
        <f>IFERROR(INDEX(AllFilteredCFDAs[All CFDAs], MATCH(0, INDEX(COUNTIF($C$3:C163, AllFilteredCFDAs[All CFDAs]),),0)), "")</f>
        <v/>
      </c>
      <c r="D164" s="6" t="str">
        <f t="array" ref="D164">IFERROR(INDEX(MemberOrgsData[FEDERALPROGRAMNAME], MATCH(1, (SelectMemberOrgs = MemberOrgsData[Auditee Name])*(Table11[[#This Row],[Unique CFDA]] = MemberOrgsData[CFDA]), 0)), "")</f>
        <v/>
      </c>
      <c r="E164" s="25" t="str">
        <f t="array" ref="E164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64" s="26" t="str">
        <f t="array" ref="F164">IFERROR(INDEX(BudgetAppropData[President % Change], MATCH(1, (Table11[[#This Row],[Unique CFDA]] = BudgetAppropData[CFDA])*(SelectBudgetYear = BudgetAppropData[Fiscal Year]), 0)), "")</f>
        <v/>
      </c>
      <c r="G164" s="25" t="str">
        <f>IF(Table11[[#This Row],[Unique CFDA]] = "", "", IFERROR(Table11[[#This Row],[FY 2018 Total]]*Table11[[#This Row],[President % Change]], ""))</f>
        <v/>
      </c>
      <c r="H164" s="26" t="str">
        <f t="array" ref="H164">IFERROR(INDEX(BudgetAppropData[House % Change], MATCH(1, (Table11[[#This Row],[Unique CFDA]] = BudgetAppropData[CFDA])*(SelectBudgetYear = BudgetAppropData[Fiscal Year]),0)), "")</f>
        <v/>
      </c>
      <c r="I164" s="25" t="str">
        <f>IF(Table11[[#This Row],[Unique CFDA]] = "", "", IFERROR(Table11[[#This Row],[FY 2018 Total]]*Table11[[#This Row],[House % Change]], ""))</f>
        <v/>
      </c>
      <c r="J164" s="6"/>
      <c r="K164" s="25" t="str">
        <f>IF(Table11[[#This Row],[Unique CFDA]] = "", "", IFERROR(Table11[[#This Row],[FY 2018 Total]]*Table11[[#This Row],[Senate Budget]], ""))</f>
        <v/>
      </c>
      <c r="L164" s="6" t="str">
        <f>IF(Table11[[#This Row],[Unique CFDA]] = "", "", IF(ISNUMBER(Table11[[#This Row],[President $ Change]]), RANK(Table11[[#This Row],[President $ Change]], Table11[President $ Change])+COUNTIF($G164:G164, G164)-1,0))</f>
        <v/>
      </c>
      <c r="N164">
        <v>161</v>
      </c>
      <c r="O164" t="str">
        <f>IFERROR(INDEX(Table11[Unique CFDA], MATCH(N164, Table11[Pres. Sort], 0)), "")</f>
        <v/>
      </c>
      <c r="P164" s="1" t="str">
        <f>IFERROR(INDEX(Table11[Grant Name], MATCH(MemberOrgFinalSort[[#This Row],[CFDA]], Table11[Unique CFDA], 0)), "")</f>
        <v/>
      </c>
      <c r="Q164" s="20" t="str">
        <f>IFERROR(INDEX(Table11[FY 2018 Total], MATCH(MemberOrgFinalSort[[#This Row],[CFDA]], Table11[Unique CFDA], 0)), "")</f>
        <v/>
      </c>
      <c r="R164" s="21" t="str">
        <f>IFERROR(INDEX(Table11[President % Change], MATCH(MemberOrgFinalSort[[#This Row],[CFDA]], Table11[Unique CFDA], 0)), "")</f>
        <v/>
      </c>
      <c r="S164" s="20" t="str">
        <f>IFERROR(INDEX(Table11[President $ Change], MATCH(MemberOrgFinalSort[[#This Row],[CFDA]], Table11[Unique CFDA], 0)), "")</f>
        <v/>
      </c>
      <c r="T164" s="32" t="str">
        <f>IFERROR(INDEX(Table11[House % Change], MATCH(MemberOrgFinalSort[[#This Row],[CFDA]], Table11[Unique CFDA], 0)), "")</f>
        <v/>
      </c>
      <c r="U164" s="32" t="str">
        <f>IFERROR(INDEX(Table11[House $ Change], MATCH(MemberOrgFinalSort[[#This Row],[CFDA]], Table11[Unique CFDA], 0)), "")</f>
        <v/>
      </c>
      <c r="V164" s="20"/>
      <c r="X164" s="6"/>
      <c r="Y164" s="6"/>
      <c r="Z164" s="6"/>
      <c r="AA164" s="6"/>
      <c r="AB164" s="6"/>
    </row>
    <row r="165" spans="1:28" x14ac:dyDescent="0.25">
      <c r="A165" t="str">
        <f>IF(MemberOrgControl!$C168 = "", "", INDEX(MemberOrgsData[CFDA], MemberOrgControl!$C168))</f>
        <v/>
      </c>
      <c r="C165" s="6" t="str">
        <f>IFERROR(INDEX(AllFilteredCFDAs[All CFDAs], MATCH(0, INDEX(COUNTIF($C$3:C164, AllFilteredCFDAs[All CFDAs]),),0)), "")</f>
        <v/>
      </c>
      <c r="D165" s="6" t="str">
        <f t="array" ref="D165">IFERROR(INDEX(MemberOrgsData[FEDERALPROGRAMNAME], MATCH(1, (SelectMemberOrgs = MemberOrgsData[Auditee Name])*(Table11[[#This Row],[Unique CFDA]] = MemberOrgsData[CFDA]), 0)), "")</f>
        <v/>
      </c>
      <c r="E165" s="25" t="str">
        <f t="array" ref="E165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65" s="26" t="str">
        <f t="array" ref="F165">IFERROR(INDEX(BudgetAppropData[President % Change], MATCH(1, (Table11[[#This Row],[Unique CFDA]] = BudgetAppropData[CFDA])*(SelectBudgetYear = BudgetAppropData[Fiscal Year]), 0)), "")</f>
        <v/>
      </c>
      <c r="G165" s="25" t="str">
        <f>IF(Table11[[#This Row],[Unique CFDA]] = "", "", IFERROR(Table11[[#This Row],[FY 2018 Total]]*Table11[[#This Row],[President % Change]], ""))</f>
        <v/>
      </c>
      <c r="H165" s="26" t="str">
        <f t="array" ref="H165">IFERROR(INDEX(BudgetAppropData[House % Change], MATCH(1, (Table11[[#This Row],[Unique CFDA]] = BudgetAppropData[CFDA])*(SelectBudgetYear = BudgetAppropData[Fiscal Year]),0)), "")</f>
        <v/>
      </c>
      <c r="I165" s="25" t="str">
        <f>IF(Table11[[#This Row],[Unique CFDA]] = "", "", IFERROR(Table11[[#This Row],[FY 2018 Total]]*Table11[[#This Row],[House % Change]], ""))</f>
        <v/>
      </c>
      <c r="J165" s="6"/>
      <c r="K165" s="25" t="str">
        <f>IF(Table11[[#This Row],[Unique CFDA]] = "", "", IFERROR(Table11[[#This Row],[FY 2018 Total]]*Table11[[#This Row],[Senate Budget]], ""))</f>
        <v/>
      </c>
      <c r="L165" s="6" t="str">
        <f>IF(Table11[[#This Row],[Unique CFDA]] = "", "", IF(ISNUMBER(Table11[[#This Row],[President $ Change]]), RANK(Table11[[#This Row],[President $ Change]], Table11[President $ Change])+COUNTIF($G165:G165, G165)-1,0))</f>
        <v/>
      </c>
      <c r="N165">
        <v>162</v>
      </c>
      <c r="O165" t="str">
        <f>IFERROR(INDEX(Table11[Unique CFDA], MATCH(N165, Table11[Pres. Sort], 0)), "")</f>
        <v/>
      </c>
      <c r="P165" s="1" t="str">
        <f>IFERROR(INDEX(Table11[Grant Name], MATCH(MemberOrgFinalSort[[#This Row],[CFDA]], Table11[Unique CFDA], 0)), "")</f>
        <v/>
      </c>
      <c r="Q165" s="20" t="str">
        <f>IFERROR(INDEX(Table11[FY 2018 Total], MATCH(MemberOrgFinalSort[[#This Row],[CFDA]], Table11[Unique CFDA], 0)), "")</f>
        <v/>
      </c>
      <c r="R165" s="21" t="str">
        <f>IFERROR(INDEX(Table11[President % Change], MATCH(MemberOrgFinalSort[[#This Row],[CFDA]], Table11[Unique CFDA], 0)), "")</f>
        <v/>
      </c>
      <c r="S165" s="20" t="str">
        <f>IFERROR(INDEX(Table11[President $ Change], MATCH(MemberOrgFinalSort[[#This Row],[CFDA]], Table11[Unique CFDA], 0)), "")</f>
        <v/>
      </c>
      <c r="T165" s="32" t="str">
        <f>IFERROR(INDEX(Table11[House % Change], MATCH(MemberOrgFinalSort[[#This Row],[CFDA]], Table11[Unique CFDA], 0)), "")</f>
        <v/>
      </c>
      <c r="U165" s="32" t="str">
        <f>IFERROR(INDEX(Table11[House $ Change], MATCH(MemberOrgFinalSort[[#This Row],[CFDA]], Table11[Unique CFDA], 0)), "")</f>
        <v/>
      </c>
      <c r="V165" s="20"/>
      <c r="X165" s="6"/>
      <c r="Y165" s="6"/>
      <c r="Z165" s="6"/>
      <c r="AA165" s="6"/>
      <c r="AB165" s="6"/>
    </row>
    <row r="166" spans="1:28" x14ac:dyDescent="0.25">
      <c r="A166" t="str">
        <f>IF(MemberOrgControl!$C169 = "", "", INDEX(MemberOrgsData[CFDA], MemberOrgControl!$C169))</f>
        <v/>
      </c>
      <c r="C166" s="6" t="str">
        <f>IFERROR(INDEX(AllFilteredCFDAs[All CFDAs], MATCH(0, INDEX(COUNTIF($C$3:C165, AllFilteredCFDAs[All CFDAs]),),0)), "")</f>
        <v/>
      </c>
      <c r="D166" s="6" t="str">
        <f t="array" ref="D166">IFERROR(INDEX(MemberOrgsData[FEDERALPROGRAMNAME], MATCH(1, (SelectMemberOrgs = MemberOrgsData[Auditee Name])*(Table11[[#This Row],[Unique CFDA]] = MemberOrgsData[CFDA]), 0)), "")</f>
        <v/>
      </c>
      <c r="E166" s="25" t="str">
        <f t="array" ref="E166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66" s="26" t="str">
        <f t="array" ref="F166">IFERROR(INDEX(BudgetAppropData[President % Change], MATCH(1, (Table11[[#This Row],[Unique CFDA]] = BudgetAppropData[CFDA])*(SelectBudgetYear = BudgetAppropData[Fiscal Year]), 0)), "")</f>
        <v/>
      </c>
      <c r="G166" s="25" t="str">
        <f>IF(Table11[[#This Row],[Unique CFDA]] = "", "", IFERROR(Table11[[#This Row],[FY 2018 Total]]*Table11[[#This Row],[President % Change]], ""))</f>
        <v/>
      </c>
      <c r="H166" s="26" t="str">
        <f t="array" ref="H166">IFERROR(INDEX(BudgetAppropData[House % Change], MATCH(1, (Table11[[#This Row],[Unique CFDA]] = BudgetAppropData[CFDA])*(SelectBudgetYear = BudgetAppropData[Fiscal Year]),0)), "")</f>
        <v/>
      </c>
      <c r="I166" s="25" t="str">
        <f>IF(Table11[[#This Row],[Unique CFDA]] = "", "", IFERROR(Table11[[#This Row],[FY 2018 Total]]*Table11[[#This Row],[House % Change]], ""))</f>
        <v/>
      </c>
      <c r="J166" s="6"/>
      <c r="K166" s="25" t="str">
        <f>IF(Table11[[#This Row],[Unique CFDA]] = "", "", IFERROR(Table11[[#This Row],[FY 2018 Total]]*Table11[[#This Row],[Senate Budget]], ""))</f>
        <v/>
      </c>
      <c r="L166" s="6" t="str">
        <f>IF(Table11[[#This Row],[Unique CFDA]] = "", "", IF(ISNUMBER(Table11[[#This Row],[President $ Change]]), RANK(Table11[[#This Row],[President $ Change]], Table11[President $ Change])+COUNTIF($G166:G166, G166)-1,0))</f>
        <v/>
      </c>
      <c r="N166">
        <v>163</v>
      </c>
      <c r="O166" t="str">
        <f>IFERROR(INDEX(Table11[Unique CFDA], MATCH(N166, Table11[Pres. Sort], 0)), "")</f>
        <v/>
      </c>
      <c r="P166" s="1" t="str">
        <f>IFERROR(INDEX(Table11[Grant Name], MATCH(MemberOrgFinalSort[[#This Row],[CFDA]], Table11[Unique CFDA], 0)), "")</f>
        <v/>
      </c>
      <c r="Q166" s="20" t="str">
        <f>IFERROR(INDEX(Table11[FY 2018 Total], MATCH(MemberOrgFinalSort[[#This Row],[CFDA]], Table11[Unique CFDA], 0)), "")</f>
        <v/>
      </c>
      <c r="R166" s="21" t="str">
        <f>IFERROR(INDEX(Table11[President % Change], MATCH(MemberOrgFinalSort[[#This Row],[CFDA]], Table11[Unique CFDA], 0)), "")</f>
        <v/>
      </c>
      <c r="S166" s="20" t="str">
        <f>IFERROR(INDEX(Table11[President $ Change], MATCH(MemberOrgFinalSort[[#This Row],[CFDA]], Table11[Unique CFDA], 0)), "")</f>
        <v/>
      </c>
      <c r="T166" s="32" t="str">
        <f>IFERROR(INDEX(Table11[House % Change], MATCH(MemberOrgFinalSort[[#This Row],[CFDA]], Table11[Unique CFDA], 0)), "")</f>
        <v/>
      </c>
      <c r="U166" s="32" t="str">
        <f>IFERROR(INDEX(Table11[House $ Change], MATCH(MemberOrgFinalSort[[#This Row],[CFDA]], Table11[Unique CFDA], 0)), "")</f>
        <v/>
      </c>
      <c r="V166" s="20"/>
      <c r="X166" s="6"/>
      <c r="Y166" s="6"/>
      <c r="Z166" s="6"/>
      <c r="AA166" s="6"/>
      <c r="AB166" s="6"/>
    </row>
    <row r="167" spans="1:28" x14ac:dyDescent="0.25">
      <c r="A167" t="str">
        <f>IF(MemberOrgControl!$C170 = "", "", INDEX(MemberOrgsData[CFDA], MemberOrgControl!$C170))</f>
        <v/>
      </c>
      <c r="C167" s="6" t="str">
        <f>IFERROR(INDEX(AllFilteredCFDAs[All CFDAs], MATCH(0, INDEX(COUNTIF($C$3:C166, AllFilteredCFDAs[All CFDAs]),),0)), "")</f>
        <v/>
      </c>
      <c r="D167" s="6" t="str">
        <f t="array" ref="D167">IFERROR(INDEX(MemberOrgsData[FEDERALPROGRAMNAME], MATCH(1, (SelectMemberOrgs = MemberOrgsData[Auditee Name])*(Table11[[#This Row],[Unique CFDA]] = MemberOrgsData[CFDA]), 0)), "")</f>
        <v/>
      </c>
      <c r="E167" s="25" t="str">
        <f t="array" ref="E167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67" s="26" t="str">
        <f t="array" ref="F167">IFERROR(INDEX(BudgetAppropData[President % Change], MATCH(1, (Table11[[#This Row],[Unique CFDA]] = BudgetAppropData[CFDA])*(SelectBudgetYear = BudgetAppropData[Fiscal Year]), 0)), "")</f>
        <v/>
      </c>
      <c r="G167" s="25" t="str">
        <f>IF(Table11[[#This Row],[Unique CFDA]] = "", "", IFERROR(Table11[[#This Row],[FY 2018 Total]]*Table11[[#This Row],[President % Change]], ""))</f>
        <v/>
      </c>
      <c r="H167" s="26" t="str">
        <f t="array" ref="H167">IFERROR(INDEX(BudgetAppropData[House % Change], MATCH(1, (Table11[[#This Row],[Unique CFDA]] = BudgetAppropData[CFDA])*(SelectBudgetYear = BudgetAppropData[Fiscal Year]),0)), "")</f>
        <v/>
      </c>
      <c r="I167" s="25" t="str">
        <f>IF(Table11[[#This Row],[Unique CFDA]] = "", "", IFERROR(Table11[[#This Row],[FY 2018 Total]]*Table11[[#This Row],[House % Change]], ""))</f>
        <v/>
      </c>
      <c r="J167" s="6"/>
      <c r="K167" s="25" t="str">
        <f>IF(Table11[[#This Row],[Unique CFDA]] = "", "", IFERROR(Table11[[#This Row],[FY 2018 Total]]*Table11[[#This Row],[Senate Budget]], ""))</f>
        <v/>
      </c>
      <c r="L167" s="6" t="str">
        <f>IF(Table11[[#This Row],[Unique CFDA]] = "", "", IF(ISNUMBER(Table11[[#This Row],[President $ Change]]), RANK(Table11[[#This Row],[President $ Change]], Table11[President $ Change])+COUNTIF($G167:G167, G167)-1,0))</f>
        <v/>
      </c>
      <c r="N167">
        <v>164</v>
      </c>
      <c r="O167" t="str">
        <f>IFERROR(INDEX(Table11[Unique CFDA], MATCH(N167, Table11[Pres. Sort], 0)), "")</f>
        <v/>
      </c>
      <c r="P167" s="1" t="str">
        <f>IFERROR(INDEX(Table11[Grant Name], MATCH(MemberOrgFinalSort[[#This Row],[CFDA]], Table11[Unique CFDA], 0)), "")</f>
        <v/>
      </c>
      <c r="Q167" s="20" t="str">
        <f>IFERROR(INDEX(Table11[FY 2018 Total], MATCH(MemberOrgFinalSort[[#This Row],[CFDA]], Table11[Unique CFDA], 0)), "")</f>
        <v/>
      </c>
      <c r="R167" s="21" t="str">
        <f>IFERROR(INDEX(Table11[President % Change], MATCH(MemberOrgFinalSort[[#This Row],[CFDA]], Table11[Unique CFDA], 0)), "")</f>
        <v/>
      </c>
      <c r="S167" s="20" t="str">
        <f>IFERROR(INDEX(Table11[President $ Change], MATCH(MemberOrgFinalSort[[#This Row],[CFDA]], Table11[Unique CFDA], 0)), "")</f>
        <v/>
      </c>
      <c r="T167" s="32" t="str">
        <f>IFERROR(INDEX(Table11[House % Change], MATCH(MemberOrgFinalSort[[#This Row],[CFDA]], Table11[Unique CFDA], 0)), "")</f>
        <v/>
      </c>
      <c r="U167" s="32" t="str">
        <f>IFERROR(INDEX(Table11[House $ Change], MATCH(MemberOrgFinalSort[[#This Row],[CFDA]], Table11[Unique CFDA], 0)), "")</f>
        <v/>
      </c>
      <c r="V167" s="20"/>
      <c r="X167" s="6"/>
      <c r="Y167" s="6"/>
      <c r="Z167" s="6"/>
      <c r="AA167" s="6"/>
      <c r="AB167" s="6"/>
    </row>
    <row r="168" spans="1:28" x14ac:dyDescent="0.25">
      <c r="A168" t="str">
        <f>IF(MemberOrgControl!$C171 = "", "", INDEX(MemberOrgsData[CFDA], MemberOrgControl!$C171))</f>
        <v/>
      </c>
      <c r="C168" s="6" t="str">
        <f>IFERROR(INDEX(AllFilteredCFDAs[All CFDAs], MATCH(0, INDEX(COUNTIF($C$3:C167, AllFilteredCFDAs[All CFDAs]),),0)), "")</f>
        <v/>
      </c>
      <c r="D168" s="6" t="str">
        <f t="array" ref="D168">IFERROR(INDEX(MemberOrgsData[FEDERALPROGRAMNAME], MATCH(1, (SelectMemberOrgs = MemberOrgsData[Auditee Name])*(Table11[[#This Row],[Unique CFDA]] = MemberOrgsData[CFDA]), 0)), "")</f>
        <v/>
      </c>
      <c r="E168" s="25" t="str">
        <f t="array" ref="E168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68" s="26" t="str">
        <f t="array" ref="F168">IFERROR(INDEX(BudgetAppropData[President % Change], MATCH(1, (Table11[[#This Row],[Unique CFDA]] = BudgetAppropData[CFDA])*(SelectBudgetYear = BudgetAppropData[Fiscal Year]), 0)), "")</f>
        <v/>
      </c>
      <c r="G168" s="25" t="str">
        <f>IF(Table11[[#This Row],[Unique CFDA]] = "", "", IFERROR(Table11[[#This Row],[FY 2018 Total]]*Table11[[#This Row],[President % Change]], ""))</f>
        <v/>
      </c>
      <c r="H168" s="26" t="str">
        <f t="array" ref="H168">IFERROR(INDEX(BudgetAppropData[House % Change], MATCH(1, (Table11[[#This Row],[Unique CFDA]] = BudgetAppropData[CFDA])*(SelectBudgetYear = BudgetAppropData[Fiscal Year]),0)), "")</f>
        <v/>
      </c>
      <c r="I168" s="25" t="str">
        <f>IF(Table11[[#This Row],[Unique CFDA]] = "", "", IFERROR(Table11[[#This Row],[FY 2018 Total]]*Table11[[#This Row],[House % Change]], ""))</f>
        <v/>
      </c>
      <c r="J168" s="6"/>
      <c r="K168" s="25" t="str">
        <f>IF(Table11[[#This Row],[Unique CFDA]] = "", "", IFERROR(Table11[[#This Row],[FY 2018 Total]]*Table11[[#This Row],[Senate Budget]], ""))</f>
        <v/>
      </c>
      <c r="L168" s="6" t="str">
        <f>IF(Table11[[#This Row],[Unique CFDA]] = "", "", IF(ISNUMBER(Table11[[#This Row],[President $ Change]]), RANK(Table11[[#This Row],[President $ Change]], Table11[President $ Change])+COUNTIF($G168:G168, G168)-1,0))</f>
        <v/>
      </c>
      <c r="N168">
        <v>165</v>
      </c>
      <c r="O168" t="str">
        <f>IFERROR(INDEX(Table11[Unique CFDA], MATCH(N168, Table11[Pres. Sort], 0)), "")</f>
        <v/>
      </c>
      <c r="P168" s="1" t="str">
        <f>IFERROR(INDEX(Table11[Grant Name], MATCH(MemberOrgFinalSort[[#This Row],[CFDA]], Table11[Unique CFDA], 0)), "")</f>
        <v/>
      </c>
      <c r="Q168" s="20" t="str">
        <f>IFERROR(INDEX(Table11[FY 2018 Total], MATCH(MemberOrgFinalSort[[#This Row],[CFDA]], Table11[Unique CFDA], 0)), "")</f>
        <v/>
      </c>
      <c r="R168" s="21" t="str">
        <f>IFERROR(INDEX(Table11[President % Change], MATCH(MemberOrgFinalSort[[#This Row],[CFDA]], Table11[Unique CFDA], 0)), "")</f>
        <v/>
      </c>
      <c r="S168" s="20" t="str">
        <f>IFERROR(INDEX(Table11[President $ Change], MATCH(MemberOrgFinalSort[[#This Row],[CFDA]], Table11[Unique CFDA], 0)), "")</f>
        <v/>
      </c>
      <c r="T168" s="32" t="str">
        <f>IFERROR(INDEX(Table11[House % Change], MATCH(MemberOrgFinalSort[[#This Row],[CFDA]], Table11[Unique CFDA], 0)), "")</f>
        <v/>
      </c>
      <c r="U168" s="32" t="str">
        <f>IFERROR(INDEX(Table11[House $ Change], MATCH(MemberOrgFinalSort[[#This Row],[CFDA]], Table11[Unique CFDA], 0)), "")</f>
        <v/>
      </c>
      <c r="V168" s="20"/>
      <c r="X168" s="6"/>
      <c r="Y168" s="6"/>
      <c r="Z168" s="6"/>
      <c r="AA168" s="6"/>
      <c r="AB168" s="6"/>
    </row>
    <row r="169" spans="1:28" x14ac:dyDescent="0.25">
      <c r="A169" t="str">
        <f>IF(MemberOrgControl!$C172 = "", "", INDEX(MemberOrgsData[CFDA], MemberOrgControl!$C172))</f>
        <v/>
      </c>
      <c r="C169" s="6" t="str">
        <f>IFERROR(INDEX(AllFilteredCFDAs[All CFDAs], MATCH(0, INDEX(COUNTIF($C$3:C168, AllFilteredCFDAs[All CFDAs]),),0)), "")</f>
        <v/>
      </c>
      <c r="D169" s="6" t="str">
        <f t="array" ref="D169">IFERROR(INDEX(MemberOrgsData[FEDERALPROGRAMNAME], MATCH(1, (SelectMemberOrgs = MemberOrgsData[Auditee Name])*(Table11[[#This Row],[Unique CFDA]] = MemberOrgsData[CFDA]), 0)), "")</f>
        <v/>
      </c>
      <c r="E169" s="25" t="str">
        <f t="array" ref="E169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69" s="26" t="str">
        <f t="array" ref="F169">IFERROR(INDEX(BudgetAppropData[President % Change], MATCH(1, (Table11[[#This Row],[Unique CFDA]] = BudgetAppropData[CFDA])*(SelectBudgetYear = BudgetAppropData[Fiscal Year]), 0)), "")</f>
        <v/>
      </c>
      <c r="G169" s="25" t="str">
        <f>IF(Table11[[#This Row],[Unique CFDA]] = "", "", IFERROR(Table11[[#This Row],[FY 2018 Total]]*Table11[[#This Row],[President % Change]], ""))</f>
        <v/>
      </c>
      <c r="H169" s="26" t="str">
        <f t="array" ref="H169">IFERROR(INDEX(BudgetAppropData[House % Change], MATCH(1, (Table11[[#This Row],[Unique CFDA]] = BudgetAppropData[CFDA])*(SelectBudgetYear = BudgetAppropData[Fiscal Year]),0)), "")</f>
        <v/>
      </c>
      <c r="I169" s="25" t="str">
        <f>IF(Table11[[#This Row],[Unique CFDA]] = "", "", IFERROR(Table11[[#This Row],[FY 2018 Total]]*Table11[[#This Row],[House % Change]], ""))</f>
        <v/>
      </c>
      <c r="J169" s="6"/>
      <c r="K169" s="25" t="str">
        <f>IF(Table11[[#This Row],[Unique CFDA]] = "", "", IFERROR(Table11[[#This Row],[FY 2018 Total]]*Table11[[#This Row],[Senate Budget]], ""))</f>
        <v/>
      </c>
      <c r="L169" s="6" t="str">
        <f>IF(Table11[[#This Row],[Unique CFDA]] = "", "", IF(ISNUMBER(Table11[[#This Row],[President $ Change]]), RANK(Table11[[#This Row],[President $ Change]], Table11[President $ Change])+COUNTIF($G169:G169, G169)-1,0))</f>
        <v/>
      </c>
      <c r="N169">
        <v>166</v>
      </c>
      <c r="O169" t="str">
        <f>IFERROR(INDEX(Table11[Unique CFDA], MATCH(N169, Table11[Pres. Sort], 0)), "")</f>
        <v/>
      </c>
      <c r="P169" s="1" t="str">
        <f>IFERROR(INDEX(Table11[Grant Name], MATCH(MemberOrgFinalSort[[#This Row],[CFDA]], Table11[Unique CFDA], 0)), "")</f>
        <v/>
      </c>
      <c r="Q169" s="20" t="str">
        <f>IFERROR(INDEX(Table11[FY 2018 Total], MATCH(MemberOrgFinalSort[[#This Row],[CFDA]], Table11[Unique CFDA], 0)), "")</f>
        <v/>
      </c>
      <c r="R169" s="21" t="str">
        <f>IFERROR(INDEX(Table11[President % Change], MATCH(MemberOrgFinalSort[[#This Row],[CFDA]], Table11[Unique CFDA], 0)), "")</f>
        <v/>
      </c>
      <c r="S169" s="20" t="str">
        <f>IFERROR(INDEX(Table11[President $ Change], MATCH(MemberOrgFinalSort[[#This Row],[CFDA]], Table11[Unique CFDA], 0)), "")</f>
        <v/>
      </c>
      <c r="T169" s="32" t="str">
        <f>IFERROR(INDEX(Table11[House % Change], MATCH(MemberOrgFinalSort[[#This Row],[CFDA]], Table11[Unique CFDA], 0)), "")</f>
        <v/>
      </c>
      <c r="U169" s="32" t="str">
        <f>IFERROR(INDEX(Table11[House $ Change], MATCH(MemberOrgFinalSort[[#This Row],[CFDA]], Table11[Unique CFDA], 0)), "")</f>
        <v/>
      </c>
      <c r="V169" s="20"/>
      <c r="X169" s="6"/>
      <c r="Y169" s="6"/>
      <c r="Z169" s="6"/>
      <c r="AA169" s="6"/>
      <c r="AB169" s="6"/>
    </row>
    <row r="170" spans="1:28" x14ac:dyDescent="0.25">
      <c r="A170" t="str">
        <f>IF(MemberOrgControl!$C173 = "", "", INDEX(MemberOrgsData[CFDA], MemberOrgControl!$C173))</f>
        <v/>
      </c>
      <c r="C170" s="6" t="str">
        <f>IFERROR(INDEX(AllFilteredCFDAs[All CFDAs], MATCH(0, INDEX(COUNTIF($C$3:C169, AllFilteredCFDAs[All CFDAs]),),0)), "")</f>
        <v/>
      </c>
      <c r="D170" s="6" t="str">
        <f t="array" ref="D170">IFERROR(INDEX(MemberOrgsData[FEDERALPROGRAMNAME], MATCH(1, (SelectMemberOrgs = MemberOrgsData[Auditee Name])*(Table11[[#This Row],[Unique CFDA]] = MemberOrgsData[CFDA]), 0)), "")</f>
        <v/>
      </c>
      <c r="E170" s="25" t="str">
        <f t="array" ref="E170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70" s="26" t="str">
        <f t="array" ref="F170">IFERROR(INDEX(BudgetAppropData[President % Change], MATCH(1, (Table11[[#This Row],[Unique CFDA]] = BudgetAppropData[CFDA])*(SelectBudgetYear = BudgetAppropData[Fiscal Year]), 0)), "")</f>
        <v/>
      </c>
      <c r="G170" s="25" t="str">
        <f>IF(Table11[[#This Row],[Unique CFDA]] = "", "", IFERROR(Table11[[#This Row],[FY 2018 Total]]*Table11[[#This Row],[President % Change]], ""))</f>
        <v/>
      </c>
      <c r="H170" s="26" t="str">
        <f t="array" ref="H170">IFERROR(INDEX(BudgetAppropData[House % Change], MATCH(1, (Table11[[#This Row],[Unique CFDA]] = BudgetAppropData[CFDA])*(SelectBudgetYear = BudgetAppropData[Fiscal Year]),0)), "")</f>
        <v/>
      </c>
      <c r="I170" s="25" t="str">
        <f>IF(Table11[[#This Row],[Unique CFDA]] = "", "", IFERROR(Table11[[#This Row],[FY 2018 Total]]*Table11[[#This Row],[House % Change]], ""))</f>
        <v/>
      </c>
      <c r="J170" s="6"/>
      <c r="K170" s="25" t="str">
        <f>IF(Table11[[#This Row],[Unique CFDA]] = "", "", IFERROR(Table11[[#This Row],[FY 2018 Total]]*Table11[[#This Row],[Senate Budget]], ""))</f>
        <v/>
      </c>
      <c r="L170" s="6" t="str">
        <f>IF(Table11[[#This Row],[Unique CFDA]] = "", "", IF(ISNUMBER(Table11[[#This Row],[President $ Change]]), RANK(Table11[[#This Row],[President $ Change]], Table11[President $ Change])+COUNTIF($G170:G170, G170)-1,0))</f>
        <v/>
      </c>
      <c r="N170">
        <v>167</v>
      </c>
      <c r="O170" t="str">
        <f>IFERROR(INDEX(Table11[Unique CFDA], MATCH(N170, Table11[Pres. Sort], 0)), "")</f>
        <v/>
      </c>
      <c r="P170" s="1" t="str">
        <f>IFERROR(INDEX(Table11[Grant Name], MATCH(MemberOrgFinalSort[[#This Row],[CFDA]], Table11[Unique CFDA], 0)), "")</f>
        <v/>
      </c>
      <c r="Q170" s="20" t="str">
        <f>IFERROR(INDEX(Table11[FY 2018 Total], MATCH(MemberOrgFinalSort[[#This Row],[CFDA]], Table11[Unique CFDA], 0)), "")</f>
        <v/>
      </c>
      <c r="R170" s="21" t="str">
        <f>IFERROR(INDEX(Table11[President % Change], MATCH(MemberOrgFinalSort[[#This Row],[CFDA]], Table11[Unique CFDA], 0)), "")</f>
        <v/>
      </c>
      <c r="S170" s="20" t="str">
        <f>IFERROR(INDEX(Table11[President $ Change], MATCH(MemberOrgFinalSort[[#This Row],[CFDA]], Table11[Unique CFDA], 0)), "")</f>
        <v/>
      </c>
      <c r="T170" s="32" t="str">
        <f>IFERROR(INDEX(Table11[House % Change], MATCH(MemberOrgFinalSort[[#This Row],[CFDA]], Table11[Unique CFDA], 0)), "")</f>
        <v/>
      </c>
      <c r="U170" s="32" t="str">
        <f>IFERROR(INDEX(Table11[House $ Change], MATCH(MemberOrgFinalSort[[#This Row],[CFDA]], Table11[Unique CFDA], 0)), "")</f>
        <v/>
      </c>
      <c r="V170" s="20"/>
      <c r="X170" s="6"/>
      <c r="Y170" s="6"/>
      <c r="Z170" s="6"/>
      <c r="AA170" s="6"/>
      <c r="AB170" s="6"/>
    </row>
    <row r="171" spans="1:28" x14ac:dyDescent="0.25">
      <c r="A171" t="str">
        <f>IF(MemberOrgControl!$C174 = "", "", INDEX(MemberOrgsData[CFDA], MemberOrgControl!$C174))</f>
        <v/>
      </c>
      <c r="C171" s="6" t="str">
        <f>IFERROR(INDEX(AllFilteredCFDAs[All CFDAs], MATCH(0, INDEX(COUNTIF($C$3:C170, AllFilteredCFDAs[All CFDAs]),),0)), "")</f>
        <v/>
      </c>
      <c r="D171" s="6" t="str">
        <f t="array" ref="D171">IFERROR(INDEX(MemberOrgsData[FEDERALPROGRAMNAME], MATCH(1, (SelectMemberOrgs = MemberOrgsData[Auditee Name])*(Table11[[#This Row],[Unique CFDA]] = MemberOrgsData[CFDA]), 0)), "")</f>
        <v/>
      </c>
      <c r="E171" s="25" t="str">
        <f t="array" ref="E171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71" s="26" t="str">
        <f t="array" ref="F171">IFERROR(INDEX(BudgetAppropData[President % Change], MATCH(1, (Table11[[#This Row],[Unique CFDA]] = BudgetAppropData[CFDA])*(SelectBudgetYear = BudgetAppropData[Fiscal Year]), 0)), "")</f>
        <v/>
      </c>
      <c r="G171" s="25" t="str">
        <f>IF(Table11[[#This Row],[Unique CFDA]] = "", "", IFERROR(Table11[[#This Row],[FY 2018 Total]]*Table11[[#This Row],[President % Change]], ""))</f>
        <v/>
      </c>
      <c r="H171" s="26" t="str">
        <f t="array" ref="H171">IFERROR(INDEX(BudgetAppropData[House % Change], MATCH(1, (Table11[[#This Row],[Unique CFDA]] = BudgetAppropData[CFDA])*(SelectBudgetYear = BudgetAppropData[Fiscal Year]),0)), "")</f>
        <v/>
      </c>
      <c r="I171" s="25" t="str">
        <f>IF(Table11[[#This Row],[Unique CFDA]] = "", "", IFERROR(Table11[[#This Row],[FY 2018 Total]]*Table11[[#This Row],[House % Change]], ""))</f>
        <v/>
      </c>
      <c r="J171" s="6"/>
      <c r="K171" s="25" t="str">
        <f>IF(Table11[[#This Row],[Unique CFDA]] = "", "", IFERROR(Table11[[#This Row],[FY 2018 Total]]*Table11[[#This Row],[Senate Budget]], ""))</f>
        <v/>
      </c>
      <c r="L171" s="6" t="str">
        <f>IF(Table11[[#This Row],[Unique CFDA]] = "", "", IF(ISNUMBER(Table11[[#This Row],[President $ Change]]), RANK(Table11[[#This Row],[President $ Change]], Table11[President $ Change])+COUNTIF($G171:G171, G171)-1,0))</f>
        <v/>
      </c>
      <c r="N171">
        <v>168</v>
      </c>
      <c r="O171" t="str">
        <f>IFERROR(INDEX(Table11[Unique CFDA], MATCH(N171, Table11[Pres. Sort], 0)), "")</f>
        <v/>
      </c>
      <c r="P171" s="1" t="str">
        <f>IFERROR(INDEX(Table11[Grant Name], MATCH(MemberOrgFinalSort[[#This Row],[CFDA]], Table11[Unique CFDA], 0)), "")</f>
        <v/>
      </c>
      <c r="Q171" s="20" t="str">
        <f>IFERROR(INDEX(Table11[FY 2018 Total], MATCH(MemberOrgFinalSort[[#This Row],[CFDA]], Table11[Unique CFDA], 0)), "")</f>
        <v/>
      </c>
      <c r="R171" s="21" t="str">
        <f>IFERROR(INDEX(Table11[President % Change], MATCH(MemberOrgFinalSort[[#This Row],[CFDA]], Table11[Unique CFDA], 0)), "")</f>
        <v/>
      </c>
      <c r="S171" s="20" t="str">
        <f>IFERROR(INDEX(Table11[President $ Change], MATCH(MemberOrgFinalSort[[#This Row],[CFDA]], Table11[Unique CFDA], 0)), "")</f>
        <v/>
      </c>
      <c r="T171" s="32" t="str">
        <f>IFERROR(INDEX(Table11[House % Change], MATCH(MemberOrgFinalSort[[#This Row],[CFDA]], Table11[Unique CFDA], 0)), "")</f>
        <v/>
      </c>
      <c r="U171" s="32" t="str">
        <f>IFERROR(INDEX(Table11[House $ Change], MATCH(MemberOrgFinalSort[[#This Row],[CFDA]], Table11[Unique CFDA], 0)), "")</f>
        <v/>
      </c>
      <c r="V171" s="20"/>
      <c r="X171" s="6"/>
      <c r="Y171" s="6"/>
      <c r="Z171" s="6"/>
      <c r="AA171" s="6"/>
      <c r="AB171" s="6"/>
    </row>
    <row r="172" spans="1:28" x14ac:dyDescent="0.25">
      <c r="A172" t="str">
        <f>IF(MemberOrgControl!$C175 = "", "", INDEX(MemberOrgsData[CFDA], MemberOrgControl!$C175))</f>
        <v/>
      </c>
      <c r="C172" s="6" t="str">
        <f>IFERROR(INDEX(AllFilteredCFDAs[All CFDAs], MATCH(0, INDEX(COUNTIF($C$3:C171, AllFilteredCFDAs[All CFDAs]),),0)), "")</f>
        <v/>
      </c>
      <c r="D172" s="6" t="str">
        <f t="array" ref="D172">IFERROR(INDEX(MemberOrgsData[FEDERALPROGRAMNAME], MATCH(1, (SelectMemberOrgs = MemberOrgsData[Auditee Name])*(Table11[[#This Row],[Unique CFDA]] = MemberOrgsData[CFDA]), 0)), "")</f>
        <v/>
      </c>
      <c r="E172" s="25" t="str">
        <f t="array" ref="E172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72" s="26" t="str">
        <f t="array" ref="F172">IFERROR(INDEX(BudgetAppropData[President % Change], MATCH(1, (Table11[[#This Row],[Unique CFDA]] = BudgetAppropData[CFDA])*(SelectBudgetYear = BudgetAppropData[Fiscal Year]), 0)), "")</f>
        <v/>
      </c>
      <c r="G172" s="25" t="str">
        <f>IF(Table11[[#This Row],[Unique CFDA]] = "", "", IFERROR(Table11[[#This Row],[FY 2018 Total]]*Table11[[#This Row],[President % Change]], ""))</f>
        <v/>
      </c>
      <c r="H172" s="26" t="str">
        <f t="array" ref="H172">IFERROR(INDEX(BudgetAppropData[House % Change], MATCH(1, (Table11[[#This Row],[Unique CFDA]] = BudgetAppropData[CFDA])*(SelectBudgetYear = BudgetAppropData[Fiscal Year]),0)), "")</f>
        <v/>
      </c>
      <c r="I172" s="25" t="str">
        <f>IF(Table11[[#This Row],[Unique CFDA]] = "", "", IFERROR(Table11[[#This Row],[FY 2018 Total]]*Table11[[#This Row],[House % Change]], ""))</f>
        <v/>
      </c>
      <c r="J172" s="6"/>
      <c r="K172" s="25" t="str">
        <f>IF(Table11[[#This Row],[Unique CFDA]] = "", "", IFERROR(Table11[[#This Row],[FY 2018 Total]]*Table11[[#This Row],[Senate Budget]], ""))</f>
        <v/>
      </c>
      <c r="L172" s="6" t="str">
        <f>IF(Table11[[#This Row],[Unique CFDA]] = "", "", IF(ISNUMBER(Table11[[#This Row],[President $ Change]]), RANK(Table11[[#This Row],[President $ Change]], Table11[President $ Change])+COUNTIF($G172:G172, G172)-1,0))</f>
        <v/>
      </c>
      <c r="N172">
        <v>169</v>
      </c>
      <c r="O172" t="str">
        <f>IFERROR(INDEX(Table11[Unique CFDA], MATCH(N172, Table11[Pres. Sort], 0)), "")</f>
        <v/>
      </c>
      <c r="P172" s="1" t="str">
        <f>IFERROR(INDEX(Table11[Grant Name], MATCH(MemberOrgFinalSort[[#This Row],[CFDA]], Table11[Unique CFDA], 0)), "")</f>
        <v/>
      </c>
      <c r="Q172" s="20" t="str">
        <f>IFERROR(INDEX(Table11[FY 2018 Total], MATCH(MemberOrgFinalSort[[#This Row],[CFDA]], Table11[Unique CFDA], 0)), "")</f>
        <v/>
      </c>
      <c r="R172" s="21" t="str">
        <f>IFERROR(INDEX(Table11[President % Change], MATCH(MemberOrgFinalSort[[#This Row],[CFDA]], Table11[Unique CFDA], 0)), "")</f>
        <v/>
      </c>
      <c r="S172" s="20" t="str">
        <f>IFERROR(INDEX(Table11[President $ Change], MATCH(MemberOrgFinalSort[[#This Row],[CFDA]], Table11[Unique CFDA], 0)), "")</f>
        <v/>
      </c>
      <c r="T172" s="32" t="str">
        <f>IFERROR(INDEX(Table11[House % Change], MATCH(MemberOrgFinalSort[[#This Row],[CFDA]], Table11[Unique CFDA], 0)), "")</f>
        <v/>
      </c>
      <c r="U172" s="32" t="str">
        <f>IFERROR(INDEX(Table11[House $ Change], MATCH(MemberOrgFinalSort[[#This Row],[CFDA]], Table11[Unique CFDA], 0)), "")</f>
        <v/>
      </c>
      <c r="V172" s="20"/>
      <c r="X172" s="6"/>
      <c r="Y172" s="6"/>
      <c r="Z172" s="6"/>
      <c r="AA172" s="6"/>
      <c r="AB172" s="6"/>
    </row>
    <row r="173" spans="1:28" x14ac:dyDescent="0.25">
      <c r="A173" t="str">
        <f>IF(MemberOrgControl!$C176 = "", "", INDEX(MemberOrgsData[CFDA], MemberOrgControl!$C176))</f>
        <v/>
      </c>
      <c r="C173" s="6" t="str">
        <f>IFERROR(INDEX(AllFilteredCFDAs[All CFDAs], MATCH(0, INDEX(COUNTIF($C$3:C172, AllFilteredCFDAs[All CFDAs]),),0)), "")</f>
        <v/>
      </c>
      <c r="D173" s="6" t="str">
        <f t="array" ref="D173">IFERROR(INDEX(MemberOrgsData[FEDERALPROGRAMNAME], MATCH(1, (SelectMemberOrgs = MemberOrgsData[Auditee Name])*(Table11[[#This Row],[Unique CFDA]] = MemberOrgsData[CFDA]), 0)), "")</f>
        <v/>
      </c>
      <c r="E173" s="25" t="str">
        <f t="array" ref="E173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73" s="26" t="str">
        <f t="array" ref="F173">IFERROR(INDEX(BudgetAppropData[President % Change], MATCH(1, (Table11[[#This Row],[Unique CFDA]] = BudgetAppropData[CFDA])*(SelectBudgetYear = BudgetAppropData[Fiscal Year]), 0)), "")</f>
        <v/>
      </c>
      <c r="G173" s="25" t="str">
        <f>IF(Table11[[#This Row],[Unique CFDA]] = "", "", IFERROR(Table11[[#This Row],[FY 2018 Total]]*Table11[[#This Row],[President % Change]], ""))</f>
        <v/>
      </c>
      <c r="H173" s="26" t="str">
        <f t="array" ref="H173">IFERROR(INDEX(BudgetAppropData[House % Change], MATCH(1, (Table11[[#This Row],[Unique CFDA]] = BudgetAppropData[CFDA])*(SelectBudgetYear = BudgetAppropData[Fiscal Year]),0)), "")</f>
        <v/>
      </c>
      <c r="I173" s="25" t="str">
        <f>IF(Table11[[#This Row],[Unique CFDA]] = "", "", IFERROR(Table11[[#This Row],[FY 2018 Total]]*Table11[[#This Row],[House % Change]], ""))</f>
        <v/>
      </c>
      <c r="J173" s="6"/>
      <c r="K173" s="25" t="str">
        <f>IF(Table11[[#This Row],[Unique CFDA]] = "", "", IFERROR(Table11[[#This Row],[FY 2018 Total]]*Table11[[#This Row],[Senate Budget]], ""))</f>
        <v/>
      </c>
      <c r="L173" s="6" t="str">
        <f>IF(Table11[[#This Row],[Unique CFDA]] = "", "", IF(ISNUMBER(Table11[[#This Row],[President $ Change]]), RANK(Table11[[#This Row],[President $ Change]], Table11[President $ Change])+COUNTIF($G173:G173, G173)-1,0))</f>
        <v/>
      </c>
      <c r="N173">
        <v>170</v>
      </c>
      <c r="O173" t="str">
        <f>IFERROR(INDEX(Table11[Unique CFDA], MATCH(N173, Table11[Pres. Sort], 0)), "")</f>
        <v/>
      </c>
      <c r="P173" s="1" t="str">
        <f>IFERROR(INDEX(Table11[Grant Name], MATCH(MemberOrgFinalSort[[#This Row],[CFDA]], Table11[Unique CFDA], 0)), "")</f>
        <v/>
      </c>
      <c r="Q173" s="20" t="str">
        <f>IFERROR(INDEX(Table11[FY 2018 Total], MATCH(MemberOrgFinalSort[[#This Row],[CFDA]], Table11[Unique CFDA], 0)), "")</f>
        <v/>
      </c>
      <c r="R173" s="21" t="str">
        <f>IFERROR(INDEX(Table11[President % Change], MATCH(MemberOrgFinalSort[[#This Row],[CFDA]], Table11[Unique CFDA], 0)), "")</f>
        <v/>
      </c>
      <c r="S173" s="20" t="str">
        <f>IFERROR(INDEX(Table11[President $ Change], MATCH(MemberOrgFinalSort[[#This Row],[CFDA]], Table11[Unique CFDA], 0)), "")</f>
        <v/>
      </c>
      <c r="T173" s="32" t="str">
        <f>IFERROR(INDEX(Table11[House % Change], MATCH(MemberOrgFinalSort[[#This Row],[CFDA]], Table11[Unique CFDA], 0)), "")</f>
        <v/>
      </c>
      <c r="U173" s="32" t="str">
        <f>IFERROR(INDEX(Table11[House $ Change], MATCH(MemberOrgFinalSort[[#This Row],[CFDA]], Table11[Unique CFDA], 0)), "")</f>
        <v/>
      </c>
      <c r="V173" s="20"/>
      <c r="X173" s="6"/>
      <c r="Y173" s="6"/>
      <c r="Z173" s="6"/>
      <c r="AA173" s="6"/>
      <c r="AB173" s="6"/>
    </row>
    <row r="174" spans="1:28" x14ac:dyDescent="0.25">
      <c r="A174" t="str">
        <f>IF(MemberOrgControl!$C177 = "", "", INDEX(MemberOrgsData[CFDA], MemberOrgControl!$C177))</f>
        <v/>
      </c>
      <c r="C174" s="6" t="str">
        <f>IFERROR(INDEX(AllFilteredCFDAs[All CFDAs], MATCH(0, INDEX(COUNTIF($C$3:C173, AllFilteredCFDAs[All CFDAs]),),0)), "")</f>
        <v/>
      </c>
      <c r="D174" s="6" t="str">
        <f t="array" ref="D174">IFERROR(INDEX(MemberOrgsData[FEDERALPROGRAMNAME], MATCH(1, (SelectMemberOrgs = MemberOrgsData[Auditee Name])*(Table11[[#This Row],[Unique CFDA]] = MemberOrgsData[CFDA]), 0)), "")</f>
        <v/>
      </c>
      <c r="E174" s="25" t="str">
        <f t="array" ref="E174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74" s="26" t="str">
        <f t="array" ref="F174">IFERROR(INDEX(BudgetAppropData[President % Change], MATCH(1, (Table11[[#This Row],[Unique CFDA]] = BudgetAppropData[CFDA])*(SelectBudgetYear = BudgetAppropData[Fiscal Year]), 0)), "")</f>
        <v/>
      </c>
      <c r="G174" s="25" t="str">
        <f>IF(Table11[[#This Row],[Unique CFDA]] = "", "", IFERROR(Table11[[#This Row],[FY 2018 Total]]*Table11[[#This Row],[President % Change]], ""))</f>
        <v/>
      </c>
      <c r="H174" s="26" t="str">
        <f t="array" ref="H174">IFERROR(INDEX(BudgetAppropData[House % Change], MATCH(1, (Table11[[#This Row],[Unique CFDA]] = BudgetAppropData[CFDA])*(SelectBudgetYear = BudgetAppropData[Fiscal Year]),0)), "")</f>
        <v/>
      </c>
      <c r="I174" s="25" t="str">
        <f>IF(Table11[[#This Row],[Unique CFDA]] = "", "", IFERROR(Table11[[#This Row],[FY 2018 Total]]*Table11[[#This Row],[House % Change]], ""))</f>
        <v/>
      </c>
      <c r="J174" s="6"/>
      <c r="K174" s="25" t="str">
        <f>IF(Table11[[#This Row],[Unique CFDA]] = "", "", IFERROR(Table11[[#This Row],[FY 2018 Total]]*Table11[[#This Row],[Senate Budget]], ""))</f>
        <v/>
      </c>
      <c r="L174" s="6" t="str">
        <f>IF(Table11[[#This Row],[Unique CFDA]] = "", "", IF(ISNUMBER(Table11[[#This Row],[President $ Change]]), RANK(Table11[[#This Row],[President $ Change]], Table11[President $ Change])+COUNTIF($G174:G174, G174)-1,0))</f>
        <v/>
      </c>
      <c r="N174">
        <v>171</v>
      </c>
      <c r="O174" t="str">
        <f>IFERROR(INDEX(Table11[Unique CFDA], MATCH(N174, Table11[Pres. Sort], 0)), "")</f>
        <v/>
      </c>
      <c r="P174" s="1" t="str">
        <f>IFERROR(INDEX(Table11[Grant Name], MATCH(MemberOrgFinalSort[[#This Row],[CFDA]], Table11[Unique CFDA], 0)), "")</f>
        <v/>
      </c>
      <c r="Q174" s="20" t="str">
        <f>IFERROR(INDEX(Table11[FY 2018 Total], MATCH(MemberOrgFinalSort[[#This Row],[CFDA]], Table11[Unique CFDA], 0)), "")</f>
        <v/>
      </c>
      <c r="R174" s="21" t="str">
        <f>IFERROR(INDEX(Table11[President % Change], MATCH(MemberOrgFinalSort[[#This Row],[CFDA]], Table11[Unique CFDA], 0)), "")</f>
        <v/>
      </c>
      <c r="S174" s="20" t="str">
        <f>IFERROR(INDEX(Table11[President $ Change], MATCH(MemberOrgFinalSort[[#This Row],[CFDA]], Table11[Unique CFDA], 0)), "")</f>
        <v/>
      </c>
      <c r="T174" s="32" t="str">
        <f>IFERROR(INDEX(Table11[House % Change], MATCH(MemberOrgFinalSort[[#This Row],[CFDA]], Table11[Unique CFDA], 0)), "")</f>
        <v/>
      </c>
      <c r="U174" s="32" t="str">
        <f>IFERROR(INDEX(Table11[House $ Change], MATCH(MemberOrgFinalSort[[#This Row],[CFDA]], Table11[Unique CFDA], 0)), "")</f>
        <v/>
      </c>
      <c r="V174" s="20"/>
      <c r="X174" s="6"/>
      <c r="Y174" s="6"/>
      <c r="Z174" s="6"/>
      <c r="AA174" s="6"/>
      <c r="AB174" s="6"/>
    </row>
    <row r="175" spans="1:28" x14ac:dyDescent="0.25">
      <c r="A175" t="str">
        <f>IF(MemberOrgControl!$C178 = "", "", INDEX(MemberOrgsData[CFDA], MemberOrgControl!$C178))</f>
        <v/>
      </c>
      <c r="C175" s="6" t="str">
        <f>IFERROR(INDEX(AllFilteredCFDAs[All CFDAs], MATCH(0, INDEX(COUNTIF($C$3:C174, AllFilteredCFDAs[All CFDAs]),),0)), "")</f>
        <v/>
      </c>
      <c r="D175" s="6" t="str">
        <f t="array" ref="D175">IFERROR(INDEX(MemberOrgsData[FEDERALPROGRAMNAME], MATCH(1, (SelectMemberOrgs = MemberOrgsData[Auditee Name])*(Table11[[#This Row],[Unique CFDA]] = MemberOrgsData[CFDA]), 0)), "")</f>
        <v/>
      </c>
      <c r="E175" s="25" t="str">
        <f t="array" ref="E175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75" s="26" t="str">
        <f t="array" ref="F175">IFERROR(INDEX(BudgetAppropData[President % Change], MATCH(1, (Table11[[#This Row],[Unique CFDA]] = BudgetAppropData[CFDA])*(SelectBudgetYear = BudgetAppropData[Fiscal Year]), 0)), "")</f>
        <v/>
      </c>
      <c r="G175" s="25" t="str">
        <f>IF(Table11[[#This Row],[Unique CFDA]] = "", "", IFERROR(Table11[[#This Row],[FY 2018 Total]]*Table11[[#This Row],[President % Change]], ""))</f>
        <v/>
      </c>
      <c r="H175" s="26" t="str">
        <f t="array" ref="H175">IFERROR(INDEX(BudgetAppropData[House % Change], MATCH(1, (Table11[[#This Row],[Unique CFDA]] = BudgetAppropData[CFDA])*(SelectBudgetYear = BudgetAppropData[Fiscal Year]),0)), "")</f>
        <v/>
      </c>
      <c r="I175" s="25" t="str">
        <f>IF(Table11[[#This Row],[Unique CFDA]] = "", "", IFERROR(Table11[[#This Row],[FY 2018 Total]]*Table11[[#This Row],[House % Change]], ""))</f>
        <v/>
      </c>
      <c r="J175" s="6"/>
      <c r="K175" s="25" t="str">
        <f>IF(Table11[[#This Row],[Unique CFDA]] = "", "", IFERROR(Table11[[#This Row],[FY 2018 Total]]*Table11[[#This Row],[Senate Budget]], ""))</f>
        <v/>
      </c>
      <c r="L175" s="6" t="str">
        <f>IF(Table11[[#This Row],[Unique CFDA]] = "", "", IF(ISNUMBER(Table11[[#This Row],[President $ Change]]), RANK(Table11[[#This Row],[President $ Change]], Table11[President $ Change])+COUNTIF($G175:G175, G175)-1,0))</f>
        <v/>
      </c>
      <c r="N175">
        <v>172</v>
      </c>
      <c r="O175" t="str">
        <f>IFERROR(INDEX(Table11[Unique CFDA], MATCH(N175, Table11[Pres. Sort], 0)), "")</f>
        <v/>
      </c>
      <c r="P175" s="1" t="str">
        <f>IFERROR(INDEX(Table11[Grant Name], MATCH(MemberOrgFinalSort[[#This Row],[CFDA]], Table11[Unique CFDA], 0)), "")</f>
        <v/>
      </c>
      <c r="Q175" s="20" t="str">
        <f>IFERROR(INDEX(Table11[FY 2018 Total], MATCH(MemberOrgFinalSort[[#This Row],[CFDA]], Table11[Unique CFDA], 0)), "")</f>
        <v/>
      </c>
      <c r="R175" s="21" t="str">
        <f>IFERROR(INDEX(Table11[President % Change], MATCH(MemberOrgFinalSort[[#This Row],[CFDA]], Table11[Unique CFDA], 0)), "")</f>
        <v/>
      </c>
      <c r="S175" s="20" t="str">
        <f>IFERROR(INDEX(Table11[President $ Change], MATCH(MemberOrgFinalSort[[#This Row],[CFDA]], Table11[Unique CFDA], 0)), "")</f>
        <v/>
      </c>
      <c r="T175" s="32" t="str">
        <f>IFERROR(INDEX(Table11[House % Change], MATCH(MemberOrgFinalSort[[#This Row],[CFDA]], Table11[Unique CFDA], 0)), "")</f>
        <v/>
      </c>
      <c r="U175" s="32" t="str">
        <f>IFERROR(INDEX(Table11[House $ Change], MATCH(MemberOrgFinalSort[[#This Row],[CFDA]], Table11[Unique CFDA], 0)), "")</f>
        <v/>
      </c>
      <c r="V175" s="20"/>
      <c r="X175" s="6"/>
      <c r="Y175" s="6"/>
      <c r="Z175" s="6"/>
      <c r="AA175" s="6"/>
      <c r="AB175" s="6"/>
    </row>
    <row r="176" spans="1:28" x14ac:dyDescent="0.25">
      <c r="A176" t="str">
        <f>IF(MemberOrgControl!$C179 = "", "", INDEX(MemberOrgsData[CFDA], MemberOrgControl!$C179))</f>
        <v/>
      </c>
      <c r="C176" s="6" t="str">
        <f>IFERROR(INDEX(AllFilteredCFDAs[All CFDAs], MATCH(0, INDEX(COUNTIF($C$3:C175, AllFilteredCFDAs[All CFDAs]),),0)), "")</f>
        <v/>
      </c>
      <c r="D176" s="6" t="str">
        <f t="array" ref="D176">IFERROR(INDEX(MemberOrgsData[FEDERALPROGRAMNAME], MATCH(1, (SelectMemberOrgs = MemberOrgsData[Auditee Name])*(Table11[[#This Row],[Unique CFDA]] = MemberOrgsData[CFDA]), 0)), "")</f>
        <v/>
      </c>
      <c r="E176" s="25" t="str">
        <f t="array" ref="E176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76" s="26" t="str">
        <f t="array" ref="F176">IFERROR(INDEX(BudgetAppropData[President % Change], MATCH(1, (Table11[[#This Row],[Unique CFDA]] = BudgetAppropData[CFDA])*(SelectBudgetYear = BudgetAppropData[Fiscal Year]), 0)), "")</f>
        <v/>
      </c>
      <c r="G176" s="25" t="str">
        <f>IF(Table11[[#This Row],[Unique CFDA]] = "", "", IFERROR(Table11[[#This Row],[FY 2018 Total]]*Table11[[#This Row],[President % Change]], ""))</f>
        <v/>
      </c>
      <c r="H176" s="26" t="str">
        <f t="array" ref="H176">IFERROR(INDEX(BudgetAppropData[House % Change], MATCH(1, (Table11[[#This Row],[Unique CFDA]] = BudgetAppropData[CFDA])*(SelectBudgetYear = BudgetAppropData[Fiscal Year]),0)), "")</f>
        <v/>
      </c>
      <c r="I176" s="25" t="str">
        <f>IF(Table11[[#This Row],[Unique CFDA]] = "", "", IFERROR(Table11[[#This Row],[FY 2018 Total]]*Table11[[#This Row],[House % Change]], ""))</f>
        <v/>
      </c>
      <c r="J176" s="6"/>
      <c r="K176" s="25" t="str">
        <f>IF(Table11[[#This Row],[Unique CFDA]] = "", "", IFERROR(Table11[[#This Row],[FY 2018 Total]]*Table11[[#This Row],[Senate Budget]], ""))</f>
        <v/>
      </c>
      <c r="L176" s="6" t="str">
        <f>IF(Table11[[#This Row],[Unique CFDA]] = "", "", IF(ISNUMBER(Table11[[#This Row],[President $ Change]]), RANK(Table11[[#This Row],[President $ Change]], Table11[President $ Change])+COUNTIF($G176:G176, G176)-1,0))</f>
        <v/>
      </c>
      <c r="N176">
        <v>173</v>
      </c>
      <c r="O176" t="str">
        <f>IFERROR(INDEX(Table11[Unique CFDA], MATCH(N176, Table11[Pres. Sort], 0)), "")</f>
        <v/>
      </c>
      <c r="P176" s="1" t="str">
        <f>IFERROR(INDEX(Table11[Grant Name], MATCH(MemberOrgFinalSort[[#This Row],[CFDA]], Table11[Unique CFDA], 0)), "")</f>
        <v/>
      </c>
      <c r="Q176" s="20" t="str">
        <f>IFERROR(INDEX(Table11[FY 2018 Total], MATCH(MemberOrgFinalSort[[#This Row],[CFDA]], Table11[Unique CFDA], 0)), "")</f>
        <v/>
      </c>
      <c r="R176" s="21" t="str">
        <f>IFERROR(INDEX(Table11[President % Change], MATCH(MemberOrgFinalSort[[#This Row],[CFDA]], Table11[Unique CFDA], 0)), "")</f>
        <v/>
      </c>
      <c r="S176" s="20" t="str">
        <f>IFERROR(INDEX(Table11[President $ Change], MATCH(MemberOrgFinalSort[[#This Row],[CFDA]], Table11[Unique CFDA], 0)), "")</f>
        <v/>
      </c>
      <c r="T176" s="32" t="str">
        <f>IFERROR(INDEX(Table11[House % Change], MATCH(MemberOrgFinalSort[[#This Row],[CFDA]], Table11[Unique CFDA], 0)), "")</f>
        <v/>
      </c>
      <c r="U176" s="32" t="str">
        <f>IFERROR(INDEX(Table11[House $ Change], MATCH(MemberOrgFinalSort[[#This Row],[CFDA]], Table11[Unique CFDA], 0)), "")</f>
        <v/>
      </c>
      <c r="V176" s="20"/>
      <c r="X176" s="6"/>
      <c r="Y176" s="6"/>
      <c r="Z176" s="6"/>
      <c r="AA176" s="6"/>
      <c r="AB176" s="6"/>
    </row>
    <row r="177" spans="1:28" x14ac:dyDescent="0.25">
      <c r="A177" t="str">
        <f>IF(MemberOrgControl!$C180 = "", "", INDEX(MemberOrgsData[CFDA], MemberOrgControl!$C180))</f>
        <v/>
      </c>
      <c r="C177" s="6" t="str">
        <f>IFERROR(INDEX(AllFilteredCFDAs[All CFDAs], MATCH(0, INDEX(COUNTIF($C$3:C176, AllFilteredCFDAs[All CFDAs]),),0)), "")</f>
        <v/>
      </c>
      <c r="D177" s="6" t="str">
        <f t="array" ref="D177">IFERROR(INDEX(MemberOrgsData[FEDERALPROGRAMNAME], MATCH(1, (SelectMemberOrgs = MemberOrgsData[Auditee Name])*(Table11[[#This Row],[Unique CFDA]] = MemberOrgsData[CFDA]), 0)), "")</f>
        <v/>
      </c>
      <c r="E177" s="25" t="str">
        <f t="array" ref="E177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77" s="26" t="str">
        <f t="array" ref="F177">IFERROR(INDEX(BudgetAppropData[President % Change], MATCH(1, (Table11[[#This Row],[Unique CFDA]] = BudgetAppropData[CFDA])*(SelectBudgetYear = BudgetAppropData[Fiscal Year]), 0)), "")</f>
        <v/>
      </c>
      <c r="G177" s="25" t="str">
        <f>IF(Table11[[#This Row],[Unique CFDA]] = "", "", IFERROR(Table11[[#This Row],[FY 2018 Total]]*Table11[[#This Row],[President % Change]], ""))</f>
        <v/>
      </c>
      <c r="H177" s="26" t="str">
        <f t="array" ref="H177">IFERROR(INDEX(BudgetAppropData[House % Change], MATCH(1, (Table11[[#This Row],[Unique CFDA]] = BudgetAppropData[CFDA])*(SelectBudgetYear = BudgetAppropData[Fiscal Year]),0)), "")</f>
        <v/>
      </c>
      <c r="I177" s="25" t="str">
        <f>IF(Table11[[#This Row],[Unique CFDA]] = "", "", IFERROR(Table11[[#This Row],[FY 2018 Total]]*Table11[[#This Row],[House % Change]], ""))</f>
        <v/>
      </c>
      <c r="J177" s="6"/>
      <c r="K177" s="25" t="str">
        <f>IF(Table11[[#This Row],[Unique CFDA]] = "", "", IFERROR(Table11[[#This Row],[FY 2018 Total]]*Table11[[#This Row],[Senate Budget]], ""))</f>
        <v/>
      </c>
      <c r="L177" s="6" t="str">
        <f>IF(Table11[[#This Row],[Unique CFDA]] = "", "", IF(ISNUMBER(Table11[[#This Row],[President $ Change]]), RANK(Table11[[#This Row],[President $ Change]], Table11[President $ Change])+COUNTIF($G177:G177, G177)-1,0))</f>
        <v/>
      </c>
      <c r="N177">
        <v>174</v>
      </c>
      <c r="O177" t="str">
        <f>IFERROR(INDEX(Table11[Unique CFDA], MATCH(N177, Table11[Pres. Sort], 0)), "")</f>
        <v/>
      </c>
      <c r="P177" s="1" t="str">
        <f>IFERROR(INDEX(Table11[Grant Name], MATCH(MemberOrgFinalSort[[#This Row],[CFDA]], Table11[Unique CFDA], 0)), "")</f>
        <v/>
      </c>
      <c r="Q177" s="20" t="str">
        <f>IFERROR(INDEX(Table11[FY 2018 Total], MATCH(MemberOrgFinalSort[[#This Row],[CFDA]], Table11[Unique CFDA], 0)), "")</f>
        <v/>
      </c>
      <c r="R177" s="21" t="str">
        <f>IFERROR(INDEX(Table11[President % Change], MATCH(MemberOrgFinalSort[[#This Row],[CFDA]], Table11[Unique CFDA], 0)), "")</f>
        <v/>
      </c>
      <c r="S177" s="20" t="str">
        <f>IFERROR(INDEX(Table11[President $ Change], MATCH(MemberOrgFinalSort[[#This Row],[CFDA]], Table11[Unique CFDA], 0)), "")</f>
        <v/>
      </c>
      <c r="T177" s="32" t="str">
        <f>IFERROR(INDEX(Table11[House % Change], MATCH(MemberOrgFinalSort[[#This Row],[CFDA]], Table11[Unique CFDA], 0)), "")</f>
        <v/>
      </c>
      <c r="U177" s="32" t="str">
        <f>IFERROR(INDEX(Table11[House $ Change], MATCH(MemberOrgFinalSort[[#This Row],[CFDA]], Table11[Unique CFDA], 0)), "")</f>
        <v/>
      </c>
      <c r="V177" s="20"/>
      <c r="X177" s="6"/>
      <c r="Y177" s="6"/>
      <c r="Z177" s="6"/>
      <c r="AA177" s="6"/>
      <c r="AB177" s="6"/>
    </row>
    <row r="178" spans="1:28" x14ac:dyDescent="0.25">
      <c r="A178" t="str">
        <f>IF(MemberOrgControl!$C181 = "", "", INDEX(MemberOrgsData[CFDA], MemberOrgControl!$C181))</f>
        <v/>
      </c>
      <c r="C178" s="6" t="str">
        <f>IFERROR(INDEX(AllFilteredCFDAs[All CFDAs], MATCH(0, INDEX(COUNTIF($C$3:C177, AllFilteredCFDAs[All CFDAs]),),0)), "")</f>
        <v/>
      </c>
      <c r="D178" s="6" t="str">
        <f t="array" ref="D178">IFERROR(INDEX(MemberOrgsData[FEDERALPROGRAMNAME], MATCH(1, (SelectMemberOrgs = MemberOrgsData[Auditee Name])*(Table11[[#This Row],[Unique CFDA]] = MemberOrgsData[CFDA]), 0)), "")</f>
        <v/>
      </c>
      <c r="E178" s="25" t="str">
        <f t="array" ref="E178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78" s="26" t="str">
        <f t="array" ref="F178">IFERROR(INDEX(BudgetAppropData[President % Change], MATCH(1, (Table11[[#This Row],[Unique CFDA]] = BudgetAppropData[CFDA])*(SelectBudgetYear = BudgetAppropData[Fiscal Year]), 0)), "")</f>
        <v/>
      </c>
      <c r="G178" s="25" t="str">
        <f>IF(Table11[[#This Row],[Unique CFDA]] = "", "", IFERROR(Table11[[#This Row],[FY 2018 Total]]*Table11[[#This Row],[President % Change]], ""))</f>
        <v/>
      </c>
      <c r="H178" s="26" t="str">
        <f t="array" ref="H178">IFERROR(INDEX(BudgetAppropData[House % Change], MATCH(1, (Table11[[#This Row],[Unique CFDA]] = BudgetAppropData[CFDA])*(SelectBudgetYear = BudgetAppropData[Fiscal Year]),0)), "")</f>
        <v/>
      </c>
      <c r="I178" s="25" t="str">
        <f>IF(Table11[[#This Row],[Unique CFDA]] = "", "", IFERROR(Table11[[#This Row],[FY 2018 Total]]*Table11[[#This Row],[House % Change]], ""))</f>
        <v/>
      </c>
      <c r="J178" s="6"/>
      <c r="K178" s="25" t="str">
        <f>IF(Table11[[#This Row],[Unique CFDA]] = "", "", IFERROR(Table11[[#This Row],[FY 2018 Total]]*Table11[[#This Row],[Senate Budget]], ""))</f>
        <v/>
      </c>
      <c r="L178" s="6" t="str">
        <f>IF(Table11[[#This Row],[Unique CFDA]] = "", "", IF(ISNUMBER(Table11[[#This Row],[President $ Change]]), RANK(Table11[[#This Row],[President $ Change]], Table11[President $ Change])+COUNTIF($G178:G178, G178)-1,0))</f>
        <v/>
      </c>
      <c r="N178">
        <v>175</v>
      </c>
      <c r="O178" t="str">
        <f>IFERROR(INDEX(Table11[Unique CFDA], MATCH(N178, Table11[Pres. Sort], 0)), "")</f>
        <v/>
      </c>
      <c r="P178" s="1" t="str">
        <f>IFERROR(INDEX(Table11[Grant Name], MATCH(MemberOrgFinalSort[[#This Row],[CFDA]], Table11[Unique CFDA], 0)), "")</f>
        <v/>
      </c>
      <c r="Q178" s="20" t="str">
        <f>IFERROR(INDEX(Table11[FY 2018 Total], MATCH(MemberOrgFinalSort[[#This Row],[CFDA]], Table11[Unique CFDA], 0)), "")</f>
        <v/>
      </c>
      <c r="R178" s="21" t="str">
        <f>IFERROR(INDEX(Table11[President % Change], MATCH(MemberOrgFinalSort[[#This Row],[CFDA]], Table11[Unique CFDA], 0)), "")</f>
        <v/>
      </c>
      <c r="S178" s="20" t="str">
        <f>IFERROR(INDEX(Table11[President $ Change], MATCH(MemberOrgFinalSort[[#This Row],[CFDA]], Table11[Unique CFDA], 0)), "")</f>
        <v/>
      </c>
      <c r="T178" s="32" t="str">
        <f>IFERROR(INDEX(Table11[House % Change], MATCH(MemberOrgFinalSort[[#This Row],[CFDA]], Table11[Unique CFDA], 0)), "")</f>
        <v/>
      </c>
      <c r="U178" s="32" t="str">
        <f>IFERROR(INDEX(Table11[House $ Change], MATCH(MemberOrgFinalSort[[#This Row],[CFDA]], Table11[Unique CFDA], 0)), "")</f>
        <v/>
      </c>
      <c r="V178" s="20"/>
      <c r="X178" s="6"/>
      <c r="Y178" s="6"/>
      <c r="Z178" s="6"/>
      <c r="AA178" s="6"/>
      <c r="AB178" s="6"/>
    </row>
    <row r="179" spans="1:28" x14ac:dyDescent="0.25">
      <c r="A179" t="str">
        <f>IF(MemberOrgControl!$C182 = "", "", INDEX(MemberOrgsData[CFDA], MemberOrgControl!$C182))</f>
        <v/>
      </c>
      <c r="C179" s="6" t="str">
        <f>IFERROR(INDEX(AllFilteredCFDAs[All CFDAs], MATCH(0, INDEX(COUNTIF($C$3:C178, AllFilteredCFDAs[All CFDAs]),),0)), "")</f>
        <v/>
      </c>
      <c r="D179" s="6" t="str">
        <f t="array" ref="D179">IFERROR(INDEX(MemberOrgsData[FEDERALPROGRAMNAME], MATCH(1, (SelectMemberOrgs = MemberOrgsData[Auditee Name])*(Table11[[#This Row],[Unique CFDA]] = MemberOrgsData[CFDA]), 0)), "")</f>
        <v/>
      </c>
      <c r="E179" s="25" t="str">
        <f t="array" ref="E179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79" s="26" t="str">
        <f t="array" ref="F179">IFERROR(INDEX(BudgetAppropData[President % Change], MATCH(1, (Table11[[#This Row],[Unique CFDA]] = BudgetAppropData[CFDA])*(SelectBudgetYear = BudgetAppropData[Fiscal Year]), 0)), "")</f>
        <v/>
      </c>
      <c r="G179" s="25" t="str">
        <f>IF(Table11[[#This Row],[Unique CFDA]] = "", "", IFERROR(Table11[[#This Row],[FY 2018 Total]]*Table11[[#This Row],[President % Change]], ""))</f>
        <v/>
      </c>
      <c r="H179" s="26" t="str">
        <f t="array" ref="H179">IFERROR(INDEX(BudgetAppropData[House % Change], MATCH(1, (Table11[[#This Row],[Unique CFDA]] = BudgetAppropData[CFDA])*(SelectBudgetYear = BudgetAppropData[Fiscal Year]),0)), "")</f>
        <v/>
      </c>
      <c r="I179" s="25" t="str">
        <f>IF(Table11[[#This Row],[Unique CFDA]] = "", "", IFERROR(Table11[[#This Row],[FY 2018 Total]]*Table11[[#This Row],[House % Change]], ""))</f>
        <v/>
      </c>
      <c r="J179" s="6"/>
      <c r="K179" s="25" t="str">
        <f>IF(Table11[[#This Row],[Unique CFDA]] = "", "", IFERROR(Table11[[#This Row],[FY 2018 Total]]*Table11[[#This Row],[Senate Budget]], ""))</f>
        <v/>
      </c>
      <c r="L179" s="6" t="str">
        <f>IF(Table11[[#This Row],[Unique CFDA]] = "", "", IF(ISNUMBER(Table11[[#This Row],[President $ Change]]), RANK(Table11[[#This Row],[President $ Change]], Table11[President $ Change])+COUNTIF($G179:G179, G179)-1,0))</f>
        <v/>
      </c>
      <c r="N179">
        <v>176</v>
      </c>
      <c r="O179" t="str">
        <f>IFERROR(INDEX(Table11[Unique CFDA], MATCH(N179, Table11[Pres. Sort], 0)), "")</f>
        <v/>
      </c>
      <c r="P179" s="1" t="str">
        <f>IFERROR(INDEX(Table11[Grant Name], MATCH(MemberOrgFinalSort[[#This Row],[CFDA]], Table11[Unique CFDA], 0)), "")</f>
        <v/>
      </c>
      <c r="Q179" s="20" t="str">
        <f>IFERROR(INDEX(Table11[FY 2018 Total], MATCH(MemberOrgFinalSort[[#This Row],[CFDA]], Table11[Unique CFDA], 0)), "")</f>
        <v/>
      </c>
      <c r="R179" s="21" t="str">
        <f>IFERROR(INDEX(Table11[President % Change], MATCH(MemberOrgFinalSort[[#This Row],[CFDA]], Table11[Unique CFDA], 0)), "")</f>
        <v/>
      </c>
      <c r="S179" s="20" t="str">
        <f>IFERROR(INDEX(Table11[President $ Change], MATCH(MemberOrgFinalSort[[#This Row],[CFDA]], Table11[Unique CFDA], 0)), "")</f>
        <v/>
      </c>
      <c r="T179" s="32" t="str">
        <f>IFERROR(INDEX(Table11[House % Change], MATCH(MemberOrgFinalSort[[#This Row],[CFDA]], Table11[Unique CFDA], 0)), "")</f>
        <v/>
      </c>
      <c r="U179" s="32" t="str">
        <f>IFERROR(INDEX(Table11[House $ Change], MATCH(MemberOrgFinalSort[[#This Row],[CFDA]], Table11[Unique CFDA], 0)), "")</f>
        <v/>
      </c>
      <c r="V179" s="20"/>
      <c r="X179" s="6"/>
      <c r="Y179" s="6"/>
      <c r="Z179" s="6"/>
      <c r="AA179" s="6"/>
      <c r="AB179" s="6"/>
    </row>
    <row r="180" spans="1:28" x14ac:dyDescent="0.25">
      <c r="A180" t="str">
        <f>IF(MemberOrgControl!$C183 = "", "", INDEX(MemberOrgsData[CFDA], MemberOrgControl!$C183))</f>
        <v/>
      </c>
      <c r="C180" s="6" t="str">
        <f>IFERROR(INDEX(AllFilteredCFDAs[All CFDAs], MATCH(0, INDEX(COUNTIF($C$3:C179, AllFilteredCFDAs[All CFDAs]),),0)), "")</f>
        <v/>
      </c>
      <c r="D180" s="6" t="str">
        <f t="array" ref="D180">IFERROR(INDEX(MemberOrgsData[FEDERALPROGRAMNAME], MATCH(1, (SelectMemberOrgs = MemberOrgsData[Auditee Name])*(Table11[[#This Row],[Unique CFDA]] = MemberOrgsData[CFDA]), 0)), "")</f>
        <v/>
      </c>
      <c r="E180" s="25" t="str">
        <f t="array" ref="E180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80" s="26" t="str">
        <f t="array" ref="F180">IFERROR(INDEX(BudgetAppropData[President % Change], MATCH(1, (Table11[[#This Row],[Unique CFDA]] = BudgetAppropData[CFDA])*(SelectBudgetYear = BudgetAppropData[Fiscal Year]), 0)), "")</f>
        <v/>
      </c>
      <c r="G180" s="25" t="str">
        <f>IF(Table11[[#This Row],[Unique CFDA]] = "", "", IFERROR(Table11[[#This Row],[FY 2018 Total]]*Table11[[#This Row],[President % Change]], ""))</f>
        <v/>
      </c>
      <c r="H180" s="26" t="str">
        <f t="array" ref="H180">IFERROR(INDEX(BudgetAppropData[House % Change], MATCH(1, (Table11[[#This Row],[Unique CFDA]] = BudgetAppropData[CFDA])*(SelectBudgetYear = BudgetAppropData[Fiscal Year]),0)), "")</f>
        <v/>
      </c>
      <c r="I180" s="25" t="str">
        <f>IF(Table11[[#This Row],[Unique CFDA]] = "", "", IFERROR(Table11[[#This Row],[FY 2018 Total]]*Table11[[#This Row],[House % Change]], ""))</f>
        <v/>
      </c>
      <c r="J180" s="6"/>
      <c r="K180" s="25" t="str">
        <f>IF(Table11[[#This Row],[Unique CFDA]] = "", "", IFERROR(Table11[[#This Row],[FY 2018 Total]]*Table11[[#This Row],[Senate Budget]], ""))</f>
        <v/>
      </c>
      <c r="L180" s="6" t="str">
        <f>IF(Table11[[#This Row],[Unique CFDA]] = "", "", IF(ISNUMBER(Table11[[#This Row],[President $ Change]]), RANK(Table11[[#This Row],[President $ Change]], Table11[President $ Change])+COUNTIF($G180:G180, G180)-1,0))</f>
        <v/>
      </c>
      <c r="N180">
        <v>177</v>
      </c>
      <c r="O180" t="str">
        <f>IFERROR(INDEX(Table11[Unique CFDA], MATCH(N180, Table11[Pres. Sort], 0)), "")</f>
        <v/>
      </c>
      <c r="P180" s="1" t="str">
        <f>IFERROR(INDEX(Table11[Grant Name], MATCH(MemberOrgFinalSort[[#This Row],[CFDA]], Table11[Unique CFDA], 0)), "")</f>
        <v/>
      </c>
      <c r="Q180" s="20" t="str">
        <f>IFERROR(INDEX(Table11[FY 2018 Total], MATCH(MemberOrgFinalSort[[#This Row],[CFDA]], Table11[Unique CFDA], 0)), "")</f>
        <v/>
      </c>
      <c r="R180" s="21" t="str">
        <f>IFERROR(INDEX(Table11[President % Change], MATCH(MemberOrgFinalSort[[#This Row],[CFDA]], Table11[Unique CFDA], 0)), "")</f>
        <v/>
      </c>
      <c r="S180" s="20" t="str">
        <f>IFERROR(INDEX(Table11[President $ Change], MATCH(MemberOrgFinalSort[[#This Row],[CFDA]], Table11[Unique CFDA], 0)), "")</f>
        <v/>
      </c>
      <c r="T180" s="32" t="str">
        <f>IFERROR(INDEX(Table11[House % Change], MATCH(MemberOrgFinalSort[[#This Row],[CFDA]], Table11[Unique CFDA], 0)), "")</f>
        <v/>
      </c>
      <c r="U180" s="32" t="str">
        <f>IFERROR(INDEX(Table11[House $ Change], MATCH(MemberOrgFinalSort[[#This Row],[CFDA]], Table11[Unique CFDA], 0)), "")</f>
        <v/>
      </c>
      <c r="V180" s="20"/>
      <c r="X180" s="6"/>
      <c r="Y180" s="6"/>
      <c r="Z180" s="6"/>
      <c r="AA180" s="6"/>
      <c r="AB180" s="6"/>
    </row>
    <row r="181" spans="1:28" x14ac:dyDescent="0.25">
      <c r="A181" t="str">
        <f>IF(MemberOrgControl!$C184 = "", "", INDEX(MemberOrgsData[CFDA], MemberOrgControl!$C184))</f>
        <v/>
      </c>
      <c r="C181" s="6" t="str">
        <f>IFERROR(INDEX(AllFilteredCFDAs[All CFDAs], MATCH(0, INDEX(COUNTIF($C$3:C180, AllFilteredCFDAs[All CFDAs]),),0)), "")</f>
        <v/>
      </c>
      <c r="D181" s="6" t="str">
        <f t="array" ref="D181">IFERROR(INDEX(MemberOrgsData[FEDERALPROGRAMNAME], MATCH(1, (SelectMemberOrgs = MemberOrgsData[Auditee Name])*(Table11[[#This Row],[Unique CFDA]] = MemberOrgsData[CFDA]), 0)), "")</f>
        <v/>
      </c>
      <c r="E181" s="25" t="str">
        <f t="array" ref="E181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81" s="26" t="str">
        <f t="array" ref="F181">IFERROR(INDEX(BudgetAppropData[President % Change], MATCH(1, (Table11[[#This Row],[Unique CFDA]] = BudgetAppropData[CFDA])*(SelectBudgetYear = BudgetAppropData[Fiscal Year]), 0)), "")</f>
        <v/>
      </c>
      <c r="G181" s="25" t="str">
        <f>IF(Table11[[#This Row],[Unique CFDA]] = "", "", IFERROR(Table11[[#This Row],[FY 2018 Total]]*Table11[[#This Row],[President % Change]], ""))</f>
        <v/>
      </c>
      <c r="H181" s="26" t="str">
        <f t="array" ref="H181">IFERROR(INDEX(BudgetAppropData[House % Change], MATCH(1, (Table11[[#This Row],[Unique CFDA]] = BudgetAppropData[CFDA])*(SelectBudgetYear = BudgetAppropData[Fiscal Year]),0)), "")</f>
        <v/>
      </c>
      <c r="I181" s="25" t="str">
        <f>IF(Table11[[#This Row],[Unique CFDA]] = "", "", IFERROR(Table11[[#This Row],[FY 2018 Total]]*Table11[[#This Row],[House % Change]], ""))</f>
        <v/>
      </c>
      <c r="J181" s="6"/>
      <c r="K181" s="25" t="str">
        <f>IF(Table11[[#This Row],[Unique CFDA]] = "", "", IFERROR(Table11[[#This Row],[FY 2018 Total]]*Table11[[#This Row],[Senate Budget]], ""))</f>
        <v/>
      </c>
      <c r="L181" s="6" t="str">
        <f>IF(Table11[[#This Row],[Unique CFDA]] = "", "", IF(ISNUMBER(Table11[[#This Row],[President $ Change]]), RANK(Table11[[#This Row],[President $ Change]], Table11[President $ Change])+COUNTIF($G181:G181, G181)-1,0))</f>
        <v/>
      </c>
      <c r="N181">
        <v>178</v>
      </c>
      <c r="O181" t="str">
        <f>IFERROR(INDEX(Table11[Unique CFDA], MATCH(N181, Table11[Pres. Sort], 0)), "")</f>
        <v/>
      </c>
      <c r="P181" s="1" t="str">
        <f>IFERROR(INDEX(Table11[Grant Name], MATCH(MemberOrgFinalSort[[#This Row],[CFDA]], Table11[Unique CFDA], 0)), "")</f>
        <v/>
      </c>
      <c r="Q181" s="20" t="str">
        <f>IFERROR(INDEX(Table11[FY 2018 Total], MATCH(MemberOrgFinalSort[[#This Row],[CFDA]], Table11[Unique CFDA], 0)), "")</f>
        <v/>
      </c>
      <c r="R181" s="21" t="str">
        <f>IFERROR(INDEX(Table11[President % Change], MATCH(MemberOrgFinalSort[[#This Row],[CFDA]], Table11[Unique CFDA], 0)), "")</f>
        <v/>
      </c>
      <c r="S181" s="20" t="str">
        <f>IFERROR(INDEX(Table11[President $ Change], MATCH(MemberOrgFinalSort[[#This Row],[CFDA]], Table11[Unique CFDA], 0)), "")</f>
        <v/>
      </c>
      <c r="T181" s="32" t="str">
        <f>IFERROR(INDEX(Table11[House % Change], MATCH(MemberOrgFinalSort[[#This Row],[CFDA]], Table11[Unique CFDA], 0)), "")</f>
        <v/>
      </c>
      <c r="U181" s="32" t="str">
        <f>IFERROR(INDEX(Table11[House $ Change], MATCH(MemberOrgFinalSort[[#This Row],[CFDA]], Table11[Unique CFDA], 0)), "")</f>
        <v/>
      </c>
      <c r="V181" s="20"/>
      <c r="X181" s="6"/>
      <c r="Y181" s="6"/>
      <c r="Z181" s="6"/>
      <c r="AA181" s="6"/>
      <c r="AB181" s="6"/>
    </row>
    <row r="182" spans="1:28" x14ac:dyDescent="0.25">
      <c r="A182" t="str">
        <f>IF(MemberOrgControl!$C185 = "", "", INDEX(MemberOrgsData[CFDA], MemberOrgControl!$C185))</f>
        <v/>
      </c>
      <c r="C182" s="6" t="str">
        <f>IFERROR(INDEX(AllFilteredCFDAs[All CFDAs], MATCH(0, INDEX(COUNTIF($C$3:C181, AllFilteredCFDAs[All CFDAs]),),0)), "")</f>
        <v/>
      </c>
      <c r="D182" s="6" t="str">
        <f t="array" ref="D182">IFERROR(INDEX(MemberOrgsData[FEDERALPROGRAMNAME], MATCH(1, (SelectMemberOrgs = MemberOrgsData[Auditee Name])*(Table11[[#This Row],[Unique CFDA]] = MemberOrgsData[CFDA]), 0)), "")</f>
        <v/>
      </c>
      <c r="E182" s="25" t="str">
        <f t="array" ref="E182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82" s="26" t="str">
        <f t="array" ref="F182">IFERROR(INDEX(BudgetAppropData[President % Change], MATCH(1, (Table11[[#This Row],[Unique CFDA]] = BudgetAppropData[CFDA])*(SelectBudgetYear = BudgetAppropData[Fiscal Year]), 0)), "")</f>
        <v/>
      </c>
      <c r="G182" s="25" t="str">
        <f>IF(Table11[[#This Row],[Unique CFDA]] = "", "", IFERROR(Table11[[#This Row],[FY 2018 Total]]*Table11[[#This Row],[President % Change]], ""))</f>
        <v/>
      </c>
      <c r="H182" s="26" t="str">
        <f t="array" ref="H182">IFERROR(INDEX(BudgetAppropData[House % Change], MATCH(1, (Table11[[#This Row],[Unique CFDA]] = BudgetAppropData[CFDA])*(SelectBudgetYear = BudgetAppropData[Fiscal Year]),0)), "")</f>
        <v/>
      </c>
      <c r="I182" s="25" t="str">
        <f>IF(Table11[[#This Row],[Unique CFDA]] = "", "", IFERROR(Table11[[#This Row],[FY 2018 Total]]*Table11[[#This Row],[House % Change]], ""))</f>
        <v/>
      </c>
      <c r="J182" s="6"/>
      <c r="K182" s="25" t="str">
        <f>IF(Table11[[#This Row],[Unique CFDA]] = "", "", IFERROR(Table11[[#This Row],[FY 2018 Total]]*Table11[[#This Row],[Senate Budget]], ""))</f>
        <v/>
      </c>
      <c r="L182" s="6" t="str">
        <f>IF(Table11[[#This Row],[Unique CFDA]] = "", "", IF(ISNUMBER(Table11[[#This Row],[President $ Change]]), RANK(Table11[[#This Row],[President $ Change]], Table11[President $ Change])+COUNTIF($G182:G182, G182)-1,0))</f>
        <v/>
      </c>
      <c r="N182">
        <v>179</v>
      </c>
      <c r="O182" t="str">
        <f>IFERROR(INDEX(Table11[Unique CFDA], MATCH(N182, Table11[Pres. Sort], 0)), "")</f>
        <v/>
      </c>
      <c r="P182" s="1" t="str">
        <f>IFERROR(INDEX(Table11[Grant Name], MATCH(MemberOrgFinalSort[[#This Row],[CFDA]], Table11[Unique CFDA], 0)), "")</f>
        <v/>
      </c>
      <c r="Q182" s="20" t="str">
        <f>IFERROR(INDEX(Table11[FY 2018 Total], MATCH(MemberOrgFinalSort[[#This Row],[CFDA]], Table11[Unique CFDA], 0)), "")</f>
        <v/>
      </c>
      <c r="R182" s="21" t="str">
        <f>IFERROR(INDEX(Table11[President % Change], MATCH(MemberOrgFinalSort[[#This Row],[CFDA]], Table11[Unique CFDA], 0)), "")</f>
        <v/>
      </c>
      <c r="S182" s="20" t="str">
        <f>IFERROR(INDEX(Table11[President $ Change], MATCH(MemberOrgFinalSort[[#This Row],[CFDA]], Table11[Unique CFDA], 0)), "")</f>
        <v/>
      </c>
      <c r="T182" s="32" t="str">
        <f>IFERROR(INDEX(Table11[House % Change], MATCH(MemberOrgFinalSort[[#This Row],[CFDA]], Table11[Unique CFDA], 0)), "")</f>
        <v/>
      </c>
      <c r="U182" s="32" t="str">
        <f>IFERROR(INDEX(Table11[House $ Change], MATCH(MemberOrgFinalSort[[#This Row],[CFDA]], Table11[Unique CFDA], 0)), "")</f>
        <v/>
      </c>
      <c r="V182" s="20"/>
      <c r="X182" s="6"/>
      <c r="Y182" s="6"/>
      <c r="Z182" s="6"/>
      <c r="AA182" s="6"/>
      <c r="AB182" s="6"/>
    </row>
    <row r="183" spans="1:28" x14ac:dyDescent="0.25">
      <c r="A183" t="str">
        <f>IF(MemberOrgControl!$C186 = "", "", INDEX(MemberOrgsData[CFDA], MemberOrgControl!$C186))</f>
        <v/>
      </c>
      <c r="C183" s="6" t="str">
        <f>IFERROR(INDEX(AllFilteredCFDAs[All CFDAs], MATCH(0, INDEX(COUNTIF($C$3:C182, AllFilteredCFDAs[All CFDAs]),),0)), "")</f>
        <v/>
      </c>
      <c r="D183" s="6" t="str">
        <f t="array" ref="D183">IFERROR(INDEX(MemberOrgsData[FEDERALPROGRAMNAME], MATCH(1, (SelectMemberOrgs = MemberOrgsData[Auditee Name])*(Table11[[#This Row],[Unique CFDA]] = MemberOrgsData[CFDA]), 0)), "")</f>
        <v/>
      </c>
      <c r="E183" s="25" t="str">
        <f t="array" ref="E183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83" s="26" t="str">
        <f t="array" ref="F183">IFERROR(INDEX(BudgetAppropData[President % Change], MATCH(1, (Table11[[#This Row],[Unique CFDA]] = BudgetAppropData[CFDA])*(SelectBudgetYear = BudgetAppropData[Fiscal Year]), 0)), "")</f>
        <v/>
      </c>
      <c r="G183" s="25" t="str">
        <f>IF(Table11[[#This Row],[Unique CFDA]] = "", "", IFERROR(Table11[[#This Row],[FY 2018 Total]]*Table11[[#This Row],[President % Change]], ""))</f>
        <v/>
      </c>
      <c r="H183" s="26" t="str">
        <f t="array" ref="H183">IFERROR(INDEX(BudgetAppropData[House % Change], MATCH(1, (Table11[[#This Row],[Unique CFDA]] = BudgetAppropData[CFDA])*(SelectBudgetYear = BudgetAppropData[Fiscal Year]),0)), "")</f>
        <v/>
      </c>
      <c r="I183" s="25" t="str">
        <f>IF(Table11[[#This Row],[Unique CFDA]] = "", "", IFERROR(Table11[[#This Row],[FY 2018 Total]]*Table11[[#This Row],[House % Change]], ""))</f>
        <v/>
      </c>
      <c r="J183" s="6"/>
      <c r="K183" s="25" t="str">
        <f>IF(Table11[[#This Row],[Unique CFDA]] = "", "", IFERROR(Table11[[#This Row],[FY 2018 Total]]*Table11[[#This Row],[Senate Budget]], ""))</f>
        <v/>
      </c>
      <c r="L183" s="6" t="str">
        <f>IF(Table11[[#This Row],[Unique CFDA]] = "", "", IF(ISNUMBER(Table11[[#This Row],[President $ Change]]), RANK(Table11[[#This Row],[President $ Change]], Table11[President $ Change])+COUNTIF($G183:G183, G183)-1,0))</f>
        <v/>
      </c>
      <c r="N183">
        <v>180</v>
      </c>
      <c r="O183" t="str">
        <f>IFERROR(INDEX(Table11[Unique CFDA], MATCH(N183, Table11[Pres. Sort], 0)), "")</f>
        <v/>
      </c>
      <c r="P183" s="1" t="str">
        <f>IFERROR(INDEX(Table11[Grant Name], MATCH(MemberOrgFinalSort[[#This Row],[CFDA]], Table11[Unique CFDA], 0)), "")</f>
        <v/>
      </c>
      <c r="Q183" s="20" t="str">
        <f>IFERROR(INDEX(Table11[FY 2018 Total], MATCH(MemberOrgFinalSort[[#This Row],[CFDA]], Table11[Unique CFDA], 0)), "")</f>
        <v/>
      </c>
      <c r="R183" s="21" t="str">
        <f>IFERROR(INDEX(Table11[President % Change], MATCH(MemberOrgFinalSort[[#This Row],[CFDA]], Table11[Unique CFDA], 0)), "")</f>
        <v/>
      </c>
      <c r="S183" s="20" t="str">
        <f>IFERROR(INDEX(Table11[President $ Change], MATCH(MemberOrgFinalSort[[#This Row],[CFDA]], Table11[Unique CFDA], 0)), "")</f>
        <v/>
      </c>
      <c r="T183" s="32" t="str">
        <f>IFERROR(INDEX(Table11[House % Change], MATCH(MemberOrgFinalSort[[#This Row],[CFDA]], Table11[Unique CFDA], 0)), "")</f>
        <v/>
      </c>
      <c r="U183" s="32" t="str">
        <f>IFERROR(INDEX(Table11[House $ Change], MATCH(MemberOrgFinalSort[[#This Row],[CFDA]], Table11[Unique CFDA], 0)), "")</f>
        <v/>
      </c>
      <c r="V183" s="20"/>
      <c r="X183" s="6"/>
      <c r="Y183" s="6"/>
      <c r="Z183" s="6"/>
      <c r="AA183" s="6"/>
      <c r="AB183" s="6"/>
    </row>
    <row r="184" spans="1:28" x14ac:dyDescent="0.25">
      <c r="A184" t="str">
        <f>IF(MemberOrgControl!$C187 = "", "", INDEX(MemberOrgsData[CFDA], MemberOrgControl!$C187))</f>
        <v/>
      </c>
      <c r="C184" s="6" t="str">
        <f>IFERROR(INDEX(AllFilteredCFDAs[All CFDAs], MATCH(0, INDEX(COUNTIF($C$3:C183, AllFilteredCFDAs[All CFDAs]),),0)), "")</f>
        <v/>
      </c>
      <c r="D184" s="6" t="str">
        <f t="array" ref="D184">IFERROR(INDEX(MemberOrgsData[FEDERALPROGRAMNAME], MATCH(1, (SelectMemberOrgs = MemberOrgsData[Auditee Name])*(Table11[[#This Row],[Unique CFDA]] = MemberOrgsData[CFDA]), 0)), "")</f>
        <v/>
      </c>
      <c r="E184" s="25" t="str">
        <f t="array" ref="E184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84" s="26" t="str">
        <f t="array" ref="F184">IFERROR(INDEX(BudgetAppropData[President % Change], MATCH(1, (Table11[[#This Row],[Unique CFDA]] = BudgetAppropData[CFDA])*(SelectBudgetYear = BudgetAppropData[Fiscal Year]), 0)), "")</f>
        <v/>
      </c>
      <c r="G184" s="25" t="str">
        <f>IF(Table11[[#This Row],[Unique CFDA]] = "", "", IFERROR(Table11[[#This Row],[FY 2018 Total]]*Table11[[#This Row],[President % Change]], ""))</f>
        <v/>
      </c>
      <c r="H184" s="26" t="str">
        <f t="array" ref="H184">IFERROR(INDEX(BudgetAppropData[House % Change], MATCH(1, (Table11[[#This Row],[Unique CFDA]] = BudgetAppropData[CFDA])*(SelectBudgetYear = BudgetAppropData[Fiscal Year]),0)), "")</f>
        <v/>
      </c>
      <c r="I184" s="25" t="str">
        <f>IF(Table11[[#This Row],[Unique CFDA]] = "", "", IFERROR(Table11[[#This Row],[FY 2018 Total]]*Table11[[#This Row],[House % Change]], ""))</f>
        <v/>
      </c>
      <c r="J184" s="6"/>
      <c r="K184" s="25" t="str">
        <f>IF(Table11[[#This Row],[Unique CFDA]] = "", "", IFERROR(Table11[[#This Row],[FY 2018 Total]]*Table11[[#This Row],[Senate Budget]], ""))</f>
        <v/>
      </c>
      <c r="L184" s="6" t="str">
        <f>IF(Table11[[#This Row],[Unique CFDA]] = "", "", IF(ISNUMBER(Table11[[#This Row],[President $ Change]]), RANK(Table11[[#This Row],[President $ Change]], Table11[President $ Change])+COUNTIF($G184:G184, G184)-1,0))</f>
        <v/>
      </c>
      <c r="N184">
        <v>181</v>
      </c>
      <c r="O184" t="str">
        <f>IFERROR(INDEX(Table11[Unique CFDA], MATCH(N184, Table11[Pres. Sort], 0)), "")</f>
        <v/>
      </c>
      <c r="P184" s="1" t="str">
        <f>IFERROR(INDEX(Table11[Grant Name], MATCH(MemberOrgFinalSort[[#This Row],[CFDA]], Table11[Unique CFDA], 0)), "")</f>
        <v/>
      </c>
      <c r="Q184" s="20" t="str">
        <f>IFERROR(INDEX(Table11[FY 2018 Total], MATCH(MemberOrgFinalSort[[#This Row],[CFDA]], Table11[Unique CFDA], 0)), "")</f>
        <v/>
      </c>
      <c r="R184" s="21" t="str">
        <f>IFERROR(INDEX(Table11[President % Change], MATCH(MemberOrgFinalSort[[#This Row],[CFDA]], Table11[Unique CFDA], 0)), "")</f>
        <v/>
      </c>
      <c r="S184" s="20" t="str">
        <f>IFERROR(INDEX(Table11[President $ Change], MATCH(MemberOrgFinalSort[[#This Row],[CFDA]], Table11[Unique CFDA], 0)), "")</f>
        <v/>
      </c>
      <c r="T184" s="32" t="str">
        <f>IFERROR(INDEX(Table11[House % Change], MATCH(MemberOrgFinalSort[[#This Row],[CFDA]], Table11[Unique CFDA], 0)), "")</f>
        <v/>
      </c>
      <c r="U184" s="32" t="str">
        <f>IFERROR(INDEX(Table11[House $ Change], MATCH(MemberOrgFinalSort[[#This Row],[CFDA]], Table11[Unique CFDA], 0)), "")</f>
        <v/>
      </c>
      <c r="V184" s="20"/>
      <c r="X184" s="6"/>
      <c r="Y184" s="6"/>
      <c r="Z184" s="6"/>
      <c r="AA184" s="6"/>
      <c r="AB184" s="6"/>
    </row>
    <row r="185" spans="1:28" x14ac:dyDescent="0.25">
      <c r="A185" t="str">
        <f>IF(MemberOrgControl!$C188 = "", "", INDEX(MemberOrgsData[CFDA], MemberOrgControl!$C188))</f>
        <v/>
      </c>
      <c r="C185" s="6" t="str">
        <f>IFERROR(INDEX(AllFilteredCFDAs[All CFDAs], MATCH(0, INDEX(COUNTIF($C$3:C184, AllFilteredCFDAs[All CFDAs]),),0)), "")</f>
        <v/>
      </c>
      <c r="D185" s="6" t="str">
        <f t="array" ref="D185">IFERROR(INDEX(MemberOrgsData[FEDERALPROGRAMNAME], MATCH(1, (SelectMemberOrgs = MemberOrgsData[Auditee Name])*(Table11[[#This Row],[Unique CFDA]] = MemberOrgsData[CFDA]), 0)), "")</f>
        <v/>
      </c>
      <c r="E185" s="25" t="str">
        <f t="array" ref="E185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85" s="26" t="str">
        <f t="array" ref="F185">IFERROR(INDEX(BudgetAppropData[President % Change], MATCH(1, (Table11[[#This Row],[Unique CFDA]] = BudgetAppropData[CFDA])*(SelectBudgetYear = BudgetAppropData[Fiscal Year]), 0)), "")</f>
        <v/>
      </c>
      <c r="G185" s="25" t="str">
        <f>IF(Table11[[#This Row],[Unique CFDA]] = "", "", IFERROR(Table11[[#This Row],[FY 2018 Total]]*Table11[[#This Row],[President % Change]], ""))</f>
        <v/>
      </c>
      <c r="H185" s="26" t="str">
        <f t="array" ref="H185">IFERROR(INDEX(BudgetAppropData[House % Change], MATCH(1, (Table11[[#This Row],[Unique CFDA]] = BudgetAppropData[CFDA])*(SelectBudgetYear = BudgetAppropData[Fiscal Year]),0)), "")</f>
        <v/>
      </c>
      <c r="I185" s="25" t="str">
        <f>IF(Table11[[#This Row],[Unique CFDA]] = "", "", IFERROR(Table11[[#This Row],[FY 2018 Total]]*Table11[[#This Row],[House % Change]], ""))</f>
        <v/>
      </c>
      <c r="J185" s="6"/>
      <c r="K185" s="25" t="str">
        <f>IF(Table11[[#This Row],[Unique CFDA]] = "", "", IFERROR(Table11[[#This Row],[FY 2018 Total]]*Table11[[#This Row],[Senate Budget]], ""))</f>
        <v/>
      </c>
      <c r="L185" s="6" t="str">
        <f>IF(Table11[[#This Row],[Unique CFDA]] = "", "", IF(ISNUMBER(Table11[[#This Row],[President $ Change]]), RANK(Table11[[#This Row],[President $ Change]], Table11[President $ Change])+COUNTIF($G185:G185, G185)-1,0))</f>
        <v/>
      </c>
      <c r="N185">
        <v>182</v>
      </c>
      <c r="O185" t="str">
        <f>IFERROR(INDEX(Table11[Unique CFDA], MATCH(N185, Table11[Pres. Sort], 0)), "")</f>
        <v/>
      </c>
      <c r="P185" s="1" t="str">
        <f>IFERROR(INDEX(Table11[Grant Name], MATCH(MemberOrgFinalSort[[#This Row],[CFDA]], Table11[Unique CFDA], 0)), "")</f>
        <v/>
      </c>
      <c r="Q185" s="20" t="str">
        <f>IFERROR(INDEX(Table11[FY 2018 Total], MATCH(MemberOrgFinalSort[[#This Row],[CFDA]], Table11[Unique CFDA], 0)), "")</f>
        <v/>
      </c>
      <c r="R185" s="21" t="str">
        <f>IFERROR(INDEX(Table11[President % Change], MATCH(MemberOrgFinalSort[[#This Row],[CFDA]], Table11[Unique CFDA], 0)), "")</f>
        <v/>
      </c>
      <c r="S185" s="20" t="str">
        <f>IFERROR(INDEX(Table11[President $ Change], MATCH(MemberOrgFinalSort[[#This Row],[CFDA]], Table11[Unique CFDA], 0)), "")</f>
        <v/>
      </c>
      <c r="T185" s="32" t="str">
        <f>IFERROR(INDEX(Table11[House % Change], MATCH(MemberOrgFinalSort[[#This Row],[CFDA]], Table11[Unique CFDA], 0)), "")</f>
        <v/>
      </c>
      <c r="U185" s="32" t="str">
        <f>IFERROR(INDEX(Table11[House $ Change], MATCH(MemberOrgFinalSort[[#This Row],[CFDA]], Table11[Unique CFDA], 0)), "")</f>
        <v/>
      </c>
      <c r="V185" s="20"/>
      <c r="X185" s="6"/>
      <c r="Y185" s="6"/>
      <c r="Z185" s="6"/>
      <c r="AA185" s="6"/>
      <c r="AB185" s="6"/>
    </row>
    <row r="186" spans="1:28" x14ac:dyDescent="0.25">
      <c r="A186" t="str">
        <f>IF(MemberOrgControl!$C189 = "", "", INDEX(MemberOrgsData[CFDA], MemberOrgControl!$C189))</f>
        <v/>
      </c>
      <c r="C186" s="6" t="str">
        <f>IFERROR(INDEX(AllFilteredCFDAs[All CFDAs], MATCH(0, INDEX(COUNTIF($C$3:C185, AllFilteredCFDAs[All CFDAs]),),0)), "")</f>
        <v/>
      </c>
      <c r="D186" s="6" t="str">
        <f t="array" ref="D186">IFERROR(INDEX(MemberOrgsData[FEDERALPROGRAMNAME], MATCH(1, (SelectMemberOrgs = MemberOrgsData[Auditee Name])*(Table11[[#This Row],[Unique CFDA]] = MemberOrgsData[CFDA]), 0)), "")</f>
        <v/>
      </c>
      <c r="E186" s="25" t="str">
        <f t="array" ref="E186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86" s="26" t="str">
        <f t="array" ref="F186">IFERROR(INDEX(BudgetAppropData[President % Change], MATCH(1, (Table11[[#This Row],[Unique CFDA]] = BudgetAppropData[CFDA])*(SelectBudgetYear = BudgetAppropData[Fiscal Year]), 0)), "")</f>
        <v/>
      </c>
      <c r="G186" s="25" t="str">
        <f>IF(Table11[[#This Row],[Unique CFDA]] = "", "", IFERROR(Table11[[#This Row],[FY 2018 Total]]*Table11[[#This Row],[President % Change]], ""))</f>
        <v/>
      </c>
      <c r="H186" s="26" t="str">
        <f t="array" ref="H186">IFERROR(INDEX(BudgetAppropData[House % Change], MATCH(1, (Table11[[#This Row],[Unique CFDA]] = BudgetAppropData[CFDA])*(SelectBudgetYear = BudgetAppropData[Fiscal Year]),0)), "")</f>
        <v/>
      </c>
      <c r="I186" s="25" t="str">
        <f>IF(Table11[[#This Row],[Unique CFDA]] = "", "", IFERROR(Table11[[#This Row],[FY 2018 Total]]*Table11[[#This Row],[House % Change]], ""))</f>
        <v/>
      </c>
      <c r="J186" s="6"/>
      <c r="K186" s="25" t="str">
        <f>IF(Table11[[#This Row],[Unique CFDA]] = "", "", IFERROR(Table11[[#This Row],[FY 2018 Total]]*Table11[[#This Row],[Senate Budget]], ""))</f>
        <v/>
      </c>
      <c r="L186" s="6" t="str">
        <f>IF(Table11[[#This Row],[Unique CFDA]] = "", "", IF(ISNUMBER(Table11[[#This Row],[President $ Change]]), RANK(Table11[[#This Row],[President $ Change]], Table11[President $ Change])+COUNTIF($G186:G186, G186)-1,0))</f>
        <v/>
      </c>
      <c r="N186">
        <v>183</v>
      </c>
      <c r="O186" t="str">
        <f>IFERROR(INDEX(Table11[Unique CFDA], MATCH(N186, Table11[Pres. Sort], 0)), "")</f>
        <v/>
      </c>
      <c r="P186" s="1" t="str">
        <f>IFERROR(INDEX(Table11[Grant Name], MATCH(MemberOrgFinalSort[[#This Row],[CFDA]], Table11[Unique CFDA], 0)), "")</f>
        <v/>
      </c>
      <c r="Q186" s="20" t="str">
        <f>IFERROR(INDEX(Table11[FY 2018 Total], MATCH(MemberOrgFinalSort[[#This Row],[CFDA]], Table11[Unique CFDA], 0)), "")</f>
        <v/>
      </c>
      <c r="R186" s="21" t="str">
        <f>IFERROR(INDEX(Table11[President % Change], MATCH(MemberOrgFinalSort[[#This Row],[CFDA]], Table11[Unique CFDA], 0)), "")</f>
        <v/>
      </c>
      <c r="S186" s="20" t="str">
        <f>IFERROR(INDEX(Table11[President $ Change], MATCH(MemberOrgFinalSort[[#This Row],[CFDA]], Table11[Unique CFDA], 0)), "")</f>
        <v/>
      </c>
      <c r="T186" s="32" t="str">
        <f>IFERROR(INDEX(Table11[House % Change], MATCH(MemberOrgFinalSort[[#This Row],[CFDA]], Table11[Unique CFDA], 0)), "")</f>
        <v/>
      </c>
      <c r="U186" s="32" t="str">
        <f>IFERROR(INDEX(Table11[House $ Change], MATCH(MemberOrgFinalSort[[#This Row],[CFDA]], Table11[Unique CFDA], 0)), "")</f>
        <v/>
      </c>
      <c r="V186" s="20"/>
      <c r="X186" s="6"/>
      <c r="Y186" s="6"/>
      <c r="Z186" s="6"/>
      <c r="AA186" s="6"/>
      <c r="AB186" s="6"/>
    </row>
    <row r="187" spans="1:28" x14ac:dyDescent="0.25">
      <c r="A187" t="str">
        <f>IF(MemberOrgControl!$C190 = "", "", INDEX(MemberOrgsData[CFDA], MemberOrgControl!$C190))</f>
        <v/>
      </c>
      <c r="C187" s="6" t="str">
        <f>IFERROR(INDEX(AllFilteredCFDAs[All CFDAs], MATCH(0, INDEX(COUNTIF($C$3:C186, AllFilteredCFDAs[All CFDAs]),),0)), "")</f>
        <v/>
      </c>
      <c r="D187" s="6" t="str">
        <f t="array" ref="D187">IFERROR(INDEX(MemberOrgsData[FEDERALPROGRAMNAME], MATCH(1, (SelectMemberOrgs = MemberOrgsData[Auditee Name])*(Table11[[#This Row],[Unique CFDA]] = MemberOrgsData[CFDA]), 0)), "")</f>
        <v/>
      </c>
      <c r="E187" s="25" t="str">
        <f t="array" ref="E187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87" s="26" t="str">
        <f t="array" ref="F187">IFERROR(INDEX(BudgetAppropData[President % Change], MATCH(1, (Table11[[#This Row],[Unique CFDA]] = BudgetAppropData[CFDA])*(SelectBudgetYear = BudgetAppropData[Fiscal Year]), 0)), "")</f>
        <v/>
      </c>
      <c r="G187" s="25" t="str">
        <f>IF(Table11[[#This Row],[Unique CFDA]] = "", "", IFERROR(Table11[[#This Row],[FY 2018 Total]]*Table11[[#This Row],[President % Change]], ""))</f>
        <v/>
      </c>
      <c r="H187" s="26" t="str">
        <f t="array" ref="H187">IFERROR(INDEX(BudgetAppropData[House % Change], MATCH(1, (Table11[[#This Row],[Unique CFDA]] = BudgetAppropData[CFDA])*(SelectBudgetYear = BudgetAppropData[Fiscal Year]),0)), "")</f>
        <v/>
      </c>
      <c r="I187" s="25" t="str">
        <f>IF(Table11[[#This Row],[Unique CFDA]] = "", "", IFERROR(Table11[[#This Row],[FY 2018 Total]]*Table11[[#This Row],[House % Change]], ""))</f>
        <v/>
      </c>
      <c r="J187" s="6"/>
      <c r="K187" s="25" t="str">
        <f>IF(Table11[[#This Row],[Unique CFDA]] = "", "", IFERROR(Table11[[#This Row],[FY 2018 Total]]*Table11[[#This Row],[Senate Budget]], ""))</f>
        <v/>
      </c>
      <c r="L187" s="6" t="str">
        <f>IF(Table11[[#This Row],[Unique CFDA]] = "", "", IF(ISNUMBER(Table11[[#This Row],[President $ Change]]), RANK(Table11[[#This Row],[President $ Change]], Table11[President $ Change])+COUNTIF($G187:G187, G187)-1,0))</f>
        <v/>
      </c>
      <c r="N187">
        <v>184</v>
      </c>
      <c r="O187" t="str">
        <f>IFERROR(INDEX(Table11[Unique CFDA], MATCH(N187, Table11[Pres. Sort], 0)), "")</f>
        <v/>
      </c>
      <c r="P187" s="1" t="str">
        <f>IFERROR(INDEX(Table11[Grant Name], MATCH(MemberOrgFinalSort[[#This Row],[CFDA]], Table11[Unique CFDA], 0)), "")</f>
        <v/>
      </c>
      <c r="Q187" s="20" t="str">
        <f>IFERROR(INDEX(Table11[FY 2018 Total], MATCH(MemberOrgFinalSort[[#This Row],[CFDA]], Table11[Unique CFDA], 0)), "")</f>
        <v/>
      </c>
      <c r="R187" s="21" t="str">
        <f>IFERROR(INDEX(Table11[President % Change], MATCH(MemberOrgFinalSort[[#This Row],[CFDA]], Table11[Unique CFDA], 0)), "")</f>
        <v/>
      </c>
      <c r="S187" s="20" t="str">
        <f>IFERROR(INDEX(Table11[President $ Change], MATCH(MemberOrgFinalSort[[#This Row],[CFDA]], Table11[Unique CFDA], 0)), "")</f>
        <v/>
      </c>
      <c r="T187" s="32" t="str">
        <f>IFERROR(INDEX(Table11[House % Change], MATCH(MemberOrgFinalSort[[#This Row],[CFDA]], Table11[Unique CFDA], 0)), "")</f>
        <v/>
      </c>
      <c r="U187" s="32" t="str">
        <f>IFERROR(INDEX(Table11[House $ Change], MATCH(MemberOrgFinalSort[[#This Row],[CFDA]], Table11[Unique CFDA], 0)), "")</f>
        <v/>
      </c>
      <c r="V187" s="20"/>
      <c r="X187" s="6"/>
      <c r="Y187" s="6"/>
      <c r="Z187" s="6"/>
      <c r="AA187" s="6"/>
      <c r="AB187" s="6"/>
    </row>
    <row r="188" spans="1:28" x14ac:dyDescent="0.25">
      <c r="A188" t="str">
        <f>IF(MemberOrgControl!$C191 = "", "", INDEX(MemberOrgsData[CFDA], MemberOrgControl!$C191))</f>
        <v/>
      </c>
      <c r="C188" s="6" t="str">
        <f>IFERROR(INDEX(AllFilteredCFDAs[All CFDAs], MATCH(0, INDEX(COUNTIF($C$3:C187, AllFilteredCFDAs[All CFDAs]),),0)), "")</f>
        <v/>
      </c>
      <c r="D188" s="6" t="str">
        <f t="array" ref="D188">IFERROR(INDEX(MemberOrgsData[FEDERALPROGRAMNAME], MATCH(1, (SelectMemberOrgs = MemberOrgsData[Auditee Name])*(Table11[[#This Row],[Unique CFDA]] = MemberOrgsData[CFDA]), 0)), "")</f>
        <v/>
      </c>
      <c r="E188" s="25" t="str">
        <f t="array" ref="E188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88" s="26" t="str">
        <f t="array" ref="F188">IFERROR(INDEX(BudgetAppropData[President % Change], MATCH(1, (Table11[[#This Row],[Unique CFDA]] = BudgetAppropData[CFDA])*(SelectBudgetYear = BudgetAppropData[Fiscal Year]), 0)), "")</f>
        <v/>
      </c>
      <c r="G188" s="25" t="str">
        <f>IF(Table11[[#This Row],[Unique CFDA]] = "", "", IFERROR(Table11[[#This Row],[FY 2018 Total]]*Table11[[#This Row],[President % Change]], ""))</f>
        <v/>
      </c>
      <c r="H188" s="26" t="str">
        <f t="array" ref="H188">IFERROR(INDEX(BudgetAppropData[House % Change], MATCH(1, (Table11[[#This Row],[Unique CFDA]] = BudgetAppropData[CFDA])*(SelectBudgetYear = BudgetAppropData[Fiscal Year]),0)), "")</f>
        <v/>
      </c>
      <c r="I188" s="25" t="str">
        <f>IF(Table11[[#This Row],[Unique CFDA]] = "", "", IFERROR(Table11[[#This Row],[FY 2018 Total]]*Table11[[#This Row],[House % Change]], ""))</f>
        <v/>
      </c>
      <c r="J188" s="6"/>
      <c r="K188" s="25" t="str">
        <f>IF(Table11[[#This Row],[Unique CFDA]] = "", "", IFERROR(Table11[[#This Row],[FY 2018 Total]]*Table11[[#This Row],[Senate Budget]], ""))</f>
        <v/>
      </c>
      <c r="L188" s="6" t="str">
        <f>IF(Table11[[#This Row],[Unique CFDA]] = "", "", IF(ISNUMBER(Table11[[#This Row],[President $ Change]]), RANK(Table11[[#This Row],[President $ Change]], Table11[President $ Change])+COUNTIF($G188:G188, G188)-1,0))</f>
        <v/>
      </c>
      <c r="N188">
        <v>185</v>
      </c>
      <c r="O188" t="str">
        <f>IFERROR(INDEX(Table11[Unique CFDA], MATCH(N188, Table11[Pres. Sort], 0)), "")</f>
        <v/>
      </c>
      <c r="P188" s="1" t="str">
        <f>IFERROR(INDEX(Table11[Grant Name], MATCH(MemberOrgFinalSort[[#This Row],[CFDA]], Table11[Unique CFDA], 0)), "")</f>
        <v/>
      </c>
      <c r="Q188" s="20" t="str">
        <f>IFERROR(INDEX(Table11[FY 2018 Total], MATCH(MemberOrgFinalSort[[#This Row],[CFDA]], Table11[Unique CFDA], 0)), "")</f>
        <v/>
      </c>
      <c r="R188" s="21" t="str">
        <f>IFERROR(INDEX(Table11[President % Change], MATCH(MemberOrgFinalSort[[#This Row],[CFDA]], Table11[Unique CFDA], 0)), "")</f>
        <v/>
      </c>
      <c r="S188" s="20" t="str">
        <f>IFERROR(INDEX(Table11[President $ Change], MATCH(MemberOrgFinalSort[[#This Row],[CFDA]], Table11[Unique CFDA], 0)), "")</f>
        <v/>
      </c>
      <c r="T188" s="32" t="str">
        <f>IFERROR(INDEX(Table11[House % Change], MATCH(MemberOrgFinalSort[[#This Row],[CFDA]], Table11[Unique CFDA], 0)), "")</f>
        <v/>
      </c>
      <c r="U188" s="32" t="str">
        <f>IFERROR(INDEX(Table11[House $ Change], MATCH(MemberOrgFinalSort[[#This Row],[CFDA]], Table11[Unique CFDA], 0)), "")</f>
        <v/>
      </c>
      <c r="V188" s="20"/>
      <c r="X188" s="6"/>
      <c r="Y188" s="6"/>
      <c r="Z188" s="6"/>
      <c r="AA188" s="6"/>
      <c r="AB188" s="6"/>
    </row>
    <row r="189" spans="1:28" x14ac:dyDescent="0.25">
      <c r="A189" t="str">
        <f>IF(MemberOrgControl!$C192 = "", "", INDEX(MemberOrgsData[CFDA], MemberOrgControl!$C192))</f>
        <v/>
      </c>
      <c r="C189" s="6" t="str">
        <f>IFERROR(INDEX(AllFilteredCFDAs[All CFDAs], MATCH(0, INDEX(COUNTIF($C$3:C188, AllFilteredCFDAs[All CFDAs]),),0)), "")</f>
        <v/>
      </c>
      <c r="D189" s="6" t="str">
        <f t="array" ref="D189">IFERROR(INDEX(MemberOrgsData[FEDERALPROGRAMNAME], MATCH(1, (SelectMemberOrgs = MemberOrgsData[Auditee Name])*(Table11[[#This Row],[Unique CFDA]] = MemberOrgsData[CFDA]), 0)), "")</f>
        <v/>
      </c>
      <c r="E189" s="25" t="str">
        <f t="array" ref="E189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89" s="26" t="str">
        <f t="array" ref="F189">IFERROR(INDEX(BudgetAppropData[President % Change], MATCH(1, (Table11[[#This Row],[Unique CFDA]] = BudgetAppropData[CFDA])*(SelectBudgetYear = BudgetAppropData[Fiscal Year]), 0)), "")</f>
        <v/>
      </c>
      <c r="G189" s="25" t="str">
        <f>IF(Table11[[#This Row],[Unique CFDA]] = "", "", IFERROR(Table11[[#This Row],[FY 2018 Total]]*Table11[[#This Row],[President % Change]], ""))</f>
        <v/>
      </c>
      <c r="H189" s="26" t="str">
        <f t="array" ref="H189">IFERROR(INDEX(BudgetAppropData[House % Change], MATCH(1, (Table11[[#This Row],[Unique CFDA]] = BudgetAppropData[CFDA])*(SelectBudgetYear = BudgetAppropData[Fiscal Year]),0)), "")</f>
        <v/>
      </c>
      <c r="I189" s="25" t="str">
        <f>IF(Table11[[#This Row],[Unique CFDA]] = "", "", IFERROR(Table11[[#This Row],[FY 2018 Total]]*Table11[[#This Row],[House % Change]], ""))</f>
        <v/>
      </c>
      <c r="J189" s="6"/>
      <c r="K189" s="25" t="str">
        <f>IF(Table11[[#This Row],[Unique CFDA]] = "", "", IFERROR(Table11[[#This Row],[FY 2018 Total]]*Table11[[#This Row],[Senate Budget]], ""))</f>
        <v/>
      </c>
      <c r="L189" s="6" t="str">
        <f>IF(Table11[[#This Row],[Unique CFDA]] = "", "", IF(ISNUMBER(Table11[[#This Row],[President $ Change]]), RANK(Table11[[#This Row],[President $ Change]], Table11[President $ Change])+COUNTIF($G189:G189, G189)-1,0))</f>
        <v/>
      </c>
      <c r="N189">
        <v>186</v>
      </c>
      <c r="O189" t="str">
        <f>IFERROR(INDEX(Table11[Unique CFDA], MATCH(N189, Table11[Pres. Sort], 0)), "")</f>
        <v/>
      </c>
      <c r="P189" s="1" t="str">
        <f>IFERROR(INDEX(Table11[Grant Name], MATCH(MemberOrgFinalSort[[#This Row],[CFDA]], Table11[Unique CFDA], 0)), "")</f>
        <v/>
      </c>
      <c r="Q189" s="20" t="str">
        <f>IFERROR(INDEX(Table11[FY 2018 Total], MATCH(MemberOrgFinalSort[[#This Row],[CFDA]], Table11[Unique CFDA], 0)), "")</f>
        <v/>
      </c>
      <c r="R189" s="21" t="str">
        <f>IFERROR(INDEX(Table11[President % Change], MATCH(MemberOrgFinalSort[[#This Row],[CFDA]], Table11[Unique CFDA], 0)), "")</f>
        <v/>
      </c>
      <c r="S189" s="20" t="str">
        <f>IFERROR(INDEX(Table11[President $ Change], MATCH(MemberOrgFinalSort[[#This Row],[CFDA]], Table11[Unique CFDA], 0)), "")</f>
        <v/>
      </c>
      <c r="T189" s="32" t="str">
        <f>IFERROR(INDEX(Table11[House % Change], MATCH(MemberOrgFinalSort[[#This Row],[CFDA]], Table11[Unique CFDA], 0)), "")</f>
        <v/>
      </c>
      <c r="U189" s="32" t="str">
        <f>IFERROR(INDEX(Table11[House $ Change], MATCH(MemberOrgFinalSort[[#This Row],[CFDA]], Table11[Unique CFDA], 0)), "")</f>
        <v/>
      </c>
      <c r="V189" s="20"/>
      <c r="X189" s="6"/>
      <c r="Y189" s="6"/>
      <c r="Z189" s="6"/>
      <c r="AA189" s="6"/>
      <c r="AB189" s="6"/>
    </row>
    <row r="190" spans="1:28" x14ac:dyDescent="0.25">
      <c r="A190" t="str">
        <f>IF(MemberOrgControl!$C193 = "", "", INDEX(MemberOrgsData[CFDA], MemberOrgControl!$C193))</f>
        <v/>
      </c>
      <c r="C190" s="6" t="str">
        <f>IFERROR(INDEX(AllFilteredCFDAs[All CFDAs], MATCH(0, INDEX(COUNTIF($C$3:C189, AllFilteredCFDAs[All CFDAs]),),0)), "")</f>
        <v/>
      </c>
      <c r="D190" s="6" t="str">
        <f t="array" ref="D190">IFERROR(INDEX(MemberOrgsData[FEDERALPROGRAMNAME], MATCH(1, (SelectMemberOrgs = MemberOrgsData[Auditee Name])*(Table11[[#This Row],[Unique CFDA]] = MemberOrgsData[CFDA]), 0)), "")</f>
        <v/>
      </c>
      <c r="E190" s="25" t="str">
        <f t="array" ref="E190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90" s="26" t="str">
        <f t="array" ref="F190">IFERROR(INDEX(BudgetAppropData[President % Change], MATCH(1, (Table11[[#This Row],[Unique CFDA]] = BudgetAppropData[CFDA])*(SelectBudgetYear = BudgetAppropData[Fiscal Year]), 0)), "")</f>
        <v/>
      </c>
      <c r="G190" s="25" t="str">
        <f>IF(Table11[[#This Row],[Unique CFDA]] = "", "", IFERROR(Table11[[#This Row],[FY 2018 Total]]*Table11[[#This Row],[President % Change]], ""))</f>
        <v/>
      </c>
      <c r="H190" s="26" t="str">
        <f t="array" ref="H190">IFERROR(INDEX(BudgetAppropData[House % Change], MATCH(1, (Table11[[#This Row],[Unique CFDA]] = BudgetAppropData[CFDA])*(SelectBudgetYear = BudgetAppropData[Fiscal Year]),0)), "")</f>
        <v/>
      </c>
      <c r="I190" s="25" t="str">
        <f>IF(Table11[[#This Row],[Unique CFDA]] = "", "", IFERROR(Table11[[#This Row],[FY 2018 Total]]*Table11[[#This Row],[House % Change]], ""))</f>
        <v/>
      </c>
      <c r="J190" s="6"/>
      <c r="K190" s="25" t="str">
        <f>IF(Table11[[#This Row],[Unique CFDA]] = "", "", IFERROR(Table11[[#This Row],[FY 2018 Total]]*Table11[[#This Row],[Senate Budget]], ""))</f>
        <v/>
      </c>
      <c r="L190" s="6" t="str">
        <f>IF(Table11[[#This Row],[Unique CFDA]] = "", "", IF(ISNUMBER(Table11[[#This Row],[President $ Change]]), RANK(Table11[[#This Row],[President $ Change]], Table11[President $ Change])+COUNTIF($G190:G190, G190)-1,0))</f>
        <v/>
      </c>
      <c r="N190">
        <v>187</v>
      </c>
      <c r="O190" t="str">
        <f>IFERROR(INDEX(Table11[Unique CFDA], MATCH(N190, Table11[Pres. Sort], 0)), "")</f>
        <v/>
      </c>
      <c r="P190" s="1" t="str">
        <f>IFERROR(INDEX(Table11[Grant Name], MATCH(MemberOrgFinalSort[[#This Row],[CFDA]], Table11[Unique CFDA], 0)), "")</f>
        <v/>
      </c>
      <c r="Q190" s="20" t="str">
        <f>IFERROR(INDEX(Table11[FY 2018 Total], MATCH(MemberOrgFinalSort[[#This Row],[CFDA]], Table11[Unique CFDA], 0)), "")</f>
        <v/>
      </c>
      <c r="R190" s="21" t="str">
        <f>IFERROR(INDEX(Table11[President % Change], MATCH(MemberOrgFinalSort[[#This Row],[CFDA]], Table11[Unique CFDA], 0)), "")</f>
        <v/>
      </c>
      <c r="S190" s="20" t="str">
        <f>IFERROR(INDEX(Table11[President $ Change], MATCH(MemberOrgFinalSort[[#This Row],[CFDA]], Table11[Unique CFDA], 0)), "")</f>
        <v/>
      </c>
      <c r="T190" s="32" t="str">
        <f>IFERROR(INDEX(Table11[House % Change], MATCH(MemberOrgFinalSort[[#This Row],[CFDA]], Table11[Unique CFDA], 0)), "")</f>
        <v/>
      </c>
      <c r="U190" s="32" t="str">
        <f>IFERROR(INDEX(Table11[House $ Change], MATCH(MemberOrgFinalSort[[#This Row],[CFDA]], Table11[Unique CFDA], 0)), "")</f>
        <v/>
      </c>
      <c r="V190" s="20"/>
      <c r="X190" s="6"/>
      <c r="Y190" s="6"/>
      <c r="Z190" s="6"/>
      <c r="AA190" s="6"/>
      <c r="AB190" s="6"/>
    </row>
    <row r="191" spans="1:28" x14ac:dyDescent="0.25">
      <c r="A191" t="str">
        <f>IF(MemberOrgControl!$C194 = "", "", INDEX(MemberOrgsData[CFDA], MemberOrgControl!$C194))</f>
        <v/>
      </c>
      <c r="C191" s="6" t="str">
        <f>IFERROR(INDEX(AllFilteredCFDAs[All CFDAs], MATCH(0, INDEX(COUNTIF($C$3:C190, AllFilteredCFDAs[All CFDAs]),),0)), "")</f>
        <v/>
      </c>
      <c r="D191" s="6" t="str">
        <f t="array" ref="D191">IFERROR(INDEX(MemberOrgsData[FEDERALPROGRAMNAME], MATCH(1, (SelectMemberOrgs = MemberOrgsData[Auditee Name])*(Table11[[#This Row],[Unique CFDA]] = MemberOrgsData[CFDA]), 0)), "")</f>
        <v/>
      </c>
      <c r="E191" s="25" t="str">
        <f t="array" ref="E191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91" s="26" t="str">
        <f t="array" ref="F191">IFERROR(INDEX(BudgetAppropData[President % Change], MATCH(1, (Table11[[#This Row],[Unique CFDA]] = BudgetAppropData[CFDA])*(SelectBudgetYear = BudgetAppropData[Fiscal Year]), 0)), "")</f>
        <v/>
      </c>
      <c r="G191" s="25" t="str">
        <f>IF(Table11[[#This Row],[Unique CFDA]] = "", "", IFERROR(Table11[[#This Row],[FY 2018 Total]]*Table11[[#This Row],[President % Change]], ""))</f>
        <v/>
      </c>
      <c r="H191" s="26" t="str">
        <f t="array" ref="H191">IFERROR(INDEX(BudgetAppropData[House % Change], MATCH(1, (Table11[[#This Row],[Unique CFDA]] = BudgetAppropData[CFDA])*(SelectBudgetYear = BudgetAppropData[Fiscal Year]),0)), "")</f>
        <v/>
      </c>
      <c r="I191" s="25" t="str">
        <f>IF(Table11[[#This Row],[Unique CFDA]] = "", "", IFERROR(Table11[[#This Row],[FY 2018 Total]]*Table11[[#This Row],[House % Change]], ""))</f>
        <v/>
      </c>
      <c r="J191" s="6"/>
      <c r="K191" s="25" t="str">
        <f>IF(Table11[[#This Row],[Unique CFDA]] = "", "", IFERROR(Table11[[#This Row],[FY 2018 Total]]*Table11[[#This Row],[Senate Budget]], ""))</f>
        <v/>
      </c>
      <c r="L191" s="6" t="str">
        <f>IF(Table11[[#This Row],[Unique CFDA]] = "", "", IF(ISNUMBER(Table11[[#This Row],[President $ Change]]), RANK(Table11[[#This Row],[President $ Change]], Table11[President $ Change])+COUNTIF($G191:G191, G191)-1,0))</f>
        <v/>
      </c>
      <c r="N191">
        <v>188</v>
      </c>
      <c r="O191" t="str">
        <f>IFERROR(INDEX(Table11[Unique CFDA], MATCH(N191, Table11[Pres. Sort], 0)), "")</f>
        <v/>
      </c>
      <c r="P191" s="1" t="str">
        <f>IFERROR(INDEX(Table11[Grant Name], MATCH(MemberOrgFinalSort[[#This Row],[CFDA]], Table11[Unique CFDA], 0)), "")</f>
        <v/>
      </c>
      <c r="Q191" s="20" t="str">
        <f>IFERROR(INDEX(Table11[FY 2018 Total], MATCH(MemberOrgFinalSort[[#This Row],[CFDA]], Table11[Unique CFDA], 0)), "")</f>
        <v/>
      </c>
      <c r="R191" s="21" t="str">
        <f>IFERROR(INDEX(Table11[President % Change], MATCH(MemberOrgFinalSort[[#This Row],[CFDA]], Table11[Unique CFDA], 0)), "")</f>
        <v/>
      </c>
      <c r="S191" s="20" t="str">
        <f>IFERROR(INDEX(Table11[President $ Change], MATCH(MemberOrgFinalSort[[#This Row],[CFDA]], Table11[Unique CFDA], 0)), "")</f>
        <v/>
      </c>
      <c r="T191" s="32" t="str">
        <f>IFERROR(INDEX(Table11[House % Change], MATCH(MemberOrgFinalSort[[#This Row],[CFDA]], Table11[Unique CFDA], 0)), "")</f>
        <v/>
      </c>
      <c r="U191" s="32" t="str">
        <f>IFERROR(INDEX(Table11[House $ Change], MATCH(MemberOrgFinalSort[[#This Row],[CFDA]], Table11[Unique CFDA], 0)), "")</f>
        <v/>
      </c>
      <c r="V191" s="20"/>
      <c r="X191" s="6"/>
      <c r="Y191" s="6"/>
      <c r="Z191" s="6"/>
      <c r="AA191" s="6"/>
      <c r="AB191" s="6"/>
    </row>
    <row r="192" spans="1:28" x14ac:dyDescent="0.25">
      <c r="A192" t="str">
        <f>IF(MemberOrgControl!$C195 = "", "", INDEX(MemberOrgsData[CFDA], MemberOrgControl!$C195))</f>
        <v/>
      </c>
      <c r="C192" s="6" t="str">
        <f>IFERROR(INDEX(AllFilteredCFDAs[All CFDAs], MATCH(0, INDEX(COUNTIF($C$3:C191, AllFilteredCFDAs[All CFDAs]),),0)), "")</f>
        <v/>
      </c>
      <c r="D192" s="6" t="str">
        <f t="array" ref="D192">IFERROR(INDEX(MemberOrgsData[FEDERALPROGRAMNAME], MATCH(1, (SelectMemberOrgs = MemberOrgsData[Auditee Name])*(Table11[[#This Row],[Unique CFDA]] = MemberOrgsData[CFDA]), 0)), "")</f>
        <v/>
      </c>
      <c r="E192" s="25" t="str">
        <f t="array" ref="E192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92" s="26" t="str">
        <f t="array" ref="F192">IFERROR(INDEX(BudgetAppropData[President % Change], MATCH(1, (Table11[[#This Row],[Unique CFDA]] = BudgetAppropData[CFDA])*(SelectBudgetYear = BudgetAppropData[Fiscal Year]), 0)), "")</f>
        <v/>
      </c>
      <c r="G192" s="25" t="str">
        <f>IF(Table11[[#This Row],[Unique CFDA]] = "", "", IFERROR(Table11[[#This Row],[FY 2018 Total]]*Table11[[#This Row],[President % Change]], ""))</f>
        <v/>
      </c>
      <c r="H192" s="26" t="str">
        <f t="array" ref="H192">IFERROR(INDEX(BudgetAppropData[House % Change], MATCH(1, (Table11[[#This Row],[Unique CFDA]] = BudgetAppropData[CFDA])*(SelectBudgetYear = BudgetAppropData[Fiscal Year]),0)), "")</f>
        <v/>
      </c>
      <c r="I192" s="25" t="str">
        <f>IF(Table11[[#This Row],[Unique CFDA]] = "", "", IFERROR(Table11[[#This Row],[FY 2018 Total]]*Table11[[#This Row],[House % Change]], ""))</f>
        <v/>
      </c>
      <c r="J192" s="6"/>
      <c r="K192" s="25" t="str">
        <f>IF(Table11[[#This Row],[Unique CFDA]] = "", "", IFERROR(Table11[[#This Row],[FY 2018 Total]]*Table11[[#This Row],[Senate Budget]], ""))</f>
        <v/>
      </c>
      <c r="L192" s="6" t="str">
        <f>IF(Table11[[#This Row],[Unique CFDA]] = "", "", IF(ISNUMBER(Table11[[#This Row],[President $ Change]]), RANK(Table11[[#This Row],[President $ Change]], Table11[President $ Change])+COUNTIF($G192:G192, G192)-1,0))</f>
        <v/>
      </c>
      <c r="N192">
        <v>189</v>
      </c>
      <c r="O192" t="str">
        <f>IFERROR(INDEX(Table11[Unique CFDA], MATCH(N192, Table11[Pres. Sort], 0)), "")</f>
        <v/>
      </c>
      <c r="P192" s="1" t="str">
        <f>IFERROR(INDEX(Table11[Grant Name], MATCH(MemberOrgFinalSort[[#This Row],[CFDA]], Table11[Unique CFDA], 0)), "")</f>
        <v/>
      </c>
      <c r="Q192" s="20" t="str">
        <f>IFERROR(INDEX(Table11[FY 2018 Total], MATCH(MemberOrgFinalSort[[#This Row],[CFDA]], Table11[Unique CFDA], 0)), "")</f>
        <v/>
      </c>
      <c r="R192" s="21" t="str">
        <f>IFERROR(INDEX(Table11[President % Change], MATCH(MemberOrgFinalSort[[#This Row],[CFDA]], Table11[Unique CFDA], 0)), "")</f>
        <v/>
      </c>
      <c r="S192" s="20" t="str">
        <f>IFERROR(INDEX(Table11[President $ Change], MATCH(MemberOrgFinalSort[[#This Row],[CFDA]], Table11[Unique CFDA], 0)), "")</f>
        <v/>
      </c>
      <c r="T192" s="32" t="str">
        <f>IFERROR(INDEX(Table11[House % Change], MATCH(MemberOrgFinalSort[[#This Row],[CFDA]], Table11[Unique CFDA], 0)), "")</f>
        <v/>
      </c>
      <c r="U192" s="32" t="str">
        <f>IFERROR(INDEX(Table11[House $ Change], MATCH(MemberOrgFinalSort[[#This Row],[CFDA]], Table11[Unique CFDA], 0)), "")</f>
        <v/>
      </c>
      <c r="V192" s="20"/>
      <c r="X192" s="6"/>
      <c r="Y192" s="6"/>
      <c r="Z192" s="6"/>
      <c r="AA192" s="6"/>
      <c r="AB192" s="6"/>
    </row>
    <row r="193" spans="1:28" x14ac:dyDescent="0.25">
      <c r="A193" t="str">
        <f>IF(MemberOrgControl!$C196 = "", "", INDEX(MemberOrgsData[CFDA], MemberOrgControl!$C196))</f>
        <v/>
      </c>
      <c r="C193" s="6" t="str">
        <f>IFERROR(INDEX(AllFilteredCFDAs[All CFDAs], MATCH(0, INDEX(COUNTIF($C$3:C192, AllFilteredCFDAs[All CFDAs]),),0)), "")</f>
        <v/>
      </c>
      <c r="D193" s="6" t="str">
        <f t="array" ref="D193">IFERROR(INDEX(MemberOrgsData[FEDERALPROGRAMNAME], MATCH(1, (SelectMemberOrgs = MemberOrgsData[Auditee Name])*(Table11[[#This Row],[Unique CFDA]] = MemberOrgsData[CFDA]), 0)), "")</f>
        <v/>
      </c>
      <c r="E193" s="25" t="str">
        <f t="array" ref="E193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93" s="26" t="str">
        <f t="array" ref="F193">IFERROR(INDEX(BudgetAppropData[President % Change], MATCH(1, (Table11[[#This Row],[Unique CFDA]] = BudgetAppropData[CFDA])*(SelectBudgetYear = BudgetAppropData[Fiscal Year]), 0)), "")</f>
        <v/>
      </c>
      <c r="G193" s="25" t="str">
        <f>IF(Table11[[#This Row],[Unique CFDA]] = "", "", IFERROR(Table11[[#This Row],[FY 2018 Total]]*Table11[[#This Row],[President % Change]], ""))</f>
        <v/>
      </c>
      <c r="H193" s="26" t="str">
        <f t="array" ref="H193">IFERROR(INDEX(BudgetAppropData[House % Change], MATCH(1, (Table11[[#This Row],[Unique CFDA]] = BudgetAppropData[CFDA])*(SelectBudgetYear = BudgetAppropData[Fiscal Year]),0)), "")</f>
        <v/>
      </c>
      <c r="I193" s="25" t="str">
        <f>IF(Table11[[#This Row],[Unique CFDA]] = "", "", IFERROR(Table11[[#This Row],[FY 2018 Total]]*Table11[[#This Row],[House % Change]], ""))</f>
        <v/>
      </c>
      <c r="J193" s="6"/>
      <c r="K193" s="25" t="str">
        <f>IF(Table11[[#This Row],[Unique CFDA]] = "", "", IFERROR(Table11[[#This Row],[FY 2018 Total]]*Table11[[#This Row],[Senate Budget]], ""))</f>
        <v/>
      </c>
      <c r="L193" s="6" t="str">
        <f>IF(Table11[[#This Row],[Unique CFDA]] = "", "", IF(ISNUMBER(Table11[[#This Row],[President $ Change]]), RANK(Table11[[#This Row],[President $ Change]], Table11[President $ Change])+COUNTIF($G193:G193, G193)-1,0))</f>
        <v/>
      </c>
      <c r="N193">
        <v>190</v>
      </c>
      <c r="O193" t="str">
        <f>IFERROR(INDEX(Table11[Unique CFDA], MATCH(N193, Table11[Pres. Sort], 0)), "")</f>
        <v/>
      </c>
      <c r="P193" s="1" t="str">
        <f>IFERROR(INDEX(Table11[Grant Name], MATCH(MemberOrgFinalSort[[#This Row],[CFDA]], Table11[Unique CFDA], 0)), "")</f>
        <v/>
      </c>
      <c r="Q193" s="20" t="str">
        <f>IFERROR(INDEX(Table11[FY 2018 Total], MATCH(MemberOrgFinalSort[[#This Row],[CFDA]], Table11[Unique CFDA], 0)), "")</f>
        <v/>
      </c>
      <c r="R193" s="21" t="str">
        <f>IFERROR(INDEX(Table11[President % Change], MATCH(MemberOrgFinalSort[[#This Row],[CFDA]], Table11[Unique CFDA], 0)), "")</f>
        <v/>
      </c>
      <c r="S193" s="20" t="str">
        <f>IFERROR(INDEX(Table11[President $ Change], MATCH(MemberOrgFinalSort[[#This Row],[CFDA]], Table11[Unique CFDA], 0)), "")</f>
        <v/>
      </c>
      <c r="T193" s="32" t="str">
        <f>IFERROR(INDEX(Table11[House % Change], MATCH(MemberOrgFinalSort[[#This Row],[CFDA]], Table11[Unique CFDA], 0)), "")</f>
        <v/>
      </c>
      <c r="U193" s="32" t="str">
        <f>IFERROR(INDEX(Table11[House $ Change], MATCH(MemberOrgFinalSort[[#This Row],[CFDA]], Table11[Unique CFDA], 0)), "")</f>
        <v/>
      </c>
      <c r="V193" s="20"/>
      <c r="X193" s="6"/>
      <c r="Y193" s="6"/>
      <c r="Z193" s="6"/>
      <c r="AA193" s="6"/>
      <c r="AB193" s="6"/>
    </row>
    <row r="194" spans="1:28" x14ac:dyDescent="0.25">
      <c r="A194" t="str">
        <f>IF(MemberOrgControl!$C197 = "", "", INDEX(MemberOrgsData[CFDA], MemberOrgControl!$C197))</f>
        <v/>
      </c>
      <c r="C194" s="6" t="str">
        <f>IFERROR(INDEX(AllFilteredCFDAs[All CFDAs], MATCH(0, INDEX(COUNTIF($C$3:C193, AllFilteredCFDAs[All CFDAs]),),0)), "")</f>
        <v/>
      </c>
      <c r="D194" s="6" t="str">
        <f t="array" ref="D194">IFERROR(INDEX(MemberOrgsData[FEDERALPROGRAMNAME], MATCH(1, (SelectMemberOrgs = MemberOrgsData[Auditee Name])*(Table11[[#This Row],[Unique CFDA]] = MemberOrgsData[CFDA]), 0)), "")</f>
        <v/>
      </c>
      <c r="E194" s="25" t="str">
        <f t="array" ref="E194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94" s="26" t="str">
        <f t="array" ref="F194">IFERROR(INDEX(BudgetAppropData[President % Change], MATCH(1, (Table11[[#This Row],[Unique CFDA]] = BudgetAppropData[CFDA])*(SelectBudgetYear = BudgetAppropData[Fiscal Year]), 0)), "")</f>
        <v/>
      </c>
      <c r="G194" s="25" t="str">
        <f>IF(Table11[[#This Row],[Unique CFDA]] = "", "", IFERROR(Table11[[#This Row],[FY 2018 Total]]*Table11[[#This Row],[President % Change]], ""))</f>
        <v/>
      </c>
      <c r="H194" s="26" t="str">
        <f t="array" ref="H194">IFERROR(INDEX(BudgetAppropData[House % Change], MATCH(1, (Table11[[#This Row],[Unique CFDA]] = BudgetAppropData[CFDA])*(SelectBudgetYear = BudgetAppropData[Fiscal Year]),0)), "")</f>
        <v/>
      </c>
      <c r="I194" s="25" t="str">
        <f>IF(Table11[[#This Row],[Unique CFDA]] = "", "", IFERROR(Table11[[#This Row],[FY 2018 Total]]*Table11[[#This Row],[House % Change]], ""))</f>
        <v/>
      </c>
      <c r="J194" s="6"/>
      <c r="K194" s="25" t="str">
        <f>IF(Table11[[#This Row],[Unique CFDA]] = "", "", IFERROR(Table11[[#This Row],[FY 2018 Total]]*Table11[[#This Row],[Senate Budget]], ""))</f>
        <v/>
      </c>
      <c r="L194" s="6" t="str">
        <f>IF(Table11[[#This Row],[Unique CFDA]] = "", "", IF(ISNUMBER(Table11[[#This Row],[President $ Change]]), RANK(Table11[[#This Row],[President $ Change]], Table11[President $ Change])+COUNTIF($G194:G194, G194)-1,0))</f>
        <v/>
      </c>
      <c r="N194">
        <v>191</v>
      </c>
      <c r="O194" t="str">
        <f>IFERROR(INDEX(Table11[Unique CFDA], MATCH(N194, Table11[Pres. Sort], 0)), "")</f>
        <v/>
      </c>
      <c r="P194" s="1" t="str">
        <f>IFERROR(INDEX(Table11[Grant Name], MATCH(MemberOrgFinalSort[[#This Row],[CFDA]], Table11[Unique CFDA], 0)), "")</f>
        <v/>
      </c>
      <c r="Q194" s="20" t="str">
        <f>IFERROR(INDEX(Table11[FY 2018 Total], MATCH(MemberOrgFinalSort[[#This Row],[CFDA]], Table11[Unique CFDA], 0)), "")</f>
        <v/>
      </c>
      <c r="R194" s="21" t="str">
        <f>IFERROR(INDEX(Table11[President % Change], MATCH(MemberOrgFinalSort[[#This Row],[CFDA]], Table11[Unique CFDA], 0)), "")</f>
        <v/>
      </c>
      <c r="S194" s="20" t="str">
        <f>IFERROR(INDEX(Table11[President $ Change], MATCH(MemberOrgFinalSort[[#This Row],[CFDA]], Table11[Unique CFDA], 0)), "")</f>
        <v/>
      </c>
      <c r="T194" s="32" t="str">
        <f>IFERROR(INDEX(Table11[House % Change], MATCH(MemberOrgFinalSort[[#This Row],[CFDA]], Table11[Unique CFDA], 0)), "")</f>
        <v/>
      </c>
      <c r="U194" s="32" t="str">
        <f>IFERROR(INDEX(Table11[House $ Change], MATCH(MemberOrgFinalSort[[#This Row],[CFDA]], Table11[Unique CFDA], 0)), "")</f>
        <v/>
      </c>
      <c r="V194" s="20"/>
      <c r="X194" s="6"/>
      <c r="Y194" s="6"/>
      <c r="Z194" s="6"/>
      <c r="AA194" s="6"/>
      <c r="AB194" s="6"/>
    </row>
    <row r="195" spans="1:28" x14ac:dyDescent="0.25">
      <c r="A195" t="str">
        <f>IF(MemberOrgControl!$C198 = "", "", INDEX(MemberOrgsData[CFDA], MemberOrgControl!$C198))</f>
        <v/>
      </c>
      <c r="C195" s="6" t="str">
        <f>IFERROR(INDEX(AllFilteredCFDAs[All CFDAs], MATCH(0, INDEX(COUNTIF($C$3:C194, AllFilteredCFDAs[All CFDAs]),),0)), "")</f>
        <v/>
      </c>
      <c r="D195" s="6" t="str">
        <f t="array" ref="D195">IFERROR(INDEX(MemberOrgsData[FEDERALPROGRAMNAME], MATCH(1, (SelectMemberOrgs = MemberOrgsData[Auditee Name])*(Table11[[#This Row],[Unique CFDA]] = MemberOrgsData[CFDA]), 0)), "")</f>
        <v/>
      </c>
      <c r="E195" s="25" t="str">
        <f t="array" ref="E195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95" s="26" t="str">
        <f t="array" ref="F195">IFERROR(INDEX(BudgetAppropData[President % Change], MATCH(1, (Table11[[#This Row],[Unique CFDA]] = BudgetAppropData[CFDA])*(SelectBudgetYear = BudgetAppropData[Fiscal Year]), 0)), "")</f>
        <v/>
      </c>
      <c r="G195" s="25" t="str">
        <f>IF(Table11[[#This Row],[Unique CFDA]] = "", "", IFERROR(Table11[[#This Row],[FY 2018 Total]]*Table11[[#This Row],[President % Change]], ""))</f>
        <v/>
      </c>
      <c r="H195" s="26" t="str">
        <f t="array" ref="H195">IFERROR(INDEX(BudgetAppropData[House % Change], MATCH(1, (Table11[[#This Row],[Unique CFDA]] = BudgetAppropData[CFDA])*(SelectBudgetYear = BudgetAppropData[Fiscal Year]),0)), "")</f>
        <v/>
      </c>
      <c r="I195" s="25" t="str">
        <f>IF(Table11[[#This Row],[Unique CFDA]] = "", "", IFERROR(Table11[[#This Row],[FY 2018 Total]]*Table11[[#This Row],[House % Change]], ""))</f>
        <v/>
      </c>
      <c r="J195" s="6"/>
      <c r="K195" s="25" t="str">
        <f>IF(Table11[[#This Row],[Unique CFDA]] = "", "", IFERROR(Table11[[#This Row],[FY 2018 Total]]*Table11[[#This Row],[Senate Budget]], ""))</f>
        <v/>
      </c>
      <c r="L195" s="6" t="str">
        <f>IF(Table11[[#This Row],[Unique CFDA]] = "", "", IF(ISNUMBER(Table11[[#This Row],[President $ Change]]), RANK(Table11[[#This Row],[President $ Change]], Table11[President $ Change])+COUNTIF($G195:G195, G195)-1,0))</f>
        <v/>
      </c>
      <c r="N195">
        <v>192</v>
      </c>
      <c r="O195" t="str">
        <f>IFERROR(INDEX(Table11[Unique CFDA], MATCH(N195, Table11[Pres. Sort], 0)), "")</f>
        <v/>
      </c>
      <c r="P195" s="1" t="str">
        <f>IFERROR(INDEX(Table11[Grant Name], MATCH(MemberOrgFinalSort[[#This Row],[CFDA]], Table11[Unique CFDA], 0)), "")</f>
        <v/>
      </c>
      <c r="Q195" s="20" t="str">
        <f>IFERROR(INDEX(Table11[FY 2018 Total], MATCH(MemberOrgFinalSort[[#This Row],[CFDA]], Table11[Unique CFDA], 0)), "")</f>
        <v/>
      </c>
      <c r="R195" s="21" t="str">
        <f>IFERROR(INDEX(Table11[President % Change], MATCH(MemberOrgFinalSort[[#This Row],[CFDA]], Table11[Unique CFDA], 0)), "")</f>
        <v/>
      </c>
      <c r="S195" s="20" t="str">
        <f>IFERROR(INDEX(Table11[President $ Change], MATCH(MemberOrgFinalSort[[#This Row],[CFDA]], Table11[Unique CFDA], 0)), "")</f>
        <v/>
      </c>
      <c r="T195" s="32" t="str">
        <f>IFERROR(INDEX(Table11[House % Change], MATCH(MemberOrgFinalSort[[#This Row],[CFDA]], Table11[Unique CFDA], 0)), "")</f>
        <v/>
      </c>
      <c r="U195" s="32" t="str">
        <f>IFERROR(INDEX(Table11[House $ Change], MATCH(MemberOrgFinalSort[[#This Row],[CFDA]], Table11[Unique CFDA], 0)), "")</f>
        <v/>
      </c>
      <c r="V195" s="20"/>
      <c r="X195" s="6"/>
      <c r="Y195" s="6"/>
      <c r="Z195" s="6"/>
      <c r="AA195" s="6"/>
      <c r="AB195" s="6"/>
    </row>
    <row r="196" spans="1:28" x14ac:dyDescent="0.25">
      <c r="A196" t="str">
        <f>IF(MemberOrgControl!$C199 = "", "", INDEX(MemberOrgsData[CFDA], MemberOrgControl!$C199))</f>
        <v/>
      </c>
      <c r="C196" s="6" t="str">
        <f>IFERROR(INDEX(AllFilteredCFDAs[All CFDAs], MATCH(0, INDEX(COUNTIF($C$3:C195, AllFilteredCFDAs[All CFDAs]),),0)), "")</f>
        <v/>
      </c>
      <c r="D196" s="6" t="str">
        <f t="array" ref="D196">IFERROR(INDEX(MemberOrgsData[FEDERALPROGRAMNAME], MATCH(1, (SelectMemberOrgs = MemberOrgsData[Auditee Name])*(Table11[[#This Row],[Unique CFDA]] = MemberOrgsData[CFDA]), 0)), "")</f>
        <v/>
      </c>
      <c r="E196" s="25" t="str">
        <f t="array" ref="E196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96" s="26" t="str">
        <f t="array" ref="F196">IFERROR(INDEX(BudgetAppropData[President % Change], MATCH(1, (Table11[[#This Row],[Unique CFDA]] = BudgetAppropData[CFDA])*(SelectBudgetYear = BudgetAppropData[Fiscal Year]), 0)), "")</f>
        <v/>
      </c>
      <c r="G196" s="25" t="str">
        <f>IF(Table11[[#This Row],[Unique CFDA]] = "", "", IFERROR(Table11[[#This Row],[FY 2018 Total]]*Table11[[#This Row],[President % Change]], ""))</f>
        <v/>
      </c>
      <c r="H196" s="26" t="str">
        <f t="array" ref="H196">IFERROR(INDEX(BudgetAppropData[House % Change], MATCH(1, (Table11[[#This Row],[Unique CFDA]] = BudgetAppropData[CFDA])*(SelectBudgetYear = BudgetAppropData[Fiscal Year]),0)), "")</f>
        <v/>
      </c>
      <c r="I196" s="25" t="str">
        <f>IF(Table11[[#This Row],[Unique CFDA]] = "", "", IFERROR(Table11[[#This Row],[FY 2018 Total]]*Table11[[#This Row],[House % Change]], ""))</f>
        <v/>
      </c>
      <c r="J196" s="6"/>
      <c r="K196" s="25" t="str">
        <f>IF(Table11[[#This Row],[Unique CFDA]] = "", "", IFERROR(Table11[[#This Row],[FY 2018 Total]]*Table11[[#This Row],[Senate Budget]], ""))</f>
        <v/>
      </c>
      <c r="L196" s="6" t="str">
        <f>IF(Table11[[#This Row],[Unique CFDA]] = "", "", IF(ISNUMBER(Table11[[#This Row],[President $ Change]]), RANK(Table11[[#This Row],[President $ Change]], Table11[President $ Change])+COUNTIF($G196:G196, G196)-1,0))</f>
        <v/>
      </c>
      <c r="N196">
        <v>193</v>
      </c>
      <c r="O196" t="str">
        <f>IFERROR(INDEX(Table11[Unique CFDA], MATCH(N196, Table11[Pres. Sort], 0)), "")</f>
        <v/>
      </c>
      <c r="P196" s="1" t="str">
        <f>IFERROR(INDEX(Table11[Grant Name], MATCH(MemberOrgFinalSort[[#This Row],[CFDA]], Table11[Unique CFDA], 0)), "")</f>
        <v/>
      </c>
      <c r="Q196" s="20" t="str">
        <f>IFERROR(INDEX(Table11[FY 2018 Total], MATCH(MemberOrgFinalSort[[#This Row],[CFDA]], Table11[Unique CFDA], 0)), "")</f>
        <v/>
      </c>
      <c r="R196" s="21" t="str">
        <f>IFERROR(INDEX(Table11[President % Change], MATCH(MemberOrgFinalSort[[#This Row],[CFDA]], Table11[Unique CFDA], 0)), "")</f>
        <v/>
      </c>
      <c r="S196" s="20" t="str">
        <f>IFERROR(INDEX(Table11[President $ Change], MATCH(MemberOrgFinalSort[[#This Row],[CFDA]], Table11[Unique CFDA], 0)), "")</f>
        <v/>
      </c>
      <c r="T196" s="32" t="str">
        <f>IFERROR(INDEX(Table11[House % Change], MATCH(MemberOrgFinalSort[[#This Row],[CFDA]], Table11[Unique CFDA], 0)), "")</f>
        <v/>
      </c>
      <c r="U196" s="32" t="str">
        <f>IFERROR(INDEX(Table11[House $ Change], MATCH(MemberOrgFinalSort[[#This Row],[CFDA]], Table11[Unique CFDA], 0)), "")</f>
        <v/>
      </c>
      <c r="V196" s="20"/>
      <c r="X196" s="6"/>
      <c r="Y196" s="6"/>
      <c r="Z196" s="6"/>
      <c r="AA196" s="6"/>
      <c r="AB196" s="6"/>
    </row>
    <row r="197" spans="1:28" x14ac:dyDescent="0.25">
      <c r="A197" t="str">
        <f>IF(MemberOrgControl!$C200 = "", "", INDEX(MemberOrgsData[CFDA], MemberOrgControl!$C200))</f>
        <v/>
      </c>
      <c r="C197" s="6" t="str">
        <f>IFERROR(INDEX(AllFilteredCFDAs[All CFDAs], MATCH(0, INDEX(COUNTIF($C$3:C196, AllFilteredCFDAs[All CFDAs]),),0)), "")</f>
        <v/>
      </c>
      <c r="D197" s="6" t="str">
        <f t="array" ref="D197">IFERROR(INDEX(MemberOrgsData[FEDERALPROGRAMNAME], MATCH(1, (SelectMemberOrgs = MemberOrgsData[Auditee Name])*(Table11[[#This Row],[Unique CFDA]] = MemberOrgsData[CFDA]), 0)), "")</f>
        <v/>
      </c>
      <c r="E197" s="25" t="str">
        <f t="array" ref="E197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97" s="26" t="str">
        <f t="array" ref="F197">IFERROR(INDEX(BudgetAppropData[President % Change], MATCH(1, (Table11[[#This Row],[Unique CFDA]] = BudgetAppropData[CFDA])*(SelectBudgetYear = BudgetAppropData[Fiscal Year]), 0)), "")</f>
        <v/>
      </c>
      <c r="G197" s="25" t="str">
        <f>IF(Table11[[#This Row],[Unique CFDA]] = "", "", IFERROR(Table11[[#This Row],[FY 2018 Total]]*Table11[[#This Row],[President % Change]], ""))</f>
        <v/>
      </c>
      <c r="H197" s="26" t="str">
        <f t="array" ref="H197">IFERROR(INDEX(BudgetAppropData[House % Change], MATCH(1, (Table11[[#This Row],[Unique CFDA]] = BudgetAppropData[CFDA])*(SelectBudgetYear = BudgetAppropData[Fiscal Year]),0)), "")</f>
        <v/>
      </c>
      <c r="I197" s="25" t="str">
        <f>IF(Table11[[#This Row],[Unique CFDA]] = "", "", IFERROR(Table11[[#This Row],[FY 2018 Total]]*Table11[[#This Row],[House % Change]], ""))</f>
        <v/>
      </c>
      <c r="J197" s="6"/>
      <c r="K197" s="25" t="str">
        <f>IF(Table11[[#This Row],[Unique CFDA]] = "", "", IFERROR(Table11[[#This Row],[FY 2018 Total]]*Table11[[#This Row],[Senate Budget]], ""))</f>
        <v/>
      </c>
      <c r="L197" s="6" t="str">
        <f>IF(Table11[[#This Row],[Unique CFDA]] = "", "", IF(ISNUMBER(Table11[[#This Row],[President $ Change]]), RANK(Table11[[#This Row],[President $ Change]], Table11[President $ Change])+COUNTIF($G197:G197, G197)-1,0))</f>
        <v/>
      </c>
      <c r="N197">
        <v>194</v>
      </c>
      <c r="O197" t="str">
        <f>IFERROR(INDEX(Table11[Unique CFDA], MATCH(N197, Table11[Pres. Sort], 0)), "")</f>
        <v/>
      </c>
      <c r="P197" s="1" t="str">
        <f>IFERROR(INDEX(Table11[Grant Name], MATCH(MemberOrgFinalSort[[#This Row],[CFDA]], Table11[Unique CFDA], 0)), "")</f>
        <v/>
      </c>
      <c r="Q197" s="20" t="str">
        <f>IFERROR(INDEX(Table11[FY 2018 Total], MATCH(MemberOrgFinalSort[[#This Row],[CFDA]], Table11[Unique CFDA], 0)), "")</f>
        <v/>
      </c>
      <c r="R197" s="21" t="str">
        <f>IFERROR(INDEX(Table11[President % Change], MATCH(MemberOrgFinalSort[[#This Row],[CFDA]], Table11[Unique CFDA], 0)), "")</f>
        <v/>
      </c>
      <c r="S197" s="20" t="str">
        <f>IFERROR(INDEX(Table11[President $ Change], MATCH(MemberOrgFinalSort[[#This Row],[CFDA]], Table11[Unique CFDA], 0)), "")</f>
        <v/>
      </c>
      <c r="T197" s="32" t="str">
        <f>IFERROR(INDEX(Table11[House % Change], MATCH(MemberOrgFinalSort[[#This Row],[CFDA]], Table11[Unique CFDA], 0)), "")</f>
        <v/>
      </c>
      <c r="U197" s="32" t="str">
        <f>IFERROR(INDEX(Table11[House $ Change], MATCH(MemberOrgFinalSort[[#This Row],[CFDA]], Table11[Unique CFDA], 0)), "")</f>
        <v/>
      </c>
      <c r="V197" s="20"/>
      <c r="X197" s="6"/>
      <c r="Y197" s="6"/>
      <c r="Z197" s="6"/>
      <c r="AA197" s="6"/>
      <c r="AB197" s="6"/>
    </row>
    <row r="198" spans="1:28" x14ac:dyDescent="0.25">
      <c r="A198" t="str">
        <f>IF(MemberOrgControl!$C201 = "", "", INDEX(MemberOrgsData[CFDA], MemberOrgControl!$C201))</f>
        <v/>
      </c>
      <c r="C198" s="6" t="str">
        <f>IFERROR(INDEX(AllFilteredCFDAs[All CFDAs], MATCH(0, INDEX(COUNTIF($C$3:C197, AllFilteredCFDAs[All CFDAs]),),0)), "")</f>
        <v/>
      </c>
      <c r="D198" s="6" t="str">
        <f t="array" ref="D198">IFERROR(INDEX(MemberOrgsData[FEDERALPROGRAMNAME], MATCH(1, (SelectMemberOrgs = MemberOrgsData[Auditee Name])*(Table11[[#This Row],[Unique CFDA]] = MemberOrgsData[CFDA]), 0)), "")</f>
        <v/>
      </c>
      <c r="E198" s="25" t="str">
        <f t="array" ref="E198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98" s="26" t="str">
        <f t="array" ref="F198">IFERROR(INDEX(BudgetAppropData[President % Change], MATCH(1, (Table11[[#This Row],[Unique CFDA]] = BudgetAppropData[CFDA])*(SelectBudgetYear = BudgetAppropData[Fiscal Year]), 0)), "")</f>
        <v/>
      </c>
      <c r="G198" s="25" t="str">
        <f>IF(Table11[[#This Row],[Unique CFDA]] = "", "", IFERROR(Table11[[#This Row],[FY 2018 Total]]*Table11[[#This Row],[President % Change]], ""))</f>
        <v/>
      </c>
      <c r="H198" s="26" t="str">
        <f t="array" ref="H198">IFERROR(INDEX(BudgetAppropData[House % Change], MATCH(1, (Table11[[#This Row],[Unique CFDA]] = BudgetAppropData[CFDA])*(SelectBudgetYear = BudgetAppropData[Fiscal Year]),0)), "")</f>
        <v/>
      </c>
      <c r="I198" s="25" t="str">
        <f>IF(Table11[[#This Row],[Unique CFDA]] = "", "", IFERROR(Table11[[#This Row],[FY 2018 Total]]*Table11[[#This Row],[House % Change]], ""))</f>
        <v/>
      </c>
      <c r="J198" s="6"/>
      <c r="K198" s="25" t="str">
        <f>IF(Table11[[#This Row],[Unique CFDA]] = "", "", IFERROR(Table11[[#This Row],[FY 2018 Total]]*Table11[[#This Row],[Senate Budget]], ""))</f>
        <v/>
      </c>
      <c r="L198" s="6" t="str">
        <f>IF(Table11[[#This Row],[Unique CFDA]] = "", "", IF(ISNUMBER(Table11[[#This Row],[President $ Change]]), RANK(Table11[[#This Row],[President $ Change]], Table11[President $ Change])+COUNTIF($G198:G198, G198)-1,0))</f>
        <v/>
      </c>
      <c r="N198">
        <v>195</v>
      </c>
      <c r="O198" t="str">
        <f>IFERROR(INDEX(Table11[Unique CFDA], MATCH(N198, Table11[Pres. Sort], 0)), "")</f>
        <v/>
      </c>
      <c r="P198" s="1" t="str">
        <f>IFERROR(INDEX(Table11[Grant Name], MATCH(MemberOrgFinalSort[[#This Row],[CFDA]], Table11[Unique CFDA], 0)), "")</f>
        <v/>
      </c>
      <c r="Q198" s="20" t="str">
        <f>IFERROR(INDEX(Table11[FY 2018 Total], MATCH(MemberOrgFinalSort[[#This Row],[CFDA]], Table11[Unique CFDA], 0)), "")</f>
        <v/>
      </c>
      <c r="R198" s="21" t="str">
        <f>IFERROR(INDEX(Table11[President % Change], MATCH(MemberOrgFinalSort[[#This Row],[CFDA]], Table11[Unique CFDA], 0)), "")</f>
        <v/>
      </c>
      <c r="S198" s="20" t="str">
        <f>IFERROR(INDEX(Table11[President $ Change], MATCH(MemberOrgFinalSort[[#This Row],[CFDA]], Table11[Unique CFDA], 0)), "")</f>
        <v/>
      </c>
      <c r="T198" s="32" t="str">
        <f>IFERROR(INDEX(Table11[House % Change], MATCH(MemberOrgFinalSort[[#This Row],[CFDA]], Table11[Unique CFDA], 0)), "")</f>
        <v/>
      </c>
      <c r="U198" s="32" t="str">
        <f>IFERROR(INDEX(Table11[House $ Change], MATCH(MemberOrgFinalSort[[#This Row],[CFDA]], Table11[Unique CFDA], 0)), "")</f>
        <v/>
      </c>
      <c r="V198" s="20"/>
      <c r="X198" s="6"/>
      <c r="Y198" s="6"/>
      <c r="Z198" s="6"/>
      <c r="AA198" s="6"/>
      <c r="AB198" s="6"/>
    </row>
    <row r="199" spans="1:28" x14ac:dyDescent="0.25">
      <c r="A199" t="str">
        <f>IF(MemberOrgControl!$C202 = "", "", INDEX(MemberOrgsData[CFDA], MemberOrgControl!$C202))</f>
        <v/>
      </c>
      <c r="C199" s="6" t="str">
        <f>IFERROR(INDEX(AllFilteredCFDAs[All CFDAs], MATCH(0, INDEX(COUNTIF($C$3:C198, AllFilteredCFDAs[All CFDAs]),),0)), "")</f>
        <v/>
      </c>
      <c r="D199" s="6" t="str">
        <f t="array" ref="D199">IFERROR(INDEX(MemberOrgsData[FEDERALPROGRAMNAME], MATCH(1, (SelectMemberOrgs = MemberOrgsData[Auditee Name])*(Table11[[#This Row],[Unique CFDA]] = MemberOrgsData[CFDA]), 0)), "")</f>
        <v/>
      </c>
      <c r="E199" s="25" t="str">
        <f t="array" ref="E199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99" s="26" t="str">
        <f t="array" ref="F199">IFERROR(INDEX(BudgetAppropData[President % Change], MATCH(1, (Table11[[#This Row],[Unique CFDA]] = BudgetAppropData[CFDA])*(SelectBudgetYear = BudgetAppropData[Fiscal Year]), 0)), "")</f>
        <v/>
      </c>
      <c r="G199" s="25" t="str">
        <f>IF(Table11[[#This Row],[Unique CFDA]] = "", "", IFERROR(Table11[[#This Row],[FY 2018 Total]]*Table11[[#This Row],[President % Change]], ""))</f>
        <v/>
      </c>
      <c r="H199" s="26" t="str">
        <f t="array" ref="H199">IFERROR(INDEX(BudgetAppropData[House % Change], MATCH(1, (Table11[[#This Row],[Unique CFDA]] = BudgetAppropData[CFDA])*(SelectBudgetYear = BudgetAppropData[Fiscal Year]),0)), "")</f>
        <v/>
      </c>
      <c r="I199" s="25" t="str">
        <f>IF(Table11[[#This Row],[Unique CFDA]] = "", "", IFERROR(Table11[[#This Row],[FY 2018 Total]]*Table11[[#This Row],[House % Change]], ""))</f>
        <v/>
      </c>
      <c r="J199" s="6"/>
      <c r="K199" s="25" t="str">
        <f>IF(Table11[[#This Row],[Unique CFDA]] = "", "", IFERROR(Table11[[#This Row],[FY 2018 Total]]*Table11[[#This Row],[Senate Budget]], ""))</f>
        <v/>
      </c>
      <c r="L199" s="6" t="str">
        <f>IF(Table11[[#This Row],[Unique CFDA]] = "", "", IF(ISNUMBER(Table11[[#This Row],[President $ Change]]), RANK(Table11[[#This Row],[President $ Change]], Table11[President $ Change])+COUNTIF($G199:G199, G199)-1,0))</f>
        <v/>
      </c>
      <c r="N199">
        <v>196</v>
      </c>
      <c r="O199" t="str">
        <f>IFERROR(INDEX(Table11[Unique CFDA], MATCH(N199, Table11[Pres. Sort], 0)), "")</f>
        <v/>
      </c>
      <c r="P199" s="1" t="str">
        <f>IFERROR(INDEX(Table11[Grant Name], MATCH(MemberOrgFinalSort[[#This Row],[CFDA]], Table11[Unique CFDA], 0)), "")</f>
        <v/>
      </c>
      <c r="Q199" s="20" t="str">
        <f>IFERROR(INDEX(Table11[FY 2018 Total], MATCH(MemberOrgFinalSort[[#This Row],[CFDA]], Table11[Unique CFDA], 0)), "")</f>
        <v/>
      </c>
      <c r="R199" s="21" t="str">
        <f>IFERROR(INDEX(Table11[President % Change], MATCH(MemberOrgFinalSort[[#This Row],[CFDA]], Table11[Unique CFDA], 0)), "")</f>
        <v/>
      </c>
      <c r="S199" s="20" t="str">
        <f>IFERROR(INDEX(Table11[President $ Change], MATCH(MemberOrgFinalSort[[#This Row],[CFDA]], Table11[Unique CFDA], 0)), "")</f>
        <v/>
      </c>
      <c r="T199" s="32" t="str">
        <f>IFERROR(INDEX(Table11[House % Change], MATCH(MemberOrgFinalSort[[#This Row],[CFDA]], Table11[Unique CFDA], 0)), "")</f>
        <v/>
      </c>
      <c r="U199" s="32" t="str">
        <f>IFERROR(INDEX(Table11[House $ Change], MATCH(MemberOrgFinalSort[[#This Row],[CFDA]], Table11[Unique CFDA], 0)), "")</f>
        <v/>
      </c>
      <c r="V199" s="20"/>
      <c r="X199" s="6"/>
      <c r="Y199" s="6"/>
      <c r="Z199" s="6"/>
      <c r="AA199" s="6"/>
      <c r="AB199" s="6"/>
    </row>
    <row r="200" spans="1:28" x14ac:dyDescent="0.25">
      <c r="A200" t="str">
        <f>IF(MemberOrgControl!$C203 = "", "", INDEX(MemberOrgsData[CFDA], MemberOrgControl!$C203))</f>
        <v/>
      </c>
      <c r="C200" s="6" t="str">
        <f>IFERROR(INDEX(AllFilteredCFDAs[All CFDAs], MATCH(0, INDEX(COUNTIF($C$3:C199, AllFilteredCFDAs[All CFDAs]),),0)), "")</f>
        <v/>
      </c>
      <c r="D200" s="6" t="str">
        <f t="array" ref="D200">IFERROR(INDEX(MemberOrgsData[FEDERALPROGRAMNAME], MATCH(1, (SelectMemberOrgs = MemberOrgsData[Auditee Name])*(Table11[[#This Row],[Unique CFDA]] = MemberOrgsData[CFDA]), 0)), "")</f>
        <v/>
      </c>
      <c r="E200" s="25" t="str">
        <f t="array" ref="E200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00" s="26" t="str">
        <f t="array" ref="F200">IFERROR(INDEX(BudgetAppropData[President % Change], MATCH(1, (Table11[[#This Row],[Unique CFDA]] = BudgetAppropData[CFDA])*(SelectBudgetYear = BudgetAppropData[Fiscal Year]), 0)), "")</f>
        <v/>
      </c>
      <c r="G200" s="25" t="str">
        <f>IF(Table11[[#This Row],[Unique CFDA]] = "", "", IFERROR(Table11[[#This Row],[FY 2018 Total]]*Table11[[#This Row],[President % Change]], ""))</f>
        <v/>
      </c>
      <c r="H200" s="26" t="str">
        <f t="array" ref="H200">IFERROR(INDEX(BudgetAppropData[House % Change], MATCH(1, (Table11[[#This Row],[Unique CFDA]] = BudgetAppropData[CFDA])*(SelectBudgetYear = BudgetAppropData[Fiscal Year]),0)), "")</f>
        <v/>
      </c>
      <c r="I200" s="25" t="str">
        <f>IF(Table11[[#This Row],[Unique CFDA]] = "", "", IFERROR(Table11[[#This Row],[FY 2018 Total]]*Table11[[#This Row],[House % Change]], ""))</f>
        <v/>
      </c>
      <c r="J200" s="6"/>
      <c r="K200" s="25" t="str">
        <f>IF(Table11[[#This Row],[Unique CFDA]] = "", "", IFERROR(Table11[[#This Row],[FY 2018 Total]]*Table11[[#This Row],[Senate Budget]], ""))</f>
        <v/>
      </c>
      <c r="L200" s="6" t="str">
        <f>IF(Table11[[#This Row],[Unique CFDA]] = "", "", IF(ISNUMBER(Table11[[#This Row],[President $ Change]]), RANK(Table11[[#This Row],[President $ Change]], Table11[President $ Change])+COUNTIF($G200:G200, G200)-1,0))</f>
        <v/>
      </c>
      <c r="N200">
        <v>197</v>
      </c>
      <c r="O200" t="str">
        <f>IFERROR(INDEX(Table11[Unique CFDA], MATCH(N200, Table11[Pres. Sort], 0)), "")</f>
        <v/>
      </c>
      <c r="P200" s="1" t="str">
        <f>IFERROR(INDEX(Table11[Grant Name], MATCH(MemberOrgFinalSort[[#This Row],[CFDA]], Table11[Unique CFDA], 0)), "")</f>
        <v/>
      </c>
      <c r="Q200" s="20" t="str">
        <f>IFERROR(INDEX(Table11[FY 2018 Total], MATCH(MemberOrgFinalSort[[#This Row],[CFDA]], Table11[Unique CFDA], 0)), "")</f>
        <v/>
      </c>
      <c r="R200" s="21" t="str">
        <f>IFERROR(INDEX(Table11[President % Change], MATCH(MemberOrgFinalSort[[#This Row],[CFDA]], Table11[Unique CFDA], 0)), "")</f>
        <v/>
      </c>
      <c r="S200" s="20" t="str">
        <f>IFERROR(INDEX(Table11[President $ Change], MATCH(MemberOrgFinalSort[[#This Row],[CFDA]], Table11[Unique CFDA], 0)), "")</f>
        <v/>
      </c>
      <c r="T200" s="32" t="str">
        <f>IFERROR(INDEX(Table11[House % Change], MATCH(MemberOrgFinalSort[[#This Row],[CFDA]], Table11[Unique CFDA], 0)), "")</f>
        <v/>
      </c>
      <c r="U200" s="32" t="str">
        <f>IFERROR(INDEX(Table11[House $ Change], MATCH(MemberOrgFinalSort[[#This Row],[CFDA]], Table11[Unique CFDA], 0)), "")</f>
        <v/>
      </c>
      <c r="V200" s="20"/>
      <c r="X200" s="6"/>
      <c r="Y200" s="6"/>
      <c r="Z200" s="6"/>
      <c r="AA200" s="6"/>
      <c r="AB200" s="6"/>
    </row>
    <row r="201" spans="1:28" x14ac:dyDescent="0.25">
      <c r="A201" t="str">
        <f>IF(MemberOrgControl!$C204 = "", "", INDEX(MemberOrgsData[CFDA], MemberOrgControl!$C204))</f>
        <v/>
      </c>
      <c r="C201" s="6" t="str">
        <f>IFERROR(INDEX(AllFilteredCFDAs[All CFDAs], MATCH(0, INDEX(COUNTIF($C$3:C200, AllFilteredCFDAs[All CFDAs]),),0)), "")</f>
        <v/>
      </c>
      <c r="D201" s="6" t="str">
        <f t="array" ref="D201">IFERROR(INDEX(MemberOrgsData[FEDERALPROGRAMNAME], MATCH(1, (SelectMemberOrgs = MemberOrgsData[Auditee Name])*(Table11[[#This Row],[Unique CFDA]] = MemberOrgsData[CFDA]), 0)), "")</f>
        <v/>
      </c>
      <c r="E201" s="25" t="str">
        <f t="array" ref="E201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01" s="26" t="str">
        <f t="array" ref="F201">IFERROR(INDEX(BudgetAppropData[President % Change], MATCH(1, (Table11[[#This Row],[Unique CFDA]] = BudgetAppropData[CFDA])*(SelectBudgetYear = BudgetAppropData[Fiscal Year]), 0)), "")</f>
        <v/>
      </c>
      <c r="G201" s="25" t="str">
        <f>IF(Table11[[#This Row],[Unique CFDA]] = "", "", IFERROR(Table11[[#This Row],[FY 2018 Total]]*Table11[[#This Row],[President % Change]], ""))</f>
        <v/>
      </c>
      <c r="H201" s="26" t="str">
        <f t="array" ref="H201">IFERROR(INDEX(BudgetAppropData[House % Change], MATCH(1, (Table11[[#This Row],[Unique CFDA]] = BudgetAppropData[CFDA])*(SelectBudgetYear = BudgetAppropData[Fiscal Year]),0)), "")</f>
        <v/>
      </c>
      <c r="I201" s="25" t="str">
        <f>IF(Table11[[#This Row],[Unique CFDA]] = "", "", IFERROR(Table11[[#This Row],[FY 2018 Total]]*Table11[[#This Row],[House % Change]], ""))</f>
        <v/>
      </c>
      <c r="J201" s="6"/>
      <c r="K201" s="25" t="str">
        <f>IF(Table11[[#This Row],[Unique CFDA]] = "", "", IFERROR(Table11[[#This Row],[FY 2018 Total]]*Table11[[#This Row],[Senate Budget]], ""))</f>
        <v/>
      </c>
      <c r="L201" s="6" t="str">
        <f>IF(Table11[[#This Row],[Unique CFDA]] = "", "", IF(ISNUMBER(Table11[[#This Row],[President $ Change]]), RANK(Table11[[#This Row],[President $ Change]], Table11[President $ Change])+COUNTIF($G201:G201, G201)-1,0))</f>
        <v/>
      </c>
      <c r="N201">
        <v>198</v>
      </c>
      <c r="O201" t="str">
        <f>IFERROR(INDEX(Table11[Unique CFDA], MATCH(N201, Table11[Pres. Sort], 0)), "")</f>
        <v/>
      </c>
      <c r="P201" s="1" t="str">
        <f>IFERROR(INDEX(Table11[Grant Name], MATCH(MemberOrgFinalSort[[#This Row],[CFDA]], Table11[Unique CFDA], 0)), "")</f>
        <v/>
      </c>
      <c r="Q201" s="20" t="str">
        <f>IFERROR(INDEX(Table11[FY 2018 Total], MATCH(MemberOrgFinalSort[[#This Row],[CFDA]], Table11[Unique CFDA], 0)), "")</f>
        <v/>
      </c>
      <c r="R201" s="21" t="str">
        <f>IFERROR(INDEX(Table11[President % Change], MATCH(MemberOrgFinalSort[[#This Row],[CFDA]], Table11[Unique CFDA], 0)), "")</f>
        <v/>
      </c>
      <c r="S201" s="20" t="str">
        <f>IFERROR(INDEX(Table11[President $ Change], MATCH(MemberOrgFinalSort[[#This Row],[CFDA]], Table11[Unique CFDA], 0)), "")</f>
        <v/>
      </c>
      <c r="T201" s="32" t="str">
        <f>IFERROR(INDEX(Table11[House % Change], MATCH(MemberOrgFinalSort[[#This Row],[CFDA]], Table11[Unique CFDA], 0)), "")</f>
        <v/>
      </c>
      <c r="U201" s="32" t="str">
        <f>IFERROR(INDEX(Table11[House $ Change], MATCH(MemberOrgFinalSort[[#This Row],[CFDA]], Table11[Unique CFDA], 0)), "")</f>
        <v/>
      </c>
      <c r="V201" s="20"/>
      <c r="X201" s="6"/>
      <c r="Y201" s="6"/>
      <c r="Z201" s="6"/>
      <c r="AA201" s="6"/>
      <c r="AB201" s="6"/>
    </row>
    <row r="202" spans="1:28" x14ac:dyDescent="0.25">
      <c r="A202" t="str">
        <f>IF(MemberOrgControl!$C205 = "", "", INDEX(MemberOrgsData[CFDA], MemberOrgControl!$C205))</f>
        <v/>
      </c>
      <c r="C202" s="6" t="str">
        <f>IFERROR(INDEX(AllFilteredCFDAs[All CFDAs], MATCH(0, INDEX(COUNTIF($C$3:C201, AllFilteredCFDAs[All CFDAs]),),0)), "")</f>
        <v/>
      </c>
      <c r="D202" s="6" t="str">
        <f t="array" ref="D202">IFERROR(INDEX(MemberOrgsData[FEDERALPROGRAMNAME], MATCH(1, (SelectMemberOrgs = MemberOrgsData[Auditee Name])*(Table11[[#This Row],[Unique CFDA]] = MemberOrgsData[CFDA]), 0)), "")</f>
        <v/>
      </c>
      <c r="E202" s="25" t="str">
        <f t="array" ref="E202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02" s="26" t="str">
        <f t="array" ref="F202">IFERROR(INDEX(BudgetAppropData[President % Change], MATCH(1, (Table11[[#This Row],[Unique CFDA]] = BudgetAppropData[CFDA])*(SelectBudgetYear = BudgetAppropData[Fiscal Year]), 0)), "")</f>
        <v/>
      </c>
      <c r="G202" s="25" t="str">
        <f>IF(Table11[[#This Row],[Unique CFDA]] = "", "", IFERROR(Table11[[#This Row],[FY 2018 Total]]*Table11[[#This Row],[President % Change]], ""))</f>
        <v/>
      </c>
      <c r="H202" s="26" t="str">
        <f t="array" ref="H202">IFERROR(INDEX(BudgetAppropData[House % Change], MATCH(1, (Table11[[#This Row],[Unique CFDA]] = BudgetAppropData[CFDA])*(SelectBudgetYear = BudgetAppropData[Fiscal Year]),0)), "")</f>
        <v/>
      </c>
      <c r="I202" s="25" t="str">
        <f>IF(Table11[[#This Row],[Unique CFDA]] = "", "", IFERROR(Table11[[#This Row],[FY 2018 Total]]*Table11[[#This Row],[House % Change]], ""))</f>
        <v/>
      </c>
      <c r="J202" s="6"/>
      <c r="K202" s="25" t="str">
        <f>IF(Table11[[#This Row],[Unique CFDA]] = "", "", IFERROR(Table11[[#This Row],[FY 2018 Total]]*Table11[[#This Row],[Senate Budget]], ""))</f>
        <v/>
      </c>
      <c r="L202" s="6" t="str">
        <f>IF(Table11[[#This Row],[Unique CFDA]] = "", "", IF(ISNUMBER(Table11[[#This Row],[President $ Change]]), RANK(Table11[[#This Row],[President $ Change]], Table11[President $ Change])+COUNTIF($G202:G202, G202)-1,0))</f>
        <v/>
      </c>
      <c r="N202">
        <v>199</v>
      </c>
      <c r="O202" t="str">
        <f>IFERROR(INDEX(Table11[Unique CFDA], MATCH(N202, Table11[Pres. Sort], 0)), "")</f>
        <v/>
      </c>
      <c r="P202" s="1" t="str">
        <f>IFERROR(INDEX(Table11[Grant Name], MATCH(MemberOrgFinalSort[[#This Row],[CFDA]], Table11[Unique CFDA], 0)), "")</f>
        <v/>
      </c>
      <c r="Q202" s="20" t="str">
        <f>IFERROR(INDEX(Table11[FY 2018 Total], MATCH(MemberOrgFinalSort[[#This Row],[CFDA]], Table11[Unique CFDA], 0)), "")</f>
        <v/>
      </c>
      <c r="R202" s="21" t="str">
        <f>IFERROR(INDEX(Table11[President % Change], MATCH(MemberOrgFinalSort[[#This Row],[CFDA]], Table11[Unique CFDA], 0)), "")</f>
        <v/>
      </c>
      <c r="S202" s="20" t="str">
        <f>IFERROR(INDEX(Table11[President $ Change], MATCH(MemberOrgFinalSort[[#This Row],[CFDA]], Table11[Unique CFDA], 0)), "")</f>
        <v/>
      </c>
      <c r="T202" s="32" t="str">
        <f>IFERROR(INDEX(Table11[House % Change], MATCH(MemberOrgFinalSort[[#This Row],[CFDA]], Table11[Unique CFDA], 0)), "")</f>
        <v/>
      </c>
      <c r="U202" s="32" t="str">
        <f>IFERROR(INDEX(Table11[House $ Change], MATCH(MemberOrgFinalSort[[#This Row],[CFDA]], Table11[Unique CFDA], 0)), "")</f>
        <v/>
      </c>
      <c r="V202" s="20"/>
      <c r="X202" s="6"/>
      <c r="Y202" s="6"/>
      <c r="Z202" s="6"/>
      <c r="AA202" s="6"/>
      <c r="AB202" s="6"/>
    </row>
    <row r="203" spans="1:28" x14ac:dyDescent="0.25">
      <c r="A203" t="str">
        <f>IF(MemberOrgControl!$C206 = "", "", INDEX(MemberOrgsData[CFDA], MemberOrgControl!$C206))</f>
        <v/>
      </c>
      <c r="C203" s="6" t="str">
        <f>IFERROR(INDEX(AllFilteredCFDAs[All CFDAs], MATCH(0, INDEX(COUNTIF($C$3:C202, AllFilteredCFDAs[All CFDAs]),),0)), "")</f>
        <v/>
      </c>
      <c r="D203" s="6" t="str">
        <f t="array" ref="D203">IFERROR(INDEX(MemberOrgsData[FEDERALPROGRAMNAME], MATCH(1, (SelectMemberOrgs = MemberOrgsData[Auditee Name])*(Table11[[#This Row],[Unique CFDA]] = MemberOrgsData[CFDA]), 0)), "")</f>
        <v/>
      </c>
      <c r="E203" s="25" t="str">
        <f t="array" ref="E203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03" s="26" t="str">
        <f t="array" ref="F203">IFERROR(INDEX(BudgetAppropData[President % Change], MATCH(1, (Table11[[#This Row],[Unique CFDA]] = BudgetAppropData[CFDA])*(SelectBudgetYear = BudgetAppropData[Fiscal Year]), 0)), "")</f>
        <v/>
      </c>
      <c r="G203" s="25" t="str">
        <f>IF(Table11[[#This Row],[Unique CFDA]] = "", "", IFERROR(Table11[[#This Row],[FY 2018 Total]]*Table11[[#This Row],[President % Change]], ""))</f>
        <v/>
      </c>
      <c r="H203" s="26" t="str">
        <f t="array" ref="H203">IFERROR(INDEX(BudgetAppropData[House % Change], MATCH(1, (Table11[[#This Row],[Unique CFDA]] = BudgetAppropData[CFDA])*(SelectBudgetYear = BudgetAppropData[Fiscal Year]),0)), "")</f>
        <v/>
      </c>
      <c r="I203" s="25" t="str">
        <f>IF(Table11[[#This Row],[Unique CFDA]] = "", "", IFERROR(Table11[[#This Row],[FY 2018 Total]]*Table11[[#This Row],[House % Change]], ""))</f>
        <v/>
      </c>
      <c r="J203" s="6"/>
      <c r="K203" s="25" t="str">
        <f>IF(Table11[[#This Row],[Unique CFDA]] = "", "", IFERROR(Table11[[#This Row],[FY 2018 Total]]*Table11[[#This Row],[Senate Budget]], ""))</f>
        <v/>
      </c>
      <c r="L203" s="6" t="str">
        <f>IF(Table11[[#This Row],[Unique CFDA]] = "", "", IF(ISNUMBER(Table11[[#This Row],[President $ Change]]), RANK(Table11[[#This Row],[President $ Change]], Table11[President $ Change])+COUNTIF($G203:G203, G203)-1,0))</f>
        <v/>
      </c>
      <c r="N203">
        <v>200</v>
      </c>
      <c r="O203" t="str">
        <f>IFERROR(INDEX(Table11[Unique CFDA], MATCH(N203, Table11[Pres. Sort], 0)), "")</f>
        <v/>
      </c>
      <c r="P203" s="1" t="str">
        <f>IFERROR(INDEX(Table11[Grant Name], MATCH(MemberOrgFinalSort[[#This Row],[CFDA]], Table11[Unique CFDA], 0)), "")</f>
        <v/>
      </c>
      <c r="Q203" s="20" t="str">
        <f>IFERROR(INDEX(Table11[FY 2018 Total], MATCH(MemberOrgFinalSort[[#This Row],[CFDA]], Table11[Unique CFDA], 0)), "")</f>
        <v/>
      </c>
      <c r="R203" s="21" t="str">
        <f>IFERROR(INDEX(Table11[President % Change], MATCH(MemberOrgFinalSort[[#This Row],[CFDA]], Table11[Unique CFDA], 0)), "")</f>
        <v/>
      </c>
      <c r="S203" s="20" t="str">
        <f>IFERROR(INDEX(Table11[President $ Change], MATCH(MemberOrgFinalSort[[#This Row],[CFDA]], Table11[Unique CFDA], 0)), "")</f>
        <v/>
      </c>
      <c r="T203" s="32" t="str">
        <f>IFERROR(INDEX(Table11[House % Change], MATCH(MemberOrgFinalSort[[#This Row],[CFDA]], Table11[Unique CFDA], 0)), "")</f>
        <v/>
      </c>
      <c r="U203" s="32" t="str">
        <f>IFERROR(INDEX(Table11[House $ Change], MATCH(MemberOrgFinalSort[[#This Row],[CFDA]], Table11[Unique CFDA], 0)), "")</f>
        <v/>
      </c>
      <c r="V203" s="20"/>
      <c r="X203" s="6"/>
      <c r="Y203" s="6"/>
      <c r="Z203" s="6"/>
      <c r="AA203" s="6"/>
      <c r="AB203" s="6"/>
    </row>
    <row r="204" spans="1:28" x14ac:dyDescent="0.25">
      <c r="A204" t="str">
        <f>IF(MemberOrgControl!$C207 = "", "", INDEX(MemberOrgsData[CFDA], MemberOrgControl!$C207))</f>
        <v/>
      </c>
      <c r="C204" s="6" t="str">
        <f>IFERROR(INDEX(AllFilteredCFDAs[All CFDAs], MATCH(0, INDEX(COUNTIF($C$3:C203, AllFilteredCFDAs[All CFDAs]),),0)), "")</f>
        <v/>
      </c>
      <c r="D204" s="6" t="str">
        <f t="array" ref="D204">IFERROR(INDEX(MemberOrgsData[FEDERALPROGRAMNAME], MATCH(1, (SelectMemberOrgs = MemberOrgsData[Auditee Name])*(Table11[[#This Row],[Unique CFDA]] = MemberOrgsData[CFDA]), 0)), "")</f>
        <v/>
      </c>
      <c r="E204" s="25" t="str">
        <f t="array" ref="E204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04" s="26" t="str">
        <f t="array" ref="F204">IFERROR(INDEX(BudgetAppropData[President % Change], MATCH(1, (Table11[[#This Row],[Unique CFDA]] = BudgetAppropData[CFDA])*(SelectBudgetYear = BudgetAppropData[Fiscal Year]), 0)), "")</f>
        <v/>
      </c>
      <c r="G204" s="25" t="str">
        <f>IF(Table11[[#This Row],[Unique CFDA]] = "", "", IFERROR(Table11[[#This Row],[FY 2018 Total]]*Table11[[#This Row],[President % Change]], ""))</f>
        <v/>
      </c>
      <c r="H204" s="26" t="str">
        <f t="array" ref="H204">IFERROR(INDEX(BudgetAppropData[House % Change], MATCH(1, (Table11[[#This Row],[Unique CFDA]] = BudgetAppropData[CFDA])*(SelectBudgetYear = BudgetAppropData[Fiscal Year]),0)), "")</f>
        <v/>
      </c>
      <c r="I204" s="25" t="str">
        <f>IF(Table11[[#This Row],[Unique CFDA]] = "", "", IFERROR(Table11[[#This Row],[FY 2018 Total]]*Table11[[#This Row],[House % Change]], ""))</f>
        <v/>
      </c>
      <c r="J204" s="6"/>
      <c r="K204" s="25" t="str">
        <f>IF(Table11[[#This Row],[Unique CFDA]] = "", "", IFERROR(Table11[[#This Row],[FY 2018 Total]]*Table11[[#This Row],[Senate Budget]], ""))</f>
        <v/>
      </c>
      <c r="L204" s="6" t="str">
        <f>IF(Table11[[#This Row],[Unique CFDA]] = "", "", IF(ISNUMBER(Table11[[#This Row],[President $ Change]]), RANK(Table11[[#This Row],[President $ Change]], Table11[President $ Change])+COUNTIF($G204:G204, G204)-1,0))</f>
        <v/>
      </c>
      <c r="N204">
        <v>201</v>
      </c>
      <c r="O204" t="str">
        <f>IFERROR(INDEX(Table11[Unique CFDA], MATCH(N204, Table11[Pres. Sort], 0)), "")</f>
        <v/>
      </c>
      <c r="P204" s="1" t="str">
        <f>IFERROR(INDEX(Table11[Grant Name], MATCH(MemberOrgFinalSort[[#This Row],[CFDA]], Table11[Unique CFDA], 0)), "")</f>
        <v/>
      </c>
      <c r="Q204" s="20" t="str">
        <f>IFERROR(INDEX(Table11[FY 2018 Total], MATCH(MemberOrgFinalSort[[#This Row],[CFDA]], Table11[Unique CFDA], 0)), "")</f>
        <v/>
      </c>
      <c r="R204" s="21" t="str">
        <f>IFERROR(INDEX(Table11[President % Change], MATCH(MemberOrgFinalSort[[#This Row],[CFDA]], Table11[Unique CFDA], 0)), "")</f>
        <v/>
      </c>
      <c r="S204" s="20" t="str">
        <f>IFERROR(INDEX(Table11[President $ Change], MATCH(MemberOrgFinalSort[[#This Row],[CFDA]], Table11[Unique CFDA], 0)), "")</f>
        <v/>
      </c>
      <c r="T204" s="32" t="str">
        <f>IFERROR(INDEX(Table11[House % Change], MATCH(MemberOrgFinalSort[[#This Row],[CFDA]], Table11[Unique CFDA], 0)), "")</f>
        <v/>
      </c>
      <c r="U204" s="32" t="str">
        <f>IFERROR(INDEX(Table11[House $ Change], MATCH(MemberOrgFinalSort[[#This Row],[CFDA]], Table11[Unique CFDA], 0)), "")</f>
        <v/>
      </c>
      <c r="V204" s="20"/>
      <c r="X204" s="6"/>
      <c r="Y204" s="6"/>
      <c r="Z204" s="6"/>
      <c r="AA204" s="6"/>
      <c r="AB204" s="6"/>
    </row>
    <row r="205" spans="1:28" x14ac:dyDescent="0.25">
      <c r="A205" t="str">
        <f>IF(MemberOrgControl!$C208 = "", "", INDEX(MemberOrgsData[CFDA], MemberOrgControl!$C208))</f>
        <v/>
      </c>
      <c r="C205" s="6" t="str">
        <f>IFERROR(INDEX(AllFilteredCFDAs[All CFDAs], MATCH(0, INDEX(COUNTIF($C$3:C204, AllFilteredCFDAs[All CFDAs]),),0)), "")</f>
        <v/>
      </c>
      <c r="D205" s="6" t="str">
        <f t="array" ref="D205">IFERROR(INDEX(MemberOrgsData[FEDERALPROGRAMNAME], MATCH(1, (SelectMemberOrgs = MemberOrgsData[Auditee Name])*(Table11[[#This Row],[Unique CFDA]] = MemberOrgsData[CFDA]), 0)), "")</f>
        <v/>
      </c>
      <c r="E205" s="25" t="str">
        <f t="array" ref="E205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05" s="26" t="str">
        <f t="array" ref="F205">IFERROR(INDEX(BudgetAppropData[President % Change], MATCH(1, (Table11[[#This Row],[Unique CFDA]] = BudgetAppropData[CFDA])*(SelectBudgetYear = BudgetAppropData[Fiscal Year]), 0)), "")</f>
        <v/>
      </c>
      <c r="G205" s="25" t="str">
        <f>IF(Table11[[#This Row],[Unique CFDA]] = "", "", IFERROR(Table11[[#This Row],[FY 2018 Total]]*Table11[[#This Row],[President % Change]], ""))</f>
        <v/>
      </c>
      <c r="H205" s="26" t="str">
        <f t="array" ref="H205">IFERROR(INDEX(BudgetAppropData[House % Change], MATCH(1, (Table11[[#This Row],[Unique CFDA]] = BudgetAppropData[CFDA])*(SelectBudgetYear = BudgetAppropData[Fiscal Year]),0)), "")</f>
        <v/>
      </c>
      <c r="I205" s="25" t="str">
        <f>IF(Table11[[#This Row],[Unique CFDA]] = "", "", IFERROR(Table11[[#This Row],[FY 2018 Total]]*Table11[[#This Row],[House % Change]], ""))</f>
        <v/>
      </c>
      <c r="J205" s="6"/>
      <c r="K205" s="25" t="str">
        <f>IF(Table11[[#This Row],[Unique CFDA]] = "", "", IFERROR(Table11[[#This Row],[FY 2018 Total]]*Table11[[#This Row],[Senate Budget]], ""))</f>
        <v/>
      </c>
      <c r="L205" s="6" t="str">
        <f>IF(Table11[[#This Row],[Unique CFDA]] = "", "", IF(ISNUMBER(Table11[[#This Row],[President $ Change]]), RANK(Table11[[#This Row],[President $ Change]], Table11[President $ Change])+COUNTIF($G205:G205, G205)-1,0))</f>
        <v/>
      </c>
      <c r="N205">
        <v>202</v>
      </c>
      <c r="O205" t="str">
        <f>IFERROR(INDEX(Table11[Unique CFDA], MATCH(N205, Table11[Pres. Sort], 0)), "")</f>
        <v/>
      </c>
      <c r="P205" s="1" t="str">
        <f>IFERROR(INDEX(Table11[Grant Name], MATCH(MemberOrgFinalSort[[#This Row],[CFDA]], Table11[Unique CFDA], 0)), "")</f>
        <v/>
      </c>
      <c r="Q205" s="20" t="str">
        <f>IFERROR(INDEX(Table11[FY 2018 Total], MATCH(MemberOrgFinalSort[[#This Row],[CFDA]], Table11[Unique CFDA], 0)), "")</f>
        <v/>
      </c>
      <c r="R205" s="21" t="str">
        <f>IFERROR(INDEX(Table11[President % Change], MATCH(MemberOrgFinalSort[[#This Row],[CFDA]], Table11[Unique CFDA], 0)), "")</f>
        <v/>
      </c>
      <c r="S205" s="20" t="str">
        <f>IFERROR(INDEX(Table11[President $ Change], MATCH(MemberOrgFinalSort[[#This Row],[CFDA]], Table11[Unique CFDA], 0)), "")</f>
        <v/>
      </c>
      <c r="T205" s="32" t="str">
        <f>IFERROR(INDEX(Table11[House % Change], MATCH(MemberOrgFinalSort[[#This Row],[CFDA]], Table11[Unique CFDA], 0)), "")</f>
        <v/>
      </c>
      <c r="U205" s="32" t="str">
        <f>IFERROR(INDEX(Table11[House $ Change], MATCH(MemberOrgFinalSort[[#This Row],[CFDA]], Table11[Unique CFDA], 0)), "")</f>
        <v/>
      </c>
      <c r="V205" s="20"/>
      <c r="X205" s="6"/>
      <c r="Y205" s="6"/>
      <c r="Z205" s="6"/>
      <c r="AA205" s="6"/>
      <c r="AB205" s="6"/>
    </row>
    <row r="206" spans="1:28" x14ac:dyDescent="0.25">
      <c r="A206" t="str">
        <f>IF(MemberOrgControl!$C209 = "", "", INDEX(MemberOrgsData[CFDA], MemberOrgControl!$C209))</f>
        <v/>
      </c>
      <c r="C206" s="6" t="str">
        <f>IFERROR(INDEX(AllFilteredCFDAs[All CFDAs], MATCH(0, INDEX(COUNTIF($C$3:C205, AllFilteredCFDAs[All CFDAs]),),0)), "")</f>
        <v/>
      </c>
      <c r="D206" s="6" t="str">
        <f t="array" ref="D206">IFERROR(INDEX(MemberOrgsData[FEDERALPROGRAMNAME], MATCH(1, (SelectMemberOrgs = MemberOrgsData[Auditee Name])*(Table11[[#This Row],[Unique CFDA]] = MemberOrgsData[CFDA]), 0)), "")</f>
        <v/>
      </c>
      <c r="E206" s="25" t="str">
        <f t="array" ref="E206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06" s="26" t="str">
        <f t="array" ref="F206">IFERROR(INDEX(BudgetAppropData[President % Change], MATCH(1, (Table11[[#This Row],[Unique CFDA]] = BudgetAppropData[CFDA])*(SelectBudgetYear = BudgetAppropData[Fiscal Year]), 0)), "")</f>
        <v/>
      </c>
      <c r="G206" s="25" t="str">
        <f>IF(Table11[[#This Row],[Unique CFDA]] = "", "", IFERROR(Table11[[#This Row],[FY 2018 Total]]*Table11[[#This Row],[President % Change]], ""))</f>
        <v/>
      </c>
      <c r="H206" s="26" t="str">
        <f t="array" ref="H206">IFERROR(INDEX(BudgetAppropData[House % Change], MATCH(1, (Table11[[#This Row],[Unique CFDA]] = BudgetAppropData[CFDA])*(SelectBudgetYear = BudgetAppropData[Fiscal Year]),0)), "")</f>
        <v/>
      </c>
      <c r="I206" s="25" t="str">
        <f>IF(Table11[[#This Row],[Unique CFDA]] = "", "", IFERROR(Table11[[#This Row],[FY 2018 Total]]*Table11[[#This Row],[House % Change]], ""))</f>
        <v/>
      </c>
      <c r="J206" s="6"/>
      <c r="K206" s="25" t="str">
        <f>IF(Table11[[#This Row],[Unique CFDA]] = "", "", IFERROR(Table11[[#This Row],[FY 2018 Total]]*Table11[[#This Row],[Senate Budget]], ""))</f>
        <v/>
      </c>
      <c r="L206" s="6" t="str">
        <f>IF(Table11[[#This Row],[Unique CFDA]] = "", "", IF(ISNUMBER(Table11[[#This Row],[President $ Change]]), RANK(Table11[[#This Row],[President $ Change]], Table11[President $ Change])+COUNTIF($G206:G206, G206)-1,0))</f>
        <v/>
      </c>
      <c r="N206">
        <v>203</v>
      </c>
      <c r="O206" t="str">
        <f>IFERROR(INDEX(Table11[Unique CFDA], MATCH(N206, Table11[Pres. Sort], 0)), "")</f>
        <v/>
      </c>
      <c r="P206" s="1" t="str">
        <f>IFERROR(INDEX(Table11[Grant Name], MATCH(MemberOrgFinalSort[[#This Row],[CFDA]], Table11[Unique CFDA], 0)), "")</f>
        <v/>
      </c>
      <c r="Q206" s="20" t="str">
        <f>IFERROR(INDEX(Table11[FY 2018 Total], MATCH(MemberOrgFinalSort[[#This Row],[CFDA]], Table11[Unique CFDA], 0)), "")</f>
        <v/>
      </c>
      <c r="R206" s="21" t="str">
        <f>IFERROR(INDEX(Table11[President % Change], MATCH(MemberOrgFinalSort[[#This Row],[CFDA]], Table11[Unique CFDA], 0)), "")</f>
        <v/>
      </c>
      <c r="S206" s="20" t="str">
        <f>IFERROR(INDEX(Table11[President $ Change], MATCH(MemberOrgFinalSort[[#This Row],[CFDA]], Table11[Unique CFDA], 0)), "")</f>
        <v/>
      </c>
      <c r="T206" s="32" t="str">
        <f>IFERROR(INDEX(Table11[House % Change], MATCH(MemberOrgFinalSort[[#This Row],[CFDA]], Table11[Unique CFDA], 0)), "")</f>
        <v/>
      </c>
      <c r="U206" s="32" t="str">
        <f>IFERROR(INDEX(Table11[House $ Change], MATCH(MemberOrgFinalSort[[#This Row],[CFDA]], Table11[Unique CFDA], 0)), "")</f>
        <v/>
      </c>
      <c r="V206" s="20"/>
      <c r="X206" s="6"/>
      <c r="Y206" s="6"/>
      <c r="Z206" s="6"/>
      <c r="AA206" s="6"/>
      <c r="AB206" s="6"/>
    </row>
    <row r="207" spans="1:28" x14ac:dyDescent="0.25">
      <c r="A207" t="str">
        <f>IF(MemberOrgControl!$C210 = "", "", INDEX(MemberOrgsData[CFDA], MemberOrgControl!$C210))</f>
        <v/>
      </c>
      <c r="C207" s="6" t="str">
        <f>IFERROR(INDEX(AllFilteredCFDAs[All CFDAs], MATCH(0, INDEX(COUNTIF($C$3:C206, AllFilteredCFDAs[All CFDAs]),),0)), "")</f>
        <v/>
      </c>
      <c r="D207" s="6" t="str">
        <f t="array" ref="D207">IFERROR(INDEX(MemberOrgsData[FEDERALPROGRAMNAME], MATCH(1, (SelectMemberOrgs = MemberOrgsData[Auditee Name])*(Table11[[#This Row],[Unique CFDA]] = MemberOrgsData[CFDA]), 0)), "")</f>
        <v/>
      </c>
      <c r="E207" s="25" t="str">
        <f t="array" ref="E207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07" s="26" t="str">
        <f t="array" ref="F207">IFERROR(INDEX(BudgetAppropData[President % Change], MATCH(1, (Table11[[#This Row],[Unique CFDA]] = BudgetAppropData[CFDA])*(SelectBudgetYear = BudgetAppropData[Fiscal Year]), 0)), "")</f>
        <v/>
      </c>
      <c r="G207" s="25" t="str">
        <f>IF(Table11[[#This Row],[Unique CFDA]] = "", "", IFERROR(Table11[[#This Row],[FY 2018 Total]]*Table11[[#This Row],[President % Change]], ""))</f>
        <v/>
      </c>
      <c r="H207" s="26" t="str">
        <f t="array" ref="H207">IFERROR(INDEX(BudgetAppropData[House % Change], MATCH(1, (Table11[[#This Row],[Unique CFDA]] = BudgetAppropData[CFDA])*(SelectBudgetYear = BudgetAppropData[Fiscal Year]),0)), "")</f>
        <v/>
      </c>
      <c r="I207" s="25" t="str">
        <f>IF(Table11[[#This Row],[Unique CFDA]] = "", "", IFERROR(Table11[[#This Row],[FY 2018 Total]]*Table11[[#This Row],[House % Change]], ""))</f>
        <v/>
      </c>
      <c r="J207" s="6"/>
      <c r="K207" s="25" t="str">
        <f>IF(Table11[[#This Row],[Unique CFDA]] = "", "", IFERROR(Table11[[#This Row],[FY 2018 Total]]*Table11[[#This Row],[Senate Budget]], ""))</f>
        <v/>
      </c>
      <c r="L207" s="6" t="str">
        <f>IF(Table11[[#This Row],[Unique CFDA]] = "", "", IF(ISNUMBER(Table11[[#This Row],[President $ Change]]), RANK(Table11[[#This Row],[President $ Change]], Table11[President $ Change])+COUNTIF($G207:G207, G207)-1,0))</f>
        <v/>
      </c>
      <c r="N207">
        <v>204</v>
      </c>
      <c r="O207" t="str">
        <f>IFERROR(INDEX(Table11[Unique CFDA], MATCH(N207, Table11[Pres. Sort], 0)), "")</f>
        <v/>
      </c>
      <c r="P207" s="1" t="str">
        <f>IFERROR(INDEX(Table11[Grant Name], MATCH(MemberOrgFinalSort[[#This Row],[CFDA]], Table11[Unique CFDA], 0)), "")</f>
        <v/>
      </c>
      <c r="Q207" s="20" t="str">
        <f>IFERROR(INDEX(Table11[FY 2018 Total], MATCH(MemberOrgFinalSort[[#This Row],[CFDA]], Table11[Unique CFDA], 0)), "")</f>
        <v/>
      </c>
      <c r="R207" s="21" t="str">
        <f>IFERROR(INDEX(Table11[President % Change], MATCH(MemberOrgFinalSort[[#This Row],[CFDA]], Table11[Unique CFDA], 0)), "")</f>
        <v/>
      </c>
      <c r="S207" s="20" t="str">
        <f>IFERROR(INDEX(Table11[President $ Change], MATCH(MemberOrgFinalSort[[#This Row],[CFDA]], Table11[Unique CFDA], 0)), "")</f>
        <v/>
      </c>
      <c r="T207" s="32" t="str">
        <f>IFERROR(INDEX(Table11[House % Change], MATCH(MemberOrgFinalSort[[#This Row],[CFDA]], Table11[Unique CFDA], 0)), "")</f>
        <v/>
      </c>
      <c r="U207" s="32" t="str">
        <f>IFERROR(INDEX(Table11[House $ Change], MATCH(MemberOrgFinalSort[[#This Row],[CFDA]], Table11[Unique CFDA], 0)), "")</f>
        <v/>
      </c>
      <c r="V207" s="20"/>
      <c r="X207" s="6"/>
      <c r="Y207" s="6"/>
      <c r="Z207" s="6"/>
      <c r="AA207" s="6"/>
      <c r="AB207" s="6"/>
    </row>
    <row r="208" spans="1:28" x14ac:dyDescent="0.25">
      <c r="A208" t="str">
        <f>IF(MemberOrgControl!$C211 = "", "", INDEX(MemberOrgsData[CFDA], MemberOrgControl!$C211))</f>
        <v/>
      </c>
      <c r="C208" s="6" t="str">
        <f>IFERROR(INDEX(AllFilteredCFDAs[All CFDAs], MATCH(0, INDEX(COUNTIF($C$3:C207, AllFilteredCFDAs[All CFDAs]),),0)), "")</f>
        <v/>
      </c>
      <c r="D208" s="6" t="str">
        <f t="array" ref="D208">IFERROR(INDEX(MemberOrgsData[FEDERALPROGRAMNAME], MATCH(1, (SelectMemberOrgs = MemberOrgsData[Auditee Name])*(Table11[[#This Row],[Unique CFDA]] = MemberOrgsData[CFDA]), 0)), "")</f>
        <v/>
      </c>
      <c r="E208" s="25" t="str">
        <f t="array" ref="E208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08" s="26" t="str">
        <f t="array" ref="F208">IFERROR(INDEX(BudgetAppropData[President % Change], MATCH(1, (Table11[[#This Row],[Unique CFDA]] = BudgetAppropData[CFDA])*(SelectBudgetYear = BudgetAppropData[Fiscal Year]), 0)), "")</f>
        <v/>
      </c>
      <c r="G208" s="25" t="str">
        <f>IF(Table11[[#This Row],[Unique CFDA]] = "", "", IFERROR(Table11[[#This Row],[FY 2018 Total]]*Table11[[#This Row],[President % Change]], ""))</f>
        <v/>
      </c>
      <c r="H208" s="26" t="str">
        <f t="array" ref="H208">IFERROR(INDEX(BudgetAppropData[House % Change], MATCH(1, (Table11[[#This Row],[Unique CFDA]] = BudgetAppropData[CFDA])*(SelectBudgetYear = BudgetAppropData[Fiscal Year]),0)), "")</f>
        <v/>
      </c>
      <c r="I208" s="25" t="str">
        <f>IF(Table11[[#This Row],[Unique CFDA]] = "", "", IFERROR(Table11[[#This Row],[FY 2018 Total]]*Table11[[#This Row],[House % Change]], ""))</f>
        <v/>
      </c>
      <c r="J208" s="6"/>
      <c r="K208" s="25" t="str">
        <f>IF(Table11[[#This Row],[Unique CFDA]] = "", "", IFERROR(Table11[[#This Row],[FY 2018 Total]]*Table11[[#This Row],[Senate Budget]], ""))</f>
        <v/>
      </c>
      <c r="L208" s="6" t="str">
        <f>IF(Table11[[#This Row],[Unique CFDA]] = "", "", IF(ISNUMBER(Table11[[#This Row],[President $ Change]]), RANK(Table11[[#This Row],[President $ Change]], Table11[President $ Change])+COUNTIF($G208:G208, G208)-1,0))</f>
        <v/>
      </c>
      <c r="N208">
        <v>205</v>
      </c>
      <c r="O208" t="str">
        <f>IFERROR(INDEX(Table11[Unique CFDA], MATCH(N208, Table11[Pres. Sort], 0)), "")</f>
        <v/>
      </c>
      <c r="P208" s="1" t="str">
        <f>IFERROR(INDEX(Table11[Grant Name], MATCH(MemberOrgFinalSort[[#This Row],[CFDA]], Table11[Unique CFDA], 0)), "")</f>
        <v/>
      </c>
      <c r="Q208" s="20" t="str">
        <f>IFERROR(INDEX(Table11[FY 2018 Total], MATCH(MemberOrgFinalSort[[#This Row],[CFDA]], Table11[Unique CFDA], 0)), "")</f>
        <v/>
      </c>
      <c r="R208" s="21" t="str">
        <f>IFERROR(INDEX(Table11[President % Change], MATCH(MemberOrgFinalSort[[#This Row],[CFDA]], Table11[Unique CFDA], 0)), "")</f>
        <v/>
      </c>
      <c r="S208" s="20" t="str">
        <f>IFERROR(INDEX(Table11[President $ Change], MATCH(MemberOrgFinalSort[[#This Row],[CFDA]], Table11[Unique CFDA], 0)), "")</f>
        <v/>
      </c>
      <c r="T208" s="32" t="str">
        <f>IFERROR(INDEX(Table11[House % Change], MATCH(MemberOrgFinalSort[[#This Row],[CFDA]], Table11[Unique CFDA], 0)), "")</f>
        <v/>
      </c>
      <c r="U208" s="32" t="str">
        <f>IFERROR(INDEX(Table11[House $ Change], MATCH(MemberOrgFinalSort[[#This Row],[CFDA]], Table11[Unique CFDA], 0)), "")</f>
        <v/>
      </c>
      <c r="V208" s="20"/>
      <c r="X208" s="6"/>
      <c r="Y208" s="6"/>
      <c r="Z208" s="6"/>
      <c r="AA208" s="6"/>
      <c r="AB208" s="6"/>
    </row>
    <row r="209" spans="1:28" x14ac:dyDescent="0.25">
      <c r="A209" t="str">
        <f>IF(MemberOrgControl!$C212 = "", "", INDEX(MemberOrgsData[CFDA], MemberOrgControl!$C212))</f>
        <v/>
      </c>
      <c r="C209" s="6" t="str">
        <f>IFERROR(INDEX(AllFilteredCFDAs[All CFDAs], MATCH(0, INDEX(COUNTIF($C$3:C208, AllFilteredCFDAs[All CFDAs]),),0)), "")</f>
        <v/>
      </c>
      <c r="D209" s="6" t="str">
        <f t="array" ref="D209">IFERROR(INDEX(MemberOrgsData[FEDERALPROGRAMNAME], MATCH(1, (SelectMemberOrgs = MemberOrgsData[Auditee Name])*(Table11[[#This Row],[Unique CFDA]] = MemberOrgsData[CFDA]), 0)), "")</f>
        <v/>
      </c>
      <c r="E209" s="25" t="str">
        <f t="array" ref="E209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09" s="26" t="str">
        <f t="array" ref="F209">IFERROR(INDEX(BudgetAppropData[President % Change], MATCH(1, (Table11[[#This Row],[Unique CFDA]] = BudgetAppropData[CFDA])*(SelectBudgetYear = BudgetAppropData[Fiscal Year]), 0)), "")</f>
        <v/>
      </c>
      <c r="G209" s="25" t="str">
        <f>IF(Table11[[#This Row],[Unique CFDA]] = "", "", IFERROR(Table11[[#This Row],[FY 2018 Total]]*Table11[[#This Row],[President % Change]], ""))</f>
        <v/>
      </c>
      <c r="H209" s="26" t="str">
        <f t="array" ref="H209">IFERROR(INDEX(BudgetAppropData[House % Change], MATCH(1, (Table11[[#This Row],[Unique CFDA]] = BudgetAppropData[CFDA])*(SelectBudgetYear = BudgetAppropData[Fiscal Year]),0)), "")</f>
        <v/>
      </c>
      <c r="I209" s="25" t="str">
        <f>IF(Table11[[#This Row],[Unique CFDA]] = "", "", IFERROR(Table11[[#This Row],[FY 2018 Total]]*Table11[[#This Row],[House % Change]], ""))</f>
        <v/>
      </c>
      <c r="J209" s="6"/>
      <c r="K209" s="25" t="str">
        <f>IF(Table11[[#This Row],[Unique CFDA]] = "", "", IFERROR(Table11[[#This Row],[FY 2018 Total]]*Table11[[#This Row],[Senate Budget]], ""))</f>
        <v/>
      </c>
      <c r="L209" s="6" t="str">
        <f>IF(Table11[[#This Row],[Unique CFDA]] = "", "", IF(ISNUMBER(Table11[[#This Row],[President $ Change]]), RANK(Table11[[#This Row],[President $ Change]], Table11[President $ Change])+COUNTIF($G209:G209, G209)-1,0))</f>
        <v/>
      </c>
      <c r="N209">
        <v>206</v>
      </c>
      <c r="O209" t="str">
        <f>IFERROR(INDEX(Table11[Unique CFDA], MATCH(N209, Table11[Pres. Sort], 0)), "")</f>
        <v/>
      </c>
      <c r="P209" s="1" t="str">
        <f>IFERROR(INDEX(Table11[Grant Name], MATCH(MemberOrgFinalSort[[#This Row],[CFDA]], Table11[Unique CFDA], 0)), "")</f>
        <v/>
      </c>
      <c r="Q209" s="20" t="str">
        <f>IFERROR(INDEX(Table11[FY 2018 Total], MATCH(MemberOrgFinalSort[[#This Row],[CFDA]], Table11[Unique CFDA], 0)), "")</f>
        <v/>
      </c>
      <c r="R209" s="21" t="str">
        <f>IFERROR(INDEX(Table11[President % Change], MATCH(MemberOrgFinalSort[[#This Row],[CFDA]], Table11[Unique CFDA], 0)), "")</f>
        <v/>
      </c>
      <c r="S209" s="20" t="str">
        <f>IFERROR(INDEX(Table11[President $ Change], MATCH(MemberOrgFinalSort[[#This Row],[CFDA]], Table11[Unique CFDA], 0)), "")</f>
        <v/>
      </c>
      <c r="T209" s="32" t="str">
        <f>IFERROR(INDEX(Table11[House % Change], MATCH(MemberOrgFinalSort[[#This Row],[CFDA]], Table11[Unique CFDA], 0)), "")</f>
        <v/>
      </c>
      <c r="U209" s="32" t="str">
        <f>IFERROR(INDEX(Table11[House $ Change], MATCH(MemberOrgFinalSort[[#This Row],[CFDA]], Table11[Unique CFDA], 0)), "")</f>
        <v/>
      </c>
      <c r="V209" s="20"/>
      <c r="X209" s="6"/>
      <c r="Y209" s="6"/>
      <c r="Z209" s="6"/>
      <c r="AA209" s="6"/>
      <c r="AB209" s="6"/>
    </row>
    <row r="210" spans="1:28" x14ac:dyDescent="0.25">
      <c r="A210" t="str">
        <f>IF(MemberOrgControl!$C213 = "", "", INDEX(MemberOrgsData[CFDA], MemberOrgControl!$C213))</f>
        <v/>
      </c>
      <c r="C210" s="6" t="str">
        <f>IFERROR(INDEX(AllFilteredCFDAs[All CFDAs], MATCH(0, INDEX(COUNTIF($C$3:C209, AllFilteredCFDAs[All CFDAs]),),0)), "")</f>
        <v/>
      </c>
      <c r="D210" s="6" t="str">
        <f t="array" ref="D210">IFERROR(INDEX(MemberOrgsData[FEDERALPROGRAMNAME], MATCH(1, (SelectMemberOrgs = MemberOrgsData[Auditee Name])*(Table11[[#This Row],[Unique CFDA]] = MemberOrgsData[CFDA]), 0)), "")</f>
        <v/>
      </c>
      <c r="E210" s="25" t="str">
        <f t="array" ref="E210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10" s="26" t="str">
        <f t="array" ref="F210">IFERROR(INDEX(BudgetAppropData[President % Change], MATCH(1, (Table11[[#This Row],[Unique CFDA]] = BudgetAppropData[CFDA])*(SelectBudgetYear = BudgetAppropData[Fiscal Year]), 0)), "")</f>
        <v/>
      </c>
      <c r="G210" s="25" t="str">
        <f>IF(Table11[[#This Row],[Unique CFDA]] = "", "", IFERROR(Table11[[#This Row],[FY 2018 Total]]*Table11[[#This Row],[President % Change]], ""))</f>
        <v/>
      </c>
      <c r="H210" s="26" t="str">
        <f t="array" ref="H210">IFERROR(INDEX(BudgetAppropData[House % Change], MATCH(1, (Table11[[#This Row],[Unique CFDA]] = BudgetAppropData[CFDA])*(SelectBudgetYear = BudgetAppropData[Fiscal Year]),0)), "")</f>
        <v/>
      </c>
      <c r="I210" s="25" t="str">
        <f>IF(Table11[[#This Row],[Unique CFDA]] = "", "", IFERROR(Table11[[#This Row],[FY 2018 Total]]*Table11[[#This Row],[House % Change]], ""))</f>
        <v/>
      </c>
      <c r="J210" s="6"/>
      <c r="K210" s="25" t="str">
        <f>IF(Table11[[#This Row],[Unique CFDA]] = "", "", IFERROR(Table11[[#This Row],[FY 2018 Total]]*Table11[[#This Row],[Senate Budget]], ""))</f>
        <v/>
      </c>
      <c r="L210" s="6" t="str">
        <f>IF(Table11[[#This Row],[Unique CFDA]] = "", "", IF(ISNUMBER(Table11[[#This Row],[President $ Change]]), RANK(Table11[[#This Row],[President $ Change]], Table11[President $ Change])+COUNTIF($G210:G210, G210)-1,0))</f>
        <v/>
      </c>
      <c r="N210">
        <v>207</v>
      </c>
      <c r="O210" t="str">
        <f>IFERROR(INDEX(Table11[Unique CFDA], MATCH(N210, Table11[Pres. Sort], 0)), "")</f>
        <v/>
      </c>
      <c r="P210" s="1" t="str">
        <f>IFERROR(INDEX(Table11[Grant Name], MATCH(MemberOrgFinalSort[[#This Row],[CFDA]], Table11[Unique CFDA], 0)), "")</f>
        <v/>
      </c>
      <c r="Q210" s="20" t="str">
        <f>IFERROR(INDEX(Table11[FY 2018 Total], MATCH(MemberOrgFinalSort[[#This Row],[CFDA]], Table11[Unique CFDA], 0)), "")</f>
        <v/>
      </c>
      <c r="R210" s="21" t="str">
        <f>IFERROR(INDEX(Table11[President % Change], MATCH(MemberOrgFinalSort[[#This Row],[CFDA]], Table11[Unique CFDA], 0)), "")</f>
        <v/>
      </c>
      <c r="S210" s="20" t="str">
        <f>IFERROR(INDEX(Table11[President $ Change], MATCH(MemberOrgFinalSort[[#This Row],[CFDA]], Table11[Unique CFDA], 0)), "")</f>
        <v/>
      </c>
      <c r="T210" s="32" t="str">
        <f>IFERROR(INDEX(Table11[House % Change], MATCH(MemberOrgFinalSort[[#This Row],[CFDA]], Table11[Unique CFDA], 0)), "")</f>
        <v/>
      </c>
      <c r="U210" s="32" t="str">
        <f>IFERROR(INDEX(Table11[House $ Change], MATCH(MemberOrgFinalSort[[#This Row],[CFDA]], Table11[Unique CFDA], 0)), "")</f>
        <v/>
      </c>
      <c r="V210" s="20"/>
      <c r="X210" s="6"/>
      <c r="Y210" s="6"/>
      <c r="Z210" s="6"/>
      <c r="AA210" s="6"/>
      <c r="AB210" s="6"/>
    </row>
    <row r="211" spans="1:28" x14ac:dyDescent="0.25">
      <c r="A211" t="str">
        <f>IF(MemberOrgControl!$C214 = "", "", INDEX(MemberOrgsData[CFDA], MemberOrgControl!$C214))</f>
        <v/>
      </c>
      <c r="C211" s="6" t="str">
        <f>IFERROR(INDEX(AllFilteredCFDAs[All CFDAs], MATCH(0, INDEX(COUNTIF($C$3:C210, AllFilteredCFDAs[All CFDAs]),),0)), "")</f>
        <v/>
      </c>
      <c r="D211" s="6" t="str">
        <f t="array" ref="D211">IFERROR(INDEX(MemberOrgsData[FEDERALPROGRAMNAME], MATCH(1, (SelectMemberOrgs = MemberOrgsData[Auditee Name])*(Table11[[#This Row],[Unique CFDA]] = MemberOrgsData[CFDA]), 0)), "")</f>
        <v/>
      </c>
      <c r="E211" s="25" t="str">
        <f t="array" ref="E211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11" s="26" t="str">
        <f t="array" ref="F211">IFERROR(INDEX(BudgetAppropData[President % Change], MATCH(1, (Table11[[#This Row],[Unique CFDA]] = BudgetAppropData[CFDA])*(SelectBudgetYear = BudgetAppropData[Fiscal Year]), 0)), "")</f>
        <v/>
      </c>
      <c r="G211" s="25" t="str">
        <f>IF(Table11[[#This Row],[Unique CFDA]] = "", "", IFERROR(Table11[[#This Row],[FY 2018 Total]]*Table11[[#This Row],[President % Change]], ""))</f>
        <v/>
      </c>
      <c r="H211" s="26" t="str">
        <f t="array" ref="H211">IFERROR(INDEX(BudgetAppropData[House % Change], MATCH(1, (Table11[[#This Row],[Unique CFDA]] = BudgetAppropData[CFDA])*(SelectBudgetYear = BudgetAppropData[Fiscal Year]),0)), "")</f>
        <v/>
      </c>
      <c r="I211" s="25" t="str">
        <f>IF(Table11[[#This Row],[Unique CFDA]] = "", "", IFERROR(Table11[[#This Row],[FY 2018 Total]]*Table11[[#This Row],[House % Change]], ""))</f>
        <v/>
      </c>
      <c r="J211" s="6"/>
      <c r="K211" s="25" t="str">
        <f>IF(Table11[[#This Row],[Unique CFDA]] = "", "", IFERROR(Table11[[#This Row],[FY 2018 Total]]*Table11[[#This Row],[Senate Budget]], ""))</f>
        <v/>
      </c>
      <c r="L211" s="6" t="str">
        <f>IF(Table11[[#This Row],[Unique CFDA]] = "", "", IF(ISNUMBER(Table11[[#This Row],[President $ Change]]), RANK(Table11[[#This Row],[President $ Change]], Table11[President $ Change])+COUNTIF($G211:G211, G211)-1,0))</f>
        <v/>
      </c>
      <c r="N211">
        <v>208</v>
      </c>
      <c r="O211" t="str">
        <f>IFERROR(INDEX(Table11[Unique CFDA], MATCH(N211, Table11[Pres. Sort], 0)), "")</f>
        <v/>
      </c>
      <c r="P211" s="1" t="str">
        <f>IFERROR(INDEX(Table11[Grant Name], MATCH(MemberOrgFinalSort[[#This Row],[CFDA]], Table11[Unique CFDA], 0)), "")</f>
        <v/>
      </c>
      <c r="Q211" s="20" t="str">
        <f>IFERROR(INDEX(Table11[FY 2018 Total], MATCH(MemberOrgFinalSort[[#This Row],[CFDA]], Table11[Unique CFDA], 0)), "")</f>
        <v/>
      </c>
      <c r="R211" s="21" t="str">
        <f>IFERROR(INDEX(Table11[President % Change], MATCH(MemberOrgFinalSort[[#This Row],[CFDA]], Table11[Unique CFDA], 0)), "")</f>
        <v/>
      </c>
      <c r="S211" s="20" t="str">
        <f>IFERROR(INDEX(Table11[President $ Change], MATCH(MemberOrgFinalSort[[#This Row],[CFDA]], Table11[Unique CFDA], 0)), "")</f>
        <v/>
      </c>
      <c r="T211" s="32" t="str">
        <f>IFERROR(INDEX(Table11[House % Change], MATCH(MemberOrgFinalSort[[#This Row],[CFDA]], Table11[Unique CFDA], 0)), "")</f>
        <v/>
      </c>
      <c r="U211" s="32" t="str">
        <f>IFERROR(INDEX(Table11[House $ Change], MATCH(MemberOrgFinalSort[[#This Row],[CFDA]], Table11[Unique CFDA], 0)), "")</f>
        <v/>
      </c>
      <c r="V211" s="20"/>
      <c r="X211" s="6"/>
      <c r="Y211" s="6"/>
      <c r="Z211" s="6"/>
      <c r="AA211" s="6"/>
      <c r="AB211" s="6"/>
    </row>
    <row r="212" spans="1:28" x14ac:dyDescent="0.25">
      <c r="A212" t="str">
        <f>IF(MemberOrgControl!$C215 = "", "", INDEX(MemberOrgsData[CFDA], MemberOrgControl!$C215))</f>
        <v/>
      </c>
      <c r="C212" s="6" t="str">
        <f>IFERROR(INDEX(AllFilteredCFDAs[All CFDAs], MATCH(0, INDEX(COUNTIF($C$3:C211, AllFilteredCFDAs[All CFDAs]),),0)), "")</f>
        <v/>
      </c>
      <c r="D212" s="6" t="str">
        <f t="array" ref="D212">IFERROR(INDEX(MemberOrgsData[FEDERALPROGRAMNAME], MATCH(1, (SelectMemberOrgs = MemberOrgsData[Auditee Name])*(Table11[[#This Row],[Unique CFDA]] = MemberOrgsData[CFDA]), 0)), "")</f>
        <v/>
      </c>
      <c r="E212" s="25" t="str">
        <f t="array" ref="E212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12" s="26" t="str">
        <f t="array" ref="F212">IFERROR(INDEX(BudgetAppropData[President % Change], MATCH(1, (Table11[[#This Row],[Unique CFDA]] = BudgetAppropData[CFDA])*(SelectBudgetYear = BudgetAppropData[Fiscal Year]), 0)), "")</f>
        <v/>
      </c>
      <c r="G212" s="25" t="str">
        <f>IF(Table11[[#This Row],[Unique CFDA]] = "", "", IFERROR(Table11[[#This Row],[FY 2018 Total]]*Table11[[#This Row],[President % Change]], ""))</f>
        <v/>
      </c>
      <c r="H212" s="26" t="str">
        <f t="array" ref="H212">IFERROR(INDEX(BudgetAppropData[House % Change], MATCH(1, (Table11[[#This Row],[Unique CFDA]] = BudgetAppropData[CFDA])*(SelectBudgetYear = BudgetAppropData[Fiscal Year]),0)), "")</f>
        <v/>
      </c>
      <c r="I212" s="25" t="str">
        <f>IF(Table11[[#This Row],[Unique CFDA]] = "", "", IFERROR(Table11[[#This Row],[FY 2018 Total]]*Table11[[#This Row],[House % Change]], ""))</f>
        <v/>
      </c>
      <c r="J212" s="6"/>
      <c r="K212" s="25" t="str">
        <f>IF(Table11[[#This Row],[Unique CFDA]] = "", "", IFERROR(Table11[[#This Row],[FY 2018 Total]]*Table11[[#This Row],[Senate Budget]], ""))</f>
        <v/>
      </c>
      <c r="L212" s="6" t="str">
        <f>IF(Table11[[#This Row],[Unique CFDA]] = "", "", IF(ISNUMBER(Table11[[#This Row],[President $ Change]]), RANK(Table11[[#This Row],[President $ Change]], Table11[President $ Change])+COUNTIF($G212:G212, G212)-1,0))</f>
        <v/>
      </c>
      <c r="N212">
        <v>209</v>
      </c>
      <c r="O212" t="str">
        <f>IFERROR(INDEX(Table11[Unique CFDA], MATCH(N212, Table11[Pres. Sort], 0)), "")</f>
        <v/>
      </c>
      <c r="P212" s="1" t="str">
        <f>IFERROR(INDEX(Table11[Grant Name], MATCH(MemberOrgFinalSort[[#This Row],[CFDA]], Table11[Unique CFDA], 0)), "")</f>
        <v/>
      </c>
      <c r="Q212" s="20" t="str">
        <f>IFERROR(INDEX(Table11[FY 2018 Total], MATCH(MemberOrgFinalSort[[#This Row],[CFDA]], Table11[Unique CFDA], 0)), "")</f>
        <v/>
      </c>
      <c r="R212" s="21" t="str">
        <f>IFERROR(INDEX(Table11[President % Change], MATCH(MemberOrgFinalSort[[#This Row],[CFDA]], Table11[Unique CFDA], 0)), "")</f>
        <v/>
      </c>
      <c r="S212" s="20" t="str">
        <f>IFERROR(INDEX(Table11[President $ Change], MATCH(MemberOrgFinalSort[[#This Row],[CFDA]], Table11[Unique CFDA], 0)), "")</f>
        <v/>
      </c>
      <c r="T212" s="32" t="str">
        <f>IFERROR(INDEX(Table11[House % Change], MATCH(MemberOrgFinalSort[[#This Row],[CFDA]], Table11[Unique CFDA], 0)), "")</f>
        <v/>
      </c>
      <c r="U212" s="32" t="str">
        <f>IFERROR(INDEX(Table11[House $ Change], MATCH(MemberOrgFinalSort[[#This Row],[CFDA]], Table11[Unique CFDA], 0)), "")</f>
        <v/>
      </c>
      <c r="V212" s="20"/>
      <c r="X212" s="6"/>
      <c r="Y212" s="6"/>
      <c r="Z212" s="6"/>
      <c r="AA212" s="6"/>
      <c r="AB212" s="6"/>
    </row>
    <row r="213" spans="1:28" x14ac:dyDescent="0.25">
      <c r="A213" t="str">
        <f>IF(MemberOrgControl!$C216 = "", "", INDEX(MemberOrgsData[CFDA], MemberOrgControl!$C216))</f>
        <v/>
      </c>
      <c r="C213" s="6" t="str">
        <f>IFERROR(INDEX(AllFilteredCFDAs[All CFDAs], MATCH(0, INDEX(COUNTIF($C$3:C212, AllFilteredCFDAs[All CFDAs]),),0)), "")</f>
        <v/>
      </c>
      <c r="D213" s="6" t="str">
        <f t="array" ref="D213">IFERROR(INDEX(MemberOrgsData[FEDERALPROGRAMNAME], MATCH(1, (SelectMemberOrgs = MemberOrgsData[Auditee Name])*(Table11[[#This Row],[Unique CFDA]] = MemberOrgsData[CFDA]), 0)), "")</f>
        <v/>
      </c>
      <c r="E213" s="25" t="str">
        <f t="array" ref="E213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13" s="26" t="str">
        <f t="array" ref="F213">IFERROR(INDEX(BudgetAppropData[President % Change], MATCH(1, (Table11[[#This Row],[Unique CFDA]] = BudgetAppropData[CFDA])*(SelectBudgetYear = BudgetAppropData[Fiscal Year]), 0)), "")</f>
        <v/>
      </c>
      <c r="G213" s="25" t="str">
        <f>IF(Table11[[#This Row],[Unique CFDA]] = "", "", IFERROR(Table11[[#This Row],[FY 2018 Total]]*Table11[[#This Row],[President % Change]], ""))</f>
        <v/>
      </c>
      <c r="H213" s="26" t="str">
        <f t="array" ref="H213">IFERROR(INDEX(BudgetAppropData[House % Change], MATCH(1, (Table11[[#This Row],[Unique CFDA]] = BudgetAppropData[CFDA])*(SelectBudgetYear = BudgetAppropData[Fiscal Year]),0)), "")</f>
        <v/>
      </c>
      <c r="I213" s="25" t="str">
        <f>IF(Table11[[#This Row],[Unique CFDA]] = "", "", IFERROR(Table11[[#This Row],[FY 2018 Total]]*Table11[[#This Row],[House % Change]], ""))</f>
        <v/>
      </c>
      <c r="J213" s="6"/>
      <c r="K213" s="25" t="str">
        <f>IF(Table11[[#This Row],[Unique CFDA]] = "", "", IFERROR(Table11[[#This Row],[FY 2018 Total]]*Table11[[#This Row],[Senate Budget]], ""))</f>
        <v/>
      </c>
      <c r="L213" s="6" t="str">
        <f>IF(Table11[[#This Row],[Unique CFDA]] = "", "", IF(ISNUMBER(Table11[[#This Row],[President $ Change]]), RANK(Table11[[#This Row],[President $ Change]], Table11[President $ Change])+COUNTIF($G213:G213, G213)-1,0))</f>
        <v/>
      </c>
      <c r="N213">
        <v>210</v>
      </c>
      <c r="O213" t="str">
        <f>IFERROR(INDEX(Table11[Unique CFDA], MATCH(N213, Table11[Pres. Sort], 0)), "")</f>
        <v/>
      </c>
      <c r="P213" s="1" t="str">
        <f>IFERROR(INDEX(Table11[Grant Name], MATCH(MemberOrgFinalSort[[#This Row],[CFDA]], Table11[Unique CFDA], 0)), "")</f>
        <v/>
      </c>
      <c r="Q213" s="20" t="str">
        <f>IFERROR(INDEX(Table11[FY 2018 Total], MATCH(MemberOrgFinalSort[[#This Row],[CFDA]], Table11[Unique CFDA], 0)), "")</f>
        <v/>
      </c>
      <c r="R213" s="21" t="str">
        <f>IFERROR(INDEX(Table11[President % Change], MATCH(MemberOrgFinalSort[[#This Row],[CFDA]], Table11[Unique CFDA], 0)), "")</f>
        <v/>
      </c>
      <c r="S213" s="20" t="str">
        <f>IFERROR(INDEX(Table11[President $ Change], MATCH(MemberOrgFinalSort[[#This Row],[CFDA]], Table11[Unique CFDA], 0)), "")</f>
        <v/>
      </c>
      <c r="T213" s="32" t="str">
        <f>IFERROR(INDEX(Table11[House % Change], MATCH(MemberOrgFinalSort[[#This Row],[CFDA]], Table11[Unique CFDA], 0)), "")</f>
        <v/>
      </c>
      <c r="U213" s="32" t="str">
        <f>IFERROR(INDEX(Table11[House $ Change], MATCH(MemberOrgFinalSort[[#This Row],[CFDA]], Table11[Unique CFDA], 0)), "")</f>
        <v/>
      </c>
      <c r="V213" s="20"/>
      <c r="X213" s="6"/>
      <c r="Y213" s="6"/>
      <c r="Z213" s="6"/>
      <c r="AA213" s="6"/>
      <c r="AB213" s="6"/>
    </row>
    <row r="214" spans="1:28" x14ac:dyDescent="0.25">
      <c r="A214" t="str">
        <f>IF(MemberOrgControl!$C217 = "", "", INDEX(MemberOrgsData[CFDA], MemberOrgControl!$C217))</f>
        <v/>
      </c>
      <c r="C214" s="6" t="str">
        <f>IFERROR(INDEX(AllFilteredCFDAs[All CFDAs], MATCH(0, INDEX(COUNTIF($C$3:C213, AllFilteredCFDAs[All CFDAs]),),0)), "")</f>
        <v/>
      </c>
      <c r="D214" s="6" t="str">
        <f t="array" ref="D214">IFERROR(INDEX(MemberOrgsData[FEDERALPROGRAMNAME], MATCH(1, (SelectMemberOrgs = MemberOrgsData[Auditee Name])*(Table11[[#This Row],[Unique CFDA]] = MemberOrgsData[CFDA]), 0)), "")</f>
        <v/>
      </c>
      <c r="E214" s="25" t="str">
        <f t="array" ref="E214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14" s="26" t="str">
        <f t="array" ref="F214">IFERROR(INDEX(BudgetAppropData[President % Change], MATCH(1, (Table11[[#This Row],[Unique CFDA]] = BudgetAppropData[CFDA])*(SelectBudgetYear = BudgetAppropData[Fiscal Year]), 0)), "")</f>
        <v/>
      </c>
      <c r="G214" s="25" t="str">
        <f>IF(Table11[[#This Row],[Unique CFDA]] = "", "", IFERROR(Table11[[#This Row],[FY 2018 Total]]*Table11[[#This Row],[President % Change]], ""))</f>
        <v/>
      </c>
      <c r="H214" s="26" t="str">
        <f t="array" ref="H214">IFERROR(INDEX(BudgetAppropData[House % Change], MATCH(1, (Table11[[#This Row],[Unique CFDA]] = BudgetAppropData[CFDA])*(SelectBudgetYear = BudgetAppropData[Fiscal Year]),0)), "")</f>
        <v/>
      </c>
      <c r="I214" s="25" t="str">
        <f>IF(Table11[[#This Row],[Unique CFDA]] = "", "", IFERROR(Table11[[#This Row],[FY 2018 Total]]*Table11[[#This Row],[House % Change]], ""))</f>
        <v/>
      </c>
      <c r="J214" s="6"/>
      <c r="K214" s="25" t="str">
        <f>IF(Table11[[#This Row],[Unique CFDA]] = "", "", IFERROR(Table11[[#This Row],[FY 2018 Total]]*Table11[[#This Row],[Senate Budget]], ""))</f>
        <v/>
      </c>
      <c r="L214" s="6" t="str">
        <f>IF(Table11[[#This Row],[Unique CFDA]] = "", "", IF(ISNUMBER(Table11[[#This Row],[President $ Change]]), RANK(Table11[[#This Row],[President $ Change]], Table11[President $ Change])+COUNTIF($G214:G214, G214)-1,0))</f>
        <v/>
      </c>
      <c r="N214">
        <v>211</v>
      </c>
      <c r="O214" t="str">
        <f>IFERROR(INDEX(Table11[Unique CFDA], MATCH(N214, Table11[Pres. Sort], 0)), "")</f>
        <v/>
      </c>
      <c r="P214" s="1" t="str">
        <f>IFERROR(INDEX(Table11[Grant Name], MATCH(MemberOrgFinalSort[[#This Row],[CFDA]], Table11[Unique CFDA], 0)), "")</f>
        <v/>
      </c>
      <c r="Q214" s="20" t="str">
        <f>IFERROR(INDEX(Table11[FY 2018 Total], MATCH(MemberOrgFinalSort[[#This Row],[CFDA]], Table11[Unique CFDA], 0)), "")</f>
        <v/>
      </c>
      <c r="R214" s="21" t="str">
        <f>IFERROR(INDEX(Table11[President % Change], MATCH(MemberOrgFinalSort[[#This Row],[CFDA]], Table11[Unique CFDA], 0)), "")</f>
        <v/>
      </c>
      <c r="S214" s="20" t="str">
        <f>IFERROR(INDEX(Table11[President $ Change], MATCH(MemberOrgFinalSort[[#This Row],[CFDA]], Table11[Unique CFDA], 0)), "")</f>
        <v/>
      </c>
      <c r="T214" s="32" t="str">
        <f>IFERROR(INDEX(Table11[House % Change], MATCH(MemberOrgFinalSort[[#This Row],[CFDA]], Table11[Unique CFDA], 0)), "")</f>
        <v/>
      </c>
      <c r="U214" s="32" t="str">
        <f>IFERROR(INDEX(Table11[House $ Change], MATCH(MemberOrgFinalSort[[#This Row],[CFDA]], Table11[Unique CFDA], 0)), "")</f>
        <v/>
      </c>
      <c r="V214" s="20"/>
      <c r="X214" s="6"/>
      <c r="Y214" s="6"/>
      <c r="Z214" s="6"/>
      <c r="AA214" s="6"/>
      <c r="AB214" s="6"/>
    </row>
    <row r="215" spans="1:28" x14ac:dyDescent="0.25">
      <c r="A215" t="str">
        <f>IF(MemberOrgControl!$C218 = "", "", INDEX(MemberOrgsData[CFDA], MemberOrgControl!$C218))</f>
        <v/>
      </c>
      <c r="C215" s="6" t="str">
        <f>IFERROR(INDEX(AllFilteredCFDAs[All CFDAs], MATCH(0, INDEX(COUNTIF($C$3:C214, AllFilteredCFDAs[All CFDAs]),),0)), "")</f>
        <v/>
      </c>
      <c r="D215" s="6" t="str">
        <f t="array" ref="D215">IFERROR(INDEX(MemberOrgsData[FEDERALPROGRAMNAME], MATCH(1, (SelectMemberOrgs = MemberOrgsData[Auditee Name])*(Table11[[#This Row],[Unique CFDA]] = MemberOrgsData[CFDA]), 0)), "")</f>
        <v/>
      </c>
      <c r="E215" s="25" t="str">
        <f t="array" ref="E215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15" s="26" t="str">
        <f t="array" ref="F215">IFERROR(INDEX(BudgetAppropData[President % Change], MATCH(1, (Table11[[#This Row],[Unique CFDA]] = BudgetAppropData[CFDA])*(SelectBudgetYear = BudgetAppropData[Fiscal Year]), 0)), "")</f>
        <v/>
      </c>
      <c r="G215" s="25" t="str">
        <f>IF(Table11[[#This Row],[Unique CFDA]] = "", "", IFERROR(Table11[[#This Row],[FY 2018 Total]]*Table11[[#This Row],[President % Change]], ""))</f>
        <v/>
      </c>
      <c r="H215" s="26" t="str">
        <f t="array" ref="H215">IFERROR(INDEX(BudgetAppropData[House % Change], MATCH(1, (Table11[[#This Row],[Unique CFDA]] = BudgetAppropData[CFDA])*(SelectBudgetYear = BudgetAppropData[Fiscal Year]),0)), "")</f>
        <v/>
      </c>
      <c r="I215" s="25" t="str">
        <f>IF(Table11[[#This Row],[Unique CFDA]] = "", "", IFERROR(Table11[[#This Row],[FY 2018 Total]]*Table11[[#This Row],[House % Change]], ""))</f>
        <v/>
      </c>
      <c r="J215" s="6"/>
      <c r="K215" s="25" t="str">
        <f>IF(Table11[[#This Row],[Unique CFDA]] = "", "", IFERROR(Table11[[#This Row],[FY 2018 Total]]*Table11[[#This Row],[Senate Budget]], ""))</f>
        <v/>
      </c>
      <c r="L215" s="6" t="str">
        <f>IF(Table11[[#This Row],[Unique CFDA]] = "", "", IF(ISNUMBER(Table11[[#This Row],[President $ Change]]), RANK(Table11[[#This Row],[President $ Change]], Table11[President $ Change])+COUNTIF($G215:G215, G215)-1,0))</f>
        <v/>
      </c>
      <c r="N215">
        <v>212</v>
      </c>
      <c r="O215" t="str">
        <f>IFERROR(INDEX(Table11[Unique CFDA], MATCH(N215, Table11[Pres. Sort], 0)), "")</f>
        <v/>
      </c>
      <c r="P215" s="1" t="str">
        <f>IFERROR(INDEX(Table11[Grant Name], MATCH(MemberOrgFinalSort[[#This Row],[CFDA]], Table11[Unique CFDA], 0)), "")</f>
        <v/>
      </c>
      <c r="Q215" s="20" t="str">
        <f>IFERROR(INDEX(Table11[FY 2018 Total], MATCH(MemberOrgFinalSort[[#This Row],[CFDA]], Table11[Unique CFDA], 0)), "")</f>
        <v/>
      </c>
      <c r="R215" s="21" t="str">
        <f>IFERROR(INDEX(Table11[President % Change], MATCH(MemberOrgFinalSort[[#This Row],[CFDA]], Table11[Unique CFDA], 0)), "")</f>
        <v/>
      </c>
      <c r="S215" s="20" t="str">
        <f>IFERROR(INDEX(Table11[President $ Change], MATCH(MemberOrgFinalSort[[#This Row],[CFDA]], Table11[Unique CFDA], 0)), "")</f>
        <v/>
      </c>
      <c r="T215" s="32" t="str">
        <f>IFERROR(INDEX(Table11[House % Change], MATCH(MemberOrgFinalSort[[#This Row],[CFDA]], Table11[Unique CFDA], 0)), "")</f>
        <v/>
      </c>
      <c r="U215" s="32" t="str">
        <f>IFERROR(INDEX(Table11[House $ Change], MATCH(MemberOrgFinalSort[[#This Row],[CFDA]], Table11[Unique CFDA], 0)), "")</f>
        <v/>
      </c>
      <c r="V215" s="20"/>
      <c r="X215" s="6"/>
      <c r="Y215" s="6"/>
      <c r="Z215" s="6"/>
      <c r="AA215" s="6"/>
      <c r="AB215" s="6"/>
    </row>
    <row r="216" spans="1:28" x14ac:dyDescent="0.25">
      <c r="A216" t="str">
        <f>IF(MemberOrgControl!$C219 = "", "", INDEX(MemberOrgsData[CFDA], MemberOrgControl!$C219))</f>
        <v/>
      </c>
      <c r="C216" s="6" t="str">
        <f>IFERROR(INDEX(AllFilteredCFDAs[All CFDAs], MATCH(0, INDEX(COUNTIF($C$3:C215, AllFilteredCFDAs[All CFDAs]),),0)), "")</f>
        <v/>
      </c>
      <c r="D216" s="6" t="str">
        <f t="array" ref="D216">IFERROR(INDEX(MemberOrgsData[FEDERALPROGRAMNAME], MATCH(1, (SelectMemberOrgs = MemberOrgsData[Auditee Name])*(Table11[[#This Row],[Unique CFDA]] = MemberOrgsData[CFDA]), 0)), "")</f>
        <v/>
      </c>
      <c r="E216" s="25" t="str">
        <f t="array" ref="E216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16" s="26" t="str">
        <f t="array" ref="F216">IFERROR(INDEX(BudgetAppropData[President % Change], MATCH(1, (Table11[[#This Row],[Unique CFDA]] = BudgetAppropData[CFDA])*(SelectBudgetYear = BudgetAppropData[Fiscal Year]), 0)), "")</f>
        <v/>
      </c>
      <c r="G216" s="25" t="str">
        <f>IF(Table11[[#This Row],[Unique CFDA]] = "", "", IFERROR(Table11[[#This Row],[FY 2018 Total]]*Table11[[#This Row],[President % Change]], ""))</f>
        <v/>
      </c>
      <c r="H216" s="26" t="str">
        <f t="array" ref="H216">IFERROR(INDEX(BudgetAppropData[House % Change], MATCH(1, (Table11[[#This Row],[Unique CFDA]] = BudgetAppropData[CFDA])*(SelectBudgetYear = BudgetAppropData[Fiscal Year]),0)), "")</f>
        <v/>
      </c>
      <c r="I216" s="25" t="str">
        <f>IF(Table11[[#This Row],[Unique CFDA]] = "", "", IFERROR(Table11[[#This Row],[FY 2018 Total]]*Table11[[#This Row],[House % Change]], ""))</f>
        <v/>
      </c>
      <c r="J216" s="6"/>
      <c r="K216" s="25" t="str">
        <f>IF(Table11[[#This Row],[Unique CFDA]] = "", "", IFERROR(Table11[[#This Row],[FY 2018 Total]]*Table11[[#This Row],[Senate Budget]], ""))</f>
        <v/>
      </c>
      <c r="L216" s="6" t="str">
        <f>IF(Table11[[#This Row],[Unique CFDA]] = "", "", IF(ISNUMBER(Table11[[#This Row],[President $ Change]]), RANK(Table11[[#This Row],[President $ Change]], Table11[President $ Change])+COUNTIF($G216:G216, G216)-1,0))</f>
        <v/>
      </c>
      <c r="N216">
        <v>213</v>
      </c>
      <c r="O216" t="str">
        <f>IFERROR(INDEX(Table11[Unique CFDA], MATCH(N216, Table11[Pres. Sort], 0)), "")</f>
        <v/>
      </c>
      <c r="P216" s="1" t="str">
        <f>IFERROR(INDEX(Table11[Grant Name], MATCH(MemberOrgFinalSort[[#This Row],[CFDA]], Table11[Unique CFDA], 0)), "")</f>
        <v/>
      </c>
      <c r="Q216" s="20" t="str">
        <f>IFERROR(INDEX(Table11[FY 2018 Total], MATCH(MemberOrgFinalSort[[#This Row],[CFDA]], Table11[Unique CFDA], 0)), "")</f>
        <v/>
      </c>
      <c r="R216" s="21" t="str">
        <f>IFERROR(INDEX(Table11[President % Change], MATCH(MemberOrgFinalSort[[#This Row],[CFDA]], Table11[Unique CFDA], 0)), "")</f>
        <v/>
      </c>
      <c r="S216" s="20" t="str">
        <f>IFERROR(INDEX(Table11[President $ Change], MATCH(MemberOrgFinalSort[[#This Row],[CFDA]], Table11[Unique CFDA], 0)), "")</f>
        <v/>
      </c>
      <c r="T216" s="32" t="str">
        <f>IFERROR(INDEX(Table11[House % Change], MATCH(MemberOrgFinalSort[[#This Row],[CFDA]], Table11[Unique CFDA], 0)), "")</f>
        <v/>
      </c>
      <c r="U216" s="32" t="str">
        <f>IFERROR(INDEX(Table11[House $ Change], MATCH(MemberOrgFinalSort[[#This Row],[CFDA]], Table11[Unique CFDA], 0)), "")</f>
        <v/>
      </c>
      <c r="V216" s="20"/>
      <c r="X216" s="6"/>
      <c r="Y216" s="6"/>
      <c r="Z216" s="6"/>
      <c r="AA216" s="6"/>
      <c r="AB216" s="6"/>
    </row>
    <row r="217" spans="1:28" x14ac:dyDescent="0.25">
      <c r="A217" t="str">
        <f>IF(MemberOrgControl!$C220 = "", "", INDEX(MemberOrgsData[CFDA], MemberOrgControl!$C220))</f>
        <v/>
      </c>
      <c r="C217" s="6" t="str">
        <f>IFERROR(INDEX(AllFilteredCFDAs[All CFDAs], MATCH(0, INDEX(COUNTIF($C$3:C216, AllFilteredCFDAs[All CFDAs]),),0)), "")</f>
        <v/>
      </c>
      <c r="D217" s="6" t="str">
        <f t="array" ref="D217">IFERROR(INDEX(MemberOrgsData[FEDERALPROGRAMNAME], MATCH(1, (SelectMemberOrgs = MemberOrgsData[Auditee Name])*(Table11[[#This Row],[Unique CFDA]] = MemberOrgsData[CFDA]), 0)), "")</f>
        <v/>
      </c>
      <c r="E217" s="25" t="str">
        <f t="array" ref="E217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17" s="26" t="str">
        <f t="array" ref="F217">IFERROR(INDEX(BudgetAppropData[President % Change], MATCH(1, (Table11[[#This Row],[Unique CFDA]] = BudgetAppropData[CFDA])*(SelectBudgetYear = BudgetAppropData[Fiscal Year]), 0)), "")</f>
        <v/>
      </c>
      <c r="G217" s="25" t="str">
        <f>IF(Table11[[#This Row],[Unique CFDA]] = "", "", IFERROR(Table11[[#This Row],[FY 2018 Total]]*Table11[[#This Row],[President % Change]], ""))</f>
        <v/>
      </c>
      <c r="H217" s="26" t="str">
        <f t="array" ref="H217">IFERROR(INDEX(BudgetAppropData[House % Change], MATCH(1, (Table11[[#This Row],[Unique CFDA]] = BudgetAppropData[CFDA])*(SelectBudgetYear = BudgetAppropData[Fiscal Year]),0)), "")</f>
        <v/>
      </c>
      <c r="I217" s="25" t="str">
        <f>IF(Table11[[#This Row],[Unique CFDA]] = "", "", IFERROR(Table11[[#This Row],[FY 2018 Total]]*Table11[[#This Row],[House % Change]], ""))</f>
        <v/>
      </c>
      <c r="J217" s="6"/>
      <c r="K217" s="25" t="str">
        <f>IF(Table11[[#This Row],[Unique CFDA]] = "", "", IFERROR(Table11[[#This Row],[FY 2018 Total]]*Table11[[#This Row],[Senate Budget]], ""))</f>
        <v/>
      </c>
      <c r="L217" s="6" t="str">
        <f>IF(Table11[[#This Row],[Unique CFDA]] = "", "", IF(ISNUMBER(Table11[[#This Row],[President $ Change]]), RANK(Table11[[#This Row],[President $ Change]], Table11[President $ Change])+COUNTIF($G217:G217, G217)-1,0))</f>
        <v/>
      </c>
      <c r="N217">
        <v>214</v>
      </c>
      <c r="O217" t="str">
        <f>IFERROR(INDEX(Table11[Unique CFDA], MATCH(N217, Table11[Pres. Sort], 0)), "")</f>
        <v/>
      </c>
      <c r="P217" s="1" t="str">
        <f>IFERROR(INDEX(Table11[Grant Name], MATCH(MemberOrgFinalSort[[#This Row],[CFDA]], Table11[Unique CFDA], 0)), "")</f>
        <v/>
      </c>
      <c r="Q217" s="20" t="str">
        <f>IFERROR(INDEX(Table11[FY 2018 Total], MATCH(MemberOrgFinalSort[[#This Row],[CFDA]], Table11[Unique CFDA], 0)), "")</f>
        <v/>
      </c>
      <c r="R217" s="21" t="str">
        <f>IFERROR(INDEX(Table11[President % Change], MATCH(MemberOrgFinalSort[[#This Row],[CFDA]], Table11[Unique CFDA], 0)), "")</f>
        <v/>
      </c>
      <c r="S217" s="20" t="str">
        <f>IFERROR(INDEX(Table11[President $ Change], MATCH(MemberOrgFinalSort[[#This Row],[CFDA]], Table11[Unique CFDA], 0)), "")</f>
        <v/>
      </c>
      <c r="T217" s="32" t="str">
        <f>IFERROR(INDEX(Table11[House % Change], MATCH(MemberOrgFinalSort[[#This Row],[CFDA]], Table11[Unique CFDA], 0)), "")</f>
        <v/>
      </c>
      <c r="U217" s="32" t="str">
        <f>IFERROR(INDEX(Table11[House $ Change], MATCH(MemberOrgFinalSort[[#This Row],[CFDA]], Table11[Unique CFDA], 0)), "")</f>
        <v/>
      </c>
      <c r="V217" s="20"/>
      <c r="X217" s="6"/>
      <c r="Y217" s="6"/>
      <c r="Z217" s="6"/>
      <c r="AA217" s="6"/>
      <c r="AB217" s="6"/>
    </row>
    <row r="218" spans="1:28" x14ac:dyDescent="0.25">
      <c r="A218" t="str">
        <f>IF(MemberOrgControl!$C221 = "", "", INDEX(MemberOrgsData[CFDA], MemberOrgControl!$C221))</f>
        <v/>
      </c>
      <c r="C218" s="6" t="str">
        <f>IFERROR(INDEX(AllFilteredCFDAs[All CFDAs], MATCH(0, INDEX(COUNTIF($C$3:C217, AllFilteredCFDAs[All CFDAs]),),0)), "")</f>
        <v/>
      </c>
      <c r="D218" s="6" t="str">
        <f t="array" ref="D218">IFERROR(INDEX(MemberOrgsData[FEDERALPROGRAMNAME], MATCH(1, (SelectMemberOrgs = MemberOrgsData[Auditee Name])*(Table11[[#This Row],[Unique CFDA]] = MemberOrgsData[CFDA]), 0)), "")</f>
        <v/>
      </c>
      <c r="E218" s="25" t="str">
        <f t="array" ref="E218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18" s="26" t="str">
        <f t="array" ref="F218">IFERROR(INDEX(BudgetAppropData[President % Change], MATCH(1, (Table11[[#This Row],[Unique CFDA]] = BudgetAppropData[CFDA])*(SelectBudgetYear = BudgetAppropData[Fiscal Year]), 0)), "")</f>
        <v/>
      </c>
      <c r="G218" s="25" t="str">
        <f>IF(Table11[[#This Row],[Unique CFDA]] = "", "", IFERROR(Table11[[#This Row],[FY 2018 Total]]*Table11[[#This Row],[President % Change]], ""))</f>
        <v/>
      </c>
      <c r="H218" s="26" t="str">
        <f t="array" ref="H218">IFERROR(INDEX(BudgetAppropData[House % Change], MATCH(1, (Table11[[#This Row],[Unique CFDA]] = BudgetAppropData[CFDA])*(SelectBudgetYear = BudgetAppropData[Fiscal Year]),0)), "")</f>
        <v/>
      </c>
      <c r="I218" s="25" t="str">
        <f>IF(Table11[[#This Row],[Unique CFDA]] = "", "", IFERROR(Table11[[#This Row],[FY 2018 Total]]*Table11[[#This Row],[House % Change]], ""))</f>
        <v/>
      </c>
      <c r="J218" s="6"/>
      <c r="K218" s="25" t="str">
        <f>IF(Table11[[#This Row],[Unique CFDA]] = "", "", IFERROR(Table11[[#This Row],[FY 2018 Total]]*Table11[[#This Row],[Senate Budget]], ""))</f>
        <v/>
      </c>
      <c r="L218" s="6" t="str">
        <f>IF(Table11[[#This Row],[Unique CFDA]] = "", "", IF(ISNUMBER(Table11[[#This Row],[President $ Change]]), RANK(Table11[[#This Row],[President $ Change]], Table11[President $ Change])+COUNTIF($G218:G218, G218)-1,0))</f>
        <v/>
      </c>
      <c r="N218">
        <v>215</v>
      </c>
      <c r="O218" t="str">
        <f>IFERROR(INDEX(Table11[Unique CFDA], MATCH(N218, Table11[Pres. Sort], 0)), "")</f>
        <v/>
      </c>
      <c r="P218" s="1" t="str">
        <f>IFERROR(INDEX(Table11[Grant Name], MATCH(MemberOrgFinalSort[[#This Row],[CFDA]], Table11[Unique CFDA], 0)), "")</f>
        <v/>
      </c>
      <c r="Q218" s="20" t="str">
        <f>IFERROR(INDEX(Table11[FY 2018 Total], MATCH(MemberOrgFinalSort[[#This Row],[CFDA]], Table11[Unique CFDA], 0)), "")</f>
        <v/>
      </c>
      <c r="R218" s="21" t="str">
        <f>IFERROR(INDEX(Table11[President % Change], MATCH(MemberOrgFinalSort[[#This Row],[CFDA]], Table11[Unique CFDA], 0)), "")</f>
        <v/>
      </c>
      <c r="S218" s="20" t="str">
        <f>IFERROR(INDEX(Table11[President $ Change], MATCH(MemberOrgFinalSort[[#This Row],[CFDA]], Table11[Unique CFDA], 0)), "")</f>
        <v/>
      </c>
      <c r="T218" s="32" t="str">
        <f>IFERROR(INDEX(Table11[House % Change], MATCH(MemberOrgFinalSort[[#This Row],[CFDA]], Table11[Unique CFDA], 0)), "")</f>
        <v/>
      </c>
      <c r="U218" s="32" t="str">
        <f>IFERROR(INDEX(Table11[House $ Change], MATCH(MemberOrgFinalSort[[#This Row],[CFDA]], Table11[Unique CFDA], 0)), "")</f>
        <v/>
      </c>
      <c r="V218" s="20"/>
      <c r="X218" s="6"/>
      <c r="Y218" s="6"/>
      <c r="Z218" s="6"/>
      <c r="AA218" s="6"/>
      <c r="AB218" s="6"/>
    </row>
    <row r="219" spans="1:28" x14ac:dyDescent="0.25">
      <c r="A219" t="str">
        <f>IF(MemberOrgControl!$C222 = "", "", INDEX(MemberOrgsData[CFDA], MemberOrgControl!$C222))</f>
        <v/>
      </c>
      <c r="C219" s="6" t="str">
        <f>IFERROR(INDEX(AllFilteredCFDAs[All CFDAs], MATCH(0, INDEX(COUNTIF($C$3:C218, AllFilteredCFDAs[All CFDAs]),),0)), "")</f>
        <v/>
      </c>
      <c r="D219" s="6" t="str">
        <f t="array" ref="D219">IFERROR(INDEX(MemberOrgsData[FEDERALPROGRAMNAME], MATCH(1, (SelectMemberOrgs = MemberOrgsData[Auditee Name])*(Table11[[#This Row],[Unique CFDA]] = MemberOrgsData[CFDA]), 0)), "")</f>
        <v/>
      </c>
      <c r="E219" s="25" t="str">
        <f t="array" ref="E219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19" s="26" t="str">
        <f t="array" ref="F219">IFERROR(INDEX(BudgetAppropData[President % Change], MATCH(1, (Table11[[#This Row],[Unique CFDA]] = BudgetAppropData[CFDA])*(SelectBudgetYear = BudgetAppropData[Fiscal Year]), 0)), "")</f>
        <v/>
      </c>
      <c r="G219" s="25" t="str">
        <f>IF(Table11[[#This Row],[Unique CFDA]] = "", "", IFERROR(Table11[[#This Row],[FY 2018 Total]]*Table11[[#This Row],[President % Change]], ""))</f>
        <v/>
      </c>
      <c r="H219" s="26" t="str">
        <f t="array" ref="H219">IFERROR(INDEX(BudgetAppropData[House % Change], MATCH(1, (Table11[[#This Row],[Unique CFDA]] = BudgetAppropData[CFDA])*(SelectBudgetYear = BudgetAppropData[Fiscal Year]),0)), "")</f>
        <v/>
      </c>
      <c r="I219" s="25" t="str">
        <f>IF(Table11[[#This Row],[Unique CFDA]] = "", "", IFERROR(Table11[[#This Row],[FY 2018 Total]]*Table11[[#This Row],[House % Change]], ""))</f>
        <v/>
      </c>
      <c r="J219" s="6"/>
      <c r="K219" s="25" t="str">
        <f>IF(Table11[[#This Row],[Unique CFDA]] = "", "", IFERROR(Table11[[#This Row],[FY 2018 Total]]*Table11[[#This Row],[Senate Budget]], ""))</f>
        <v/>
      </c>
      <c r="L219" s="6" t="str">
        <f>IF(Table11[[#This Row],[Unique CFDA]] = "", "", IF(ISNUMBER(Table11[[#This Row],[President $ Change]]), RANK(Table11[[#This Row],[President $ Change]], Table11[President $ Change])+COUNTIF($G219:G219, G219)-1,0))</f>
        <v/>
      </c>
      <c r="N219">
        <v>216</v>
      </c>
      <c r="O219" t="str">
        <f>IFERROR(INDEX(Table11[Unique CFDA], MATCH(N219, Table11[Pres. Sort], 0)), "")</f>
        <v/>
      </c>
      <c r="P219" s="1" t="str">
        <f>IFERROR(INDEX(Table11[Grant Name], MATCH(MemberOrgFinalSort[[#This Row],[CFDA]], Table11[Unique CFDA], 0)), "")</f>
        <v/>
      </c>
      <c r="Q219" s="20" t="str">
        <f>IFERROR(INDEX(Table11[FY 2018 Total], MATCH(MemberOrgFinalSort[[#This Row],[CFDA]], Table11[Unique CFDA], 0)), "")</f>
        <v/>
      </c>
      <c r="R219" s="21" t="str">
        <f>IFERROR(INDEX(Table11[President % Change], MATCH(MemberOrgFinalSort[[#This Row],[CFDA]], Table11[Unique CFDA], 0)), "")</f>
        <v/>
      </c>
      <c r="S219" s="20" t="str">
        <f>IFERROR(INDEX(Table11[President $ Change], MATCH(MemberOrgFinalSort[[#This Row],[CFDA]], Table11[Unique CFDA], 0)), "")</f>
        <v/>
      </c>
      <c r="T219" s="32" t="str">
        <f>IFERROR(INDEX(Table11[House % Change], MATCH(MemberOrgFinalSort[[#This Row],[CFDA]], Table11[Unique CFDA], 0)), "")</f>
        <v/>
      </c>
      <c r="U219" s="32" t="str">
        <f>IFERROR(INDEX(Table11[House $ Change], MATCH(MemberOrgFinalSort[[#This Row],[CFDA]], Table11[Unique CFDA], 0)), "")</f>
        <v/>
      </c>
      <c r="V219" s="20"/>
      <c r="X219" s="6"/>
      <c r="Y219" s="6"/>
      <c r="Z219" s="6"/>
      <c r="AA219" s="6"/>
      <c r="AB219" s="6"/>
    </row>
    <row r="220" spans="1:28" x14ac:dyDescent="0.25">
      <c r="A220" t="str">
        <f>IF(MemberOrgControl!$C223 = "", "", INDEX(MemberOrgsData[CFDA], MemberOrgControl!$C223))</f>
        <v/>
      </c>
      <c r="C220" s="6" t="str">
        <f>IFERROR(INDEX(AllFilteredCFDAs[All CFDAs], MATCH(0, INDEX(COUNTIF($C$3:C219, AllFilteredCFDAs[All CFDAs]),),0)), "")</f>
        <v/>
      </c>
      <c r="D220" s="6" t="str">
        <f t="array" ref="D220">IFERROR(INDEX(MemberOrgsData[FEDERALPROGRAMNAME], MATCH(1, (SelectMemberOrgs = MemberOrgsData[Auditee Name])*(Table11[[#This Row],[Unique CFDA]] = MemberOrgsData[CFDA]), 0)), "")</f>
        <v/>
      </c>
      <c r="E220" s="25" t="str">
        <f t="array" ref="E220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20" s="26" t="str">
        <f t="array" ref="F220">IFERROR(INDEX(BudgetAppropData[President % Change], MATCH(1, (Table11[[#This Row],[Unique CFDA]] = BudgetAppropData[CFDA])*(SelectBudgetYear = BudgetAppropData[Fiscal Year]), 0)), "")</f>
        <v/>
      </c>
      <c r="G220" s="25" t="str">
        <f>IF(Table11[[#This Row],[Unique CFDA]] = "", "", IFERROR(Table11[[#This Row],[FY 2018 Total]]*Table11[[#This Row],[President % Change]], ""))</f>
        <v/>
      </c>
      <c r="H220" s="26" t="str">
        <f t="array" ref="H220">IFERROR(INDEX(BudgetAppropData[House % Change], MATCH(1, (Table11[[#This Row],[Unique CFDA]] = BudgetAppropData[CFDA])*(SelectBudgetYear = BudgetAppropData[Fiscal Year]),0)), "")</f>
        <v/>
      </c>
      <c r="I220" s="25" t="str">
        <f>IF(Table11[[#This Row],[Unique CFDA]] = "", "", IFERROR(Table11[[#This Row],[FY 2018 Total]]*Table11[[#This Row],[House % Change]], ""))</f>
        <v/>
      </c>
      <c r="J220" s="6"/>
      <c r="K220" s="25" t="str">
        <f>IF(Table11[[#This Row],[Unique CFDA]] = "", "", IFERROR(Table11[[#This Row],[FY 2018 Total]]*Table11[[#This Row],[Senate Budget]], ""))</f>
        <v/>
      </c>
      <c r="L220" s="6" t="str">
        <f>IF(Table11[[#This Row],[Unique CFDA]] = "", "", IF(ISNUMBER(Table11[[#This Row],[President $ Change]]), RANK(Table11[[#This Row],[President $ Change]], Table11[President $ Change])+COUNTIF($G220:G220, G220)-1,0))</f>
        <v/>
      </c>
      <c r="N220">
        <v>217</v>
      </c>
      <c r="O220" t="str">
        <f>IFERROR(INDEX(Table11[Unique CFDA], MATCH(N220, Table11[Pres. Sort], 0)), "")</f>
        <v/>
      </c>
      <c r="P220" s="1" t="str">
        <f>IFERROR(INDEX(Table11[Grant Name], MATCH(MemberOrgFinalSort[[#This Row],[CFDA]], Table11[Unique CFDA], 0)), "")</f>
        <v/>
      </c>
      <c r="Q220" s="20" t="str">
        <f>IFERROR(INDEX(Table11[FY 2018 Total], MATCH(MemberOrgFinalSort[[#This Row],[CFDA]], Table11[Unique CFDA], 0)), "")</f>
        <v/>
      </c>
      <c r="R220" s="21" t="str">
        <f>IFERROR(INDEX(Table11[President % Change], MATCH(MemberOrgFinalSort[[#This Row],[CFDA]], Table11[Unique CFDA], 0)), "")</f>
        <v/>
      </c>
      <c r="S220" s="20" t="str">
        <f>IFERROR(INDEX(Table11[President $ Change], MATCH(MemberOrgFinalSort[[#This Row],[CFDA]], Table11[Unique CFDA], 0)), "")</f>
        <v/>
      </c>
      <c r="T220" s="32" t="str">
        <f>IFERROR(INDEX(Table11[House % Change], MATCH(MemberOrgFinalSort[[#This Row],[CFDA]], Table11[Unique CFDA], 0)), "")</f>
        <v/>
      </c>
      <c r="U220" s="32" t="str">
        <f>IFERROR(INDEX(Table11[House $ Change], MATCH(MemberOrgFinalSort[[#This Row],[CFDA]], Table11[Unique CFDA], 0)), "")</f>
        <v/>
      </c>
      <c r="V220" s="20"/>
      <c r="X220" s="6"/>
      <c r="Y220" s="6"/>
      <c r="Z220" s="6"/>
      <c r="AA220" s="6"/>
      <c r="AB220" s="6"/>
    </row>
    <row r="221" spans="1:28" x14ac:dyDescent="0.25">
      <c r="A221" t="str">
        <f>IF(MemberOrgControl!$C224 = "", "", INDEX(MemberOrgsData[CFDA], MemberOrgControl!$C224))</f>
        <v/>
      </c>
      <c r="C221" s="6" t="str">
        <f>IFERROR(INDEX(AllFilteredCFDAs[All CFDAs], MATCH(0, INDEX(COUNTIF($C$3:C220, AllFilteredCFDAs[All CFDAs]),),0)), "")</f>
        <v/>
      </c>
      <c r="D221" s="6" t="str">
        <f t="array" ref="D221">IFERROR(INDEX(MemberOrgsData[FEDERALPROGRAMNAME], MATCH(1, (SelectMemberOrgs = MemberOrgsData[Auditee Name])*(Table11[[#This Row],[Unique CFDA]] = MemberOrgsData[CFDA]), 0)), "")</f>
        <v/>
      </c>
      <c r="E221" s="25" t="str">
        <f t="array" ref="E221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21" s="26" t="str">
        <f t="array" ref="F221">IFERROR(INDEX(BudgetAppropData[President % Change], MATCH(1, (Table11[[#This Row],[Unique CFDA]] = BudgetAppropData[CFDA])*(SelectBudgetYear = BudgetAppropData[Fiscal Year]), 0)), "")</f>
        <v/>
      </c>
      <c r="G221" s="25" t="str">
        <f>IF(Table11[[#This Row],[Unique CFDA]] = "", "", IFERROR(Table11[[#This Row],[FY 2018 Total]]*Table11[[#This Row],[President % Change]], ""))</f>
        <v/>
      </c>
      <c r="H221" s="26" t="str">
        <f t="array" ref="H221">IFERROR(INDEX(BudgetAppropData[House % Change], MATCH(1, (Table11[[#This Row],[Unique CFDA]] = BudgetAppropData[CFDA])*(SelectBudgetYear = BudgetAppropData[Fiscal Year]),0)), "")</f>
        <v/>
      </c>
      <c r="I221" s="25" t="str">
        <f>IF(Table11[[#This Row],[Unique CFDA]] = "", "", IFERROR(Table11[[#This Row],[FY 2018 Total]]*Table11[[#This Row],[House % Change]], ""))</f>
        <v/>
      </c>
      <c r="J221" s="6"/>
      <c r="K221" s="25" t="str">
        <f>IF(Table11[[#This Row],[Unique CFDA]] = "", "", IFERROR(Table11[[#This Row],[FY 2018 Total]]*Table11[[#This Row],[Senate Budget]], ""))</f>
        <v/>
      </c>
      <c r="L221" s="6" t="str">
        <f>IF(Table11[[#This Row],[Unique CFDA]] = "", "", IF(ISNUMBER(Table11[[#This Row],[President $ Change]]), RANK(Table11[[#This Row],[President $ Change]], Table11[President $ Change])+COUNTIF($G221:G221, G221)-1,0))</f>
        <v/>
      </c>
      <c r="N221">
        <v>218</v>
      </c>
      <c r="O221" t="str">
        <f>IFERROR(INDEX(Table11[Unique CFDA], MATCH(N221, Table11[Pres. Sort], 0)), "")</f>
        <v/>
      </c>
      <c r="P221" s="1" t="str">
        <f>IFERROR(INDEX(Table11[Grant Name], MATCH(MemberOrgFinalSort[[#This Row],[CFDA]], Table11[Unique CFDA], 0)), "")</f>
        <v/>
      </c>
      <c r="Q221" s="20" t="str">
        <f>IFERROR(INDEX(Table11[FY 2018 Total], MATCH(MemberOrgFinalSort[[#This Row],[CFDA]], Table11[Unique CFDA], 0)), "")</f>
        <v/>
      </c>
      <c r="R221" s="21" t="str">
        <f>IFERROR(INDEX(Table11[President % Change], MATCH(MemberOrgFinalSort[[#This Row],[CFDA]], Table11[Unique CFDA], 0)), "")</f>
        <v/>
      </c>
      <c r="S221" s="20" t="str">
        <f>IFERROR(INDEX(Table11[President $ Change], MATCH(MemberOrgFinalSort[[#This Row],[CFDA]], Table11[Unique CFDA], 0)), "")</f>
        <v/>
      </c>
      <c r="T221" s="32" t="str">
        <f>IFERROR(INDEX(Table11[House % Change], MATCH(MemberOrgFinalSort[[#This Row],[CFDA]], Table11[Unique CFDA], 0)), "")</f>
        <v/>
      </c>
      <c r="U221" s="32" t="str">
        <f>IFERROR(INDEX(Table11[House $ Change], MATCH(MemberOrgFinalSort[[#This Row],[CFDA]], Table11[Unique CFDA], 0)), "")</f>
        <v/>
      </c>
      <c r="V221" s="20"/>
      <c r="X221" s="6"/>
      <c r="Y221" s="6"/>
      <c r="Z221" s="6"/>
      <c r="AA221" s="6"/>
      <c r="AB221" s="6"/>
    </row>
    <row r="222" spans="1:28" x14ac:dyDescent="0.25">
      <c r="A222" t="str">
        <f>IF(MemberOrgControl!$C225 = "", "", INDEX(MemberOrgsData[CFDA], MemberOrgControl!$C225))</f>
        <v/>
      </c>
      <c r="C222" s="6" t="str">
        <f>IFERROR(INDEX(AllFilteredCFDAs[All CFDAs], MATCH(0, INDEX(COUNTIF($C$3:C221, AllFilteredCFDAs[All CFDAs]),),0)), "")</f>
        <v/>
      </c>
      <c r="D222" s="6" t="str">
        <f t="array" ref="D222">IFERROR(INDEX(MemberOrgsData[FEDERALPROGRAMNAME], MATCH(1, (SelectMemberOrgs = MemberOrgsData[Auditee Name])*(Table11[[#This Row],[Unique CFDA]] = MemberOrgsData[CFDA]), 0)), "")</f>
        <v/>
      </c>
      <c r="E222" s="25" t="str">
        <f t="array" ref="E222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22" s="26" t="str">
        <f t="array" ref="F222">IFERROR(INDEX(BudgetAppropData[President % Change], MATCH(1, (Table11[[#This Row],[Unique CFDA]] = BudgetAppropData[CFDA])*(SelectBudgetYear = BudgetAppropData[Fiscal Year]), 0)), "")</f>
        <v/>
      </c>
      <c r="G222" s="25" t="str">
        <f>IF(Table11[[#This Row],[Unique CFDA]] = "", "", IFERROR(Table11[[#This Row],[FY 2018 Total]]*Table11[[#This Row],[President % Change]], ""))</f>
        <v/>
      </c>
      <c r="H222" s="26" t="str">
        <f t="array" ref="H222">IFERROR(INDEX(BudgetAppropData[House % Change], MATCH(1, (Table11[[#This Row],[Unique CFDA]] = BudgetAppropData[CFDA])*(SelectBudgetYear = BudgetAppropData[Fiscal Year]),0)), "")</f>
        <v/>
      </c>
      <c r="I222" s="25" t="str">
        <f>IF(Table11[[#This Row],[Unique CFDA]] = "", "", IFERROR(Table11[[#This Row],[FY 2018 Total]]*Table11[[#This Row],[House % Change]], ""))</f>
        <v/>
      </c>
      <c r="J222" s="6"/>
      <c r="K222" s="25" t="str">
        <f>IF(Table11[[#This Row],[Unique CFDA]] = "", "", IFERROR(Table11[[#This Row],[FY 2018 Total]]*Table11[[#This Row],[Senate Budget]], ""))</f>
        <v/>
      </c>
      <c r="L222" s="6" t="str">
        <f>IF(Table11[[#This Row],[Unique CFDA]] = "", "", IF(ISNUMBER(Table11[[#This Row],[President $ Change]]), RANK(Table11[[#This Row],[President $ Change]], Table11[President $ Change])+COUNTIF($G222:G222, G222)-1,0))</f>
        <v/>
      </c>
      <c r="N222">
        <v>219</v>
      </c>
      <c r="O222" t="str">
        <f>IFERROR(INDEX(Table11[Unique CFDA], MATCH(N222, Table11[Pres. Sort], 0)), "")</f>
        <v/>
      </c>
      <c r="P222" s="1" t="str">
        <f>IFERROR(INDEX(Table11[Grant Name], MATCH(MemberOrgFinalSort[[#This Row],[CFDA]], Table11[Unique CFDA], 0)), "")</f>
        <v/>
      </c>
      <c r="Q222" s="20" t="str">
        <f>IFERROR(INDEX(Table11[FY 2018 Total], MATCH(MemberOrgFinalSort[[#This Row],[CFDA]], Table11[Unique CFDA], 0)), "")</f>
        <v/>
      </c>
      <c r="R222" s="21" t="str">
        <f>IFERROR(INDEX(Table11[President % Change], MATCH(MemberOrgFinalSort[[#This Row],[CFDA]], Table11[Unique CFDA], 0)), "")</f>
        <v/>
      </c>
      <c r="S222" s="20" t="str">
        <f>IFERROR(INDEX(Table11[President $ Change], MATCH(MemberOrgFinalSort[[#This Row],[CFDA]], Table11[Unique CFDA], 0)), "")</f>
        <v/>
      </c>
      <c r="T222" s="32" t="str">
        <f>IFERROR(INDEX(Table11[House % Change], MATCH(MemberOrgFinalSort[[#This Row],[CFDA]], Table11[Unique CFDA], 0)), "")</f>
        <v/>
      </c>
      <c r="U222" s="32" t="str">
        <f>IFERROR(INDEX(Table11[House $ Change], MATCH(MemberOrgFinalSort[[#This Row],[CFDA]], Table11[Unique CFDA], 0)), "")</f>
        <v/>
      </c>
      <c r="V222" s="20"/>
      <c r="X222" s="6"/>
      <c r="Y222" s="6"/>
      <c r="Z222" s="6"/>
      <c r="AA222" s="6"/>
      <c r="AB222" s="6"/>
    </row>
    <row r="223" spans="1:28" x14ac:dyDescent="0.25">
      <c r="A223" t="str">
        <f>IF(MemberOrgControl!$C226 = "", "", INDEX(MemberOrgsData[CFDA], MemberOrgControl!$C226))</f>
        <v/>
      </c>
      <c r="C223" s="6" t="str">
        <f>IFERROR(INDEX(AllFilteredCFDAs[All CFDAs], MATCH(0, INDEX(COUNTIF($C$3:C222, AllFilteredCFDAs[All CFDAs]),),0)), "")</f>
        <v/>
      </c>
      <c r="D223" s="6" t="str">
        <f t="array" ref="D223">IFERROR(INDEX(MemberOrgsData[FEDERALPROGRAMNAME], MATCH(1, (SelectMemberOrgs = MemberOrgsData[Auditee Name])*(Table11[[#This Row],[Unique CFDA]] = MemberOrgsData[CFDA]), 0)), "")</f>
        <v/>
      </c>
      <c r="E223" s="25" t="str">
        <f t="array" ref="E223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23" s="26" t="str">
        <f t="array" ref="F223">IFERROR(INDEX(BudgetAppropData[President % Change], MATCH(1, (Table11[[#This Row],[Unique CFDA]] = BudgetAppropData[CFDA])*(SelectBudgetYear = BudgetAppropData[Fiscal Year]), 0)), "")</f>
        <v/>
      </c>
      <c r="G223" s="25" t="str">
        <f>IF(Table11[[#This Row],[Unique CFDA]] = "", "", IFERROR(Table11[[#This Row],[FY 2018 Total]]*Table11[[#This Row],[President % Change]], ""))</f>
        <v/>
      </c>
      <c r="H223" s="26" t="str">
        <f t="array" ref="H223">IFERROR(INDEX(BudgetAppropData[House % Change], MATCH(1, (Table11[[#This Row],[Unique CFDA]] = BudgetAppropData[CFDA])*(SelectBudgetYear = BudgetAppropData[Fiscal Year]),0)), "")</f>
        <v/>
      </c>
      <c r="I223" s="25" t="str">
        <f>IF(Table11[[#This Row],[Unique CFDA]] = "", "", IFERROR(Table11[[#This Row],[FY 2018 Total]]*Table11[[#This Row],[House % Change]], ""))</f>
        <v/>
      </c>
      <c r="J223" s="6"/>
      <c r="K223" s="25" t="str">
        <f>IF(Table11[[#This Row],[Unique CFDA]] = "", "", IFERROR(Table11[[#This Row],[FY 2018 Total]]*Table11[[#This Row],[Senate Budget]], ""))</f>
        <v/>
      </c>
      <c r="L223" s="6" t="str">
        <f>IF(Table11[[#This Row],[Unique CFDA]] = "", "", IF(ISNUMBER(Table11[[#This Row],[President $ Change]]), RANK(Table11[[#This Row],[President $ Change]], Table11[President $ Change])+COUNTIF($G223:G223, G223)-1,0))</f>
        <v/>
      </c>
      <c r="N223">
        <v>220</v>
      </c>
      <c r="O223" t="str">
        <f>IFERROR(INDEX(Table11[Unique CFDA], MATCH(N223, Table11[Pres. Sort], 0)), "")</f>
        <v/>
      </c>
      <c r="P223" s="1" t="str">
        <f>IFERROR(INDEX(Table11[Grant Name], MATCH(MemberOrgFinalSort[[#This Row],[CFDA]], Table11[Unique CFDA], 0)), "")</f>
        <v/>
      </c>
      <c r="Q223" s="20" t="str">
        <f>IFERROR(INDEX(Table11[FY 2018 Total], MATCH(MemberOrgFinalSort[[#This Row],[CFDA]], Table11[Unique CFDA], 0)), "")</f>
        <v/>
      </c>
      <c r="R223" s="21" t="str">
        <f>IFERROR(INDEX(Table11[President % Change], MATCH(MemberOrgFinalSort[[#This Row],[CFDA]], Table11[Unique CFDA], 0)), "")</f>
        <v/>
      </c>
      <c r="S223" s="20" t="str">
        <f>IFERROR(INDEX(Table11[President $ Change], MATCH(MemberOrgFinalSort[[#This Row],[CFDA]], Table11[Unique CFDA], 0)), "")</f>
        <v/>
      </c>
      <c r="T223" s="32" t="str">
        <f>IFERROR(INDEX(Table11[House % Change], MATCH(MemberOrgFinalSort[[#This Row],[CFDA]], Table11[Unique CFDA], 0)), "")</f>
        <v/>
      </c>
      <c r="U223" s="32" t="str">
        <f>IFERROR(INDEX(Table11[House $ Change], MATCH(MemberOrgFinalSort[[#This Row],[CFDA]], Table11[Unique CFDA], 0)), "")</f>
        <v/>
      </c>
      <c r="V223" s="20"/>
      <c r="X223" s="6"/>
      <c r="Y223" s="6"/>
      <c r="Z223" s="6"/>
      <c r="AA223" s="6"/>
      <c r="AB223" s="6"/>
    </row>
    <row r="224" spans="1:28" x14ac:dyDescent="0.25">
      <c r="A224" t="str">
        <f>IF(MemberOrgControl!$C227 = "", "", INDEX(MemberOrgsData[CFDA], MemberOrgControl!$C227))</f>
        <v/>
      </c>
      <c r="C224" s="6" t="str">
        <f>IFERROR(INDEX(AllFilteredCFDAs[All CFDAs], MATCH(0, INDEX(COUNTIF($C$3:C223, AllFilteredCFDAs[All CFDAs]),),0)), "")</f>
        <v/>
      </c>
      <c r="D224" s="6" t="str">
        <f t="array" ref="D224">IFERROR(INDEX(MemberOrgsData[FEDERALPROGRAMNAME], MATCH(1, (SelectMemberOrgs = MemberOrgsData[Auditee Name])*(Table11[[#This Row],[Unique CFDA]] = MemberOrgsData[CFDA]), 0)), "")</f>
        <v/>
      </c>
      <c r="E224" s="25" t="str">
        <f t="array" ref="E224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24" s="26" t="str">
        <f t="array" ref="F224">IFERROR(INDEX(BudgetAppropData[President % Change], MATCH(1, (Table11[[#This Row],[Unique CFDA]] = BudgetAppropData[CFDA])*(SelectBudgetYear = BudgetAppropData[Fiscal Year]), 0)), "")</f>
        <v/>
      </c>
      <c r="G224" s="25" t="str">
        <f>IF(Table11[[#This Row],[Unique CFDA]] = "", "", IFERROR(Table11[[#This Row],[FY 2018 Total]]*Table11[[#This Row],[President % Change]], ""))</f>
        <v/>
      </c>
      <c r="H224" s="26" t="str">
        <f t="array" ref="H224">IFERROR(INDEX(BudgetAppropData[House % Change], MATCH(1, (Table11[[#This Row],[Unique CFDA]] = BudgetAppropData[CFDA])*(SelectBudgetYear = BudgetAppropData[Fiscal Year]),0)), "")</f>
        <v/>
      </c>
      <c r="I224" s="25" t="str">
        <f>IF(Table11[[#This Row],[Unique CFDA]] = "", "", IFERROR(Table11[[#This Row],[FY 2018 Total]]*Table11[[#This Row],[House % Change]], ""))</f>
        <v/>
      </c>
      <c r="J224" s="6"/>
      <c r="K224" s="25" t="str">
        <f>IF(Table11[[#This Row],[Unique CFDA]] = "", "", IFERROR(Table11[[#This Row],[FY 2018 Total]]*Table11[[#This Row],[Senate Budget]], ""))</f>
        <v/>
      </c>
      <c r="L224" s="6" t="str">
        <f>IF(Table11[[#This Row],[Unique CFDA]] = "", "", IF(ISNUMBER(Table11[[#This Row],[President $ Change]]), RANK(Table11[[#This Row],[President $ Change]], Table11[President $ Change])+COUNTIF($G224:G224, G224)-1,0))</f>
        <v/>
      </c>
      <c r="N224">
        <v>221</v>
      </c>
      <c r="O224" t="str">
        <f>IFERROR(INDEX(Table11[Unique CFDA], MATCH(N224, Table11[Pres. Sort], 0)), "")</f>
        <v/>
      </c>
      <c r="P224" s="1" t="str">
        <f>IFERROR(INDEX(Table11[Grant Name], MATCH(MemberOrgFinalSort[[#This Row],[CFDA]], Table11[Unique CFDA], 0)), "")</f>
        <v/>
      </c>
      <c r="Q224" s="20" t="str">
        <f>IFERROR(INDEX(Table11[FY 2018 Total], MATCH(MemberOrgFinalSort[[#This Row],[CFDA]], Table11[Unique CFDA], 0)), "")</f>
        <v/>
      </c>
      <c r="R224" s="21" t="str">
        <f>IFERROR(INDEX(Table11[President % Change], MATCH(MemberOrgFinalSort[[#This Row],[CFDA]], Table11[Unique CFDA], 0)), "")</f>
        <v/>
      </c>
      <c r="S224" s="20" t="str">
        <f>IFERROR(INDEX(Table11[President $ Change], MATCH(MemberOrgFinalSort[[#This Row],[CFDA]], Table11[Unique CFDA], 0)), "")</f>
        <v/>
      </c>
      <c r="T224" s="32" t="str">
        <f>IFERROR(INDEX(Table11[House % Change], MATCH(MemberOrgFinalSort[[#This Row],[CFDA]], Table11[Unique CFDA], 0)), "")</f>
        <v/>
      </c>
      <c r="U224" s="32" t="str">
        <f>IFERROR(INDEX(Table11[House $ Change], MATCH(MemberOrgFinalSort[[#This Row],[CFDA]], Table11[Unique CFDA], 0)), "")</f>
        <v/>
      </c>
      <c r="V224" s="20"/>
      <c r="X224" s="6"/>
      <c r="Y224" s="6"/>
      <c r="Z224" s="6"/>
      <c r="AA224" s="6"/>
      <c r="AB224" s="6"/>
    </row>
    <row r="225" spans="1:28" x14ac:dyDescent="0.25">
      <c r="A225" t="str">
        <f>IF(MemberOrgControl!$C228 = "", "", INDEX(MemberOrgsData[CFDA], MemberOrgControl!$C228))</f>
        <v/>
      </c>
      <c r="C225" s="6" t="str">
        <f>IFERROR(INDEX(AllFilteredCFDAs[All CFDAs], MATCH(0, INDEX(COUNTIF($C$3:C224, AllFilteredCFDAs[All CFDAs]),),0)), "")</f>
        <v/>
      </c>
      <c r="D225" s="6" t="str">
        <f t="array" ref="D225">IFERROR(INDEX(MemberOrgsData[FEDERALPROGRAMNAME], MATCH(1, (SelectMemberOrgs = MemberOrgsData[Auditee Name])*(Table11[[#This Row],[Unique CFDA]] = MemberOrgsData[CFDA]), 0)), "")</f>
        <v/>
      </c>
      <c r="E225" s="25" t="str">
        <f t="array" ref="E225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25" s="26" t="str">
        <f t="array" ref="F225">IFERROR(INDEX(BudgetAppropData[President % Change], MATCH(1, (Table11[[#This Row],[Unique CFDA]] = BudgetAppropData[CFDA])*(SelectBudgetYear = BudgetAppropData[Fiscal Year]), 0)), "")</f>
        <v/>
      </c>
      <c r="G225" s="25" t="str">
        <f>IF(Table11[[#This Row],[Unique CFDA]] = "", "", IFERROR(Table11[[#This Row],[FY 2018 Total]]*Table11[[#This Row],[President % Change]], ""))</f>
        <v/>
      </c>
      <c r="H225" s="26" t="str">
        <f t="array" ref="H225">IFERROR(INDEX(BudgetAppropData[House % Change], MATCH(1, (Table11[[#This Row],[Unique CFDA]] = BudgetAppropData[CFDA])*(SelectBudgetYear = BudgetAppropData[Fiscal Year]),0)), "")</f>
        <v/>
      </c>
      <c r="I225" s="25" t="str">
        <f>IF(Table11[[#This Row],[Unique CFDA]] = "", "", IFERROR(Table11[[#This Row],[FY 2018 Total]]*Table11[[#This Row],[House % Change]], ""))</f>
        <v/>
      </c>
      <c r="J225" s="6"/>
      <c r="K225" s="25" t="str">
        <f>IF(Table11[[#This Row],[Unique CFDA]] = "", "", IFERROR(Table11[[#This Row],[FY 2018 Total]]*Table11[[#This Row],[Senate Budget]], ""))</f>
        <v/>
      </c>
      <c r="L225" s="6" t="str">
        <f>IF(Table11[[#This Row],[Unique CFDA]] = "", "", IF(ISNUMBER(Table11[[#This Row],[President $ Change]]), RANK(Table11[[#This Row],[President $ Change]], Table11[President $ Change])+COUNTIF($G225:G225, G225)-1,0))</f>
        <v/>
      </c>
      <c r="N225">
        <v>222</v>
      </c>
      <c r="O225" t="str">
        <f>IFERROR(INDEX(Table11[Unique CFDA], MATCH(N225, Table11[Pres. Sort], 0)), "")</f>
        <v/>
      </c>
      <c r="P225" s="1" t="str">
        <f>IFERROR(INDEX(Table11[Grant Name], MATCH(MemberOrgFinalSort[[#This Row],[CFDA]], Table11[Unique CFDA], 0)), "")</f>
        <v/>
      </c>
      <c r="Q225" s="20" t="str">
        <f>IFERROR(INDEX(Table11[FY 2018 Total], MATCH(MemberOrgFinalSort[[#This Row],[CFDA]], Table11[Unique CFDA], 0)), "")</f>
        <v/>
      </c>
      <c r="R225" s="21" t="str">
        <f>IFERROR(INDEX(Table11[President % Change], MATCH(MemberOrgFinalSort[[#This Row],[CFDA]], Table11[Unique CFDA], 0)), "")</f>
        <v/>
      </c>
      <c r="S225" s="20" t="str">
        <f>IFERROR(INDEX(Table11[President $ Change], MATCH(MemberOrgFinalSort[[#This Row],[CFDA]], Table11[Unique CFDA], 0)), "")</f>
        <v/>
      </c>
      <c r="T225" s="32" t="str">
        <f>IFERROR(INDEX(Table11[House % Change], MATCH(MemberOrgFinalSort[[#This Row],[CFDA]], Table11[Unique CFDA], 0)), "")</f>
        <v/>
      </c>
      <c r="U225" s="32" t="str">
        <f>IFERROR(INDEX(Table11[House $ Change], MATCH(MemberOrgFinalSort[[#This Row],[CFDA]], Table11[Unique CFDA], 0)), "")</f>
        <v/>
      </c>
      <c r="V225" s="20"/>
      <c r="X225" s="6"/>
      <c r="Y225" s="6"/>
      <c r="Z225" s="6"/>
      <c r="AA225" s="6"/>
      <c r="AB225" s="6"/>
    </row>
    <row r="226" spans="1:28" x14ac:dyDescent="0.25">
      <c r="A226" t="str">
        <f>IF(MemberOrgControl!$C229 = "", "", INDEX(MemberOrgsData[CFDA], MemberOrgControl!$C229))</f>
        <v/>
      </c>
      <c r="C226" s="6" t="str">
        <f>IFERROR(INDEX(AllFilteredCFDAs[All CFDAs], MATCH(0, INDEX(COUNTIF($C$3:C225, AllFilteredCFDAs[All CFDAs]),),0)), "")</f>
        <v/>
      </c>
      <c r="D226" s="6" t="str">
        <f t="array" ref="D226">IFERROR(INDEX(MemberOrgsData[FEDERALPROGRAMNAME], MATCH(1, (SelectMemberOrgs = MemberOrgsData[Auditee Name])*(Table11[[#This Row],[Unique CFDA]] = MemberOrgsData[CFDA]), 0)), "")</f>
        <v/>
      </c>
      <c r="E226" s="25" t="str">
        <f t="array" ref="E226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26" s="26" t="str">
        <f t="array" ref="F226">IFERROR(INDEX(BudgetAppropData[President % Change], MATCH(1, (Table11[[#This Row],[Unique CFDA]] = BudgetAppropData[CFDA])*(SelectBudgetYear = BudgetAppropData[Fiscal Year]), 0)), "")</f>
        <v/>
      </c>
      <c r="G226" s="25" t="str">
        <f>IF(Table11[[#This Row],[Unique CFDA]] = "", "", IFERROR(Table11[[#This Row],[FY 2018 Total]]*Table11[[#This Row],[President % Change]], ""))</f>
        <v/>
      </c>
      <c r="H226" s="26" t="str">
        <f t="array" ref="H226">IFERROR(INDEX(BudgetAppropData[House % Change], MATCH(1, (Table11[[#This Row],[Unique CFDA]] = BudgetAppropData[CFDA])*(SelectBudgetYear = BudgetAppropData[Fiscal Year]),0)), "")</f>
        <v/>
      </c>
      <c r="I226" s="25" t="str">
        <f>IF(Table11[[#This Row],[Unique CFDA]] = "", "", IFERROR(Table11[[#This Row],[FY 2018 Total]]*Table11[[#This Row],[House % Change]], ""))</f>
        <v/>
      </c>
      <c r="J226" s="6"/>
      <c r="K226" s="25" t="str">
        <f>IF(Table11[[#This Row],[Unique CFDA]] = "", "", IFERROR(Table11[[#This Row],[FY 2018 Total]]*Table11[[#This Row],[Senate Budget]], ""))</f>
        <v/>
      </c>
      <c r="L226" s="6" t="str">
        <f>IF(Table11[[#This Row],[Unique CFDA]] = "", "", IF(ISNUMBER(Table11[[#This Row],[President $ Change]]), RANK(Table11[[#This Row],[President $ Change]], Table11[President $ Change])+COUNTIF($G226:G226, G226)-1,0))</f>
        <v/>
      </c>
      <c r="N226">
        <v>223</v>
      </c>
      <c r="O226" t="str">
        <f>IFERROR(INDEX(Table11[Unique CFDA], MATCH(N226, Table11[Pres. Sort], 0)), "")</f>
        <v/>
      </c>
      <c r="P226" s="1" t="str">
        <f>IFERROR(INDEX(Table11[Grant Name], MATCH(MemberOrgFinalSort[[#This Row],[CFDA]], Table11[Unique CFDA], 0)), "")</f>
        <v/>
      </c>
      <c r="Q226" s="20" t="str">
        <f>IFERROR(INDEX(Table11[FY 2018 Total], MATCH(MemberOrgFinalSort[[#This Row],[CFDA]], Table11[Unique CFDA], 0)), "")</f>
        <v/>
      </c>
      <c r="R226" s="21" t="str">
        <f>IFERROR(INDEX(Table11[President % Change], MATCH(MemberOrgFinalSort[[#This Row],[CFDA]], Table11[Unique CFDA], 0)), "")</f>
        <v/>
      </c>
      <c r="S226" s="20" t="str">
        <f>IFERROR(INDEX(Table11[President $ Change], MATCH(MemberOrgFinalSort[[#This Row],[CFDA]], Table11[Unique CFDA], 0)), "")</f>
        <v/>
      </c>
      <c r="T226" s="32" t="str">
        <f>IFERROR(INDEX(Table11[House % Change], MATCH(MemberOrgFinalSort[[#This Row],[CFDA]], Table11[Unique CFDA], 0)), "")</f>
        <v/>
      </c>
      <c r="U226" s="32" t="str">
        <f>IFERROR(INDEX(Table11[House $ Change], MATCH(MemberOrgFinalSort[[#This Row],[CFDA]], Table11[Unique CFDA], 0)), "")</f>
        <v/>
      </c>
      <c r="V226" s="20"/>
      <c r="X226" s="6"/>
      <c r="Y226" s="6"/>
      <c r="Z226" s="6"/>
      <c r="AA226" s="6"/>
      <c r="AB226" s="6"/>
    </row>
    <row r="227" spans="1:28" x14ac:dyDescent="0.25">
      <c r="A227" t="str">
        <f>IF(MemberOrgControl!$C230 = "", "", INDEX(MemberOrgsData[CFDA], MemberOrgControl!$C230))</f>
        <v/>
      </c>
      <c r="C227" s="6" t="str">
        <f>IFERROR(INDEX(AllFilteredCFDAs[All CFDAs], MATCH(0, INDEX(COUNTIF($C$3:C226, AllFilteredCFDAs[All CFDAs]),),0)), "")</f>
        <v/>
      </c>
      <c r="D227" s="6" t="str">
        <f t="array" ref="D227">IFERROR(INDEX(MemberOrgsData[FEDERALPROGRAMNAME], MATCH(1, (SelectMemberOrgs = MemberOrgsData[Auditee Name])*(Table11[[#This Row],[Unique CFDA]] = MemberOrgsData[CFDA]), 0)), "")</f>
        <v/>
      </c>
      <c r="E227" s="25" t="str">
        <f t="array" ref="E227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27" s="26" t="str">
        <f t="array" ref="F227">IFERROR(INDEX(BudgetAppropData[President % Change], MATCH(1, (Table11[[#This Row],[Unique CFDA]] = BudgetAppropData[CFDA])*(SelectBudgetYear = BudgetAppropData[Fiscal Year]), 0)), "")</f>
        <v/>
      </c>
      <c r="G227" s="25" t="str">
        <f>IF(Table11[[#This Row],[Unique CFDA]] = "", "", IFERROR(Table11[[#This Row],[FY 2018 Total]]*Table11[[#This Row],[President % Change]], ""))</f>
        <v/>
      </c>
      <c r="H227" s="26" t="str">
        <f t="array" ref="H227">IFERROR(INDEX(BudgetAppropData[House % Change], MATCH(1, (Table11[[#This Row],[Unique CFDA]] = BudgetAppropData[CFDA])*(SelectBudgetYear = BudgetAppropData[Fiscal Year]),0)), "")</f>
        <v/>
      </c>
      <c r="I227" s="25" t="str">
        <f>IF(Table11[[#This Row],[Unique CFDA]] = "", "", IFERROR(Table11[[#This Row],[FY 2018 Total]]*Table11[[#This Row],[House % Change]], ""))</f>
        <v/>
      </c>
      <c r="J227" s="6"/>
      <c r="K227" s="25" t="str">
        <f>IF(Table11[[#This Row],[Unique CFDA]] = "", "", IFERROR(Table11[[#This Row],[FY 2018 Total]]*Table11[[#This Row],[Senate Budget]], ""))</f>
        <v/>
      </c>
      <c r="L227" s="6" t="str">
        <f>IF(Table11[[#This Row],[Unique CFDA]] = "", "", IF(ISNUMBER(Table11[[#This Row],[President $ Change]]), RANK(Table11[[#This Row],[President $ Change]], Table11[President $ Change])+COUNTIF($G227:G227, G227)-1,0))</f>
        <v/>
      </c>
      <c r="N227">
        <v>224</v>
      </c>
      <c r="O227" t="str">
        <f>IFERROR(INDEX(Table11[Unique CFDA], MATCH(N227, Table11[Pres. Sort], 0)), "")</f>
        <v/>
      </c>
      <c r="P227" s="1" t="str">
        <f>IFERROR(INDEX(Table11[Grant Name], MATCH(MemberOrgFinalSort[[#This Row],[CFDA]], Table11[Unique CFDA], 0)), "")</f>
        <v/>
      </c>
      <c r="Q227" s="20" t="str">
        <f>IFERROR(INDEX(Table11[FY 2018 Total], MATCH(MemberOrgFinalSort[[#This Row],[CFDA]], Table11[Unique CFDA], 0)), "")</f>
        <v/>
      </c>
      <c r="R227" s="21" t="str">
        <f>IFERROR(INDEX(Table11[President % Change], MATCH(MemberOrgFinalSort[[#This Row],[CFDA]], Table11[Unique CFDA], 0)), "")</f>
        <v/>
      </c>
      <c r="S227" s="20" t="str">
        <f>IFERROR(INDEX(Table11[President $ Change], MATCH(MemberOrgFinalSort[[#This Row],[CFDA]], Table11[Unique CFDA], 0)), "")</f>
        <v/>
      </c>
      <c r="T227" s="32" t="str">
        <f>IFERROR(INDEX(Table11[House % Change], MATCH(MemberOrgFinalSort[[#This Row],[CFDA]], Table11[Unique CFDA], 0)), "")</f>
        <v/>
      </c>
      <c r="U227" s="32" t="str">
        <f>IFERROR(INDEX(Table11[House $ Change], MATCH(MemberOrgFinalSort[[#This Row],[CFDA]], Table11[Unique CFDA], 0)), "")</f>
        <v/>
      </c>
      <c r="V227" s="20"/>
      <c r="X227" s="6"/>
      <c r="Y227" s="6"/>
      <c r="Z227" s="6"/>
      <c r="AA227" s="6"/>
      <c r="AB227" s="6"/>
    </row>
    <row r="228" spans="1:28" x14ac:dyDescent="0.25">
      <c r="A228" t="str">
        <f>IF(MemberOrgControl!$C231 = "", "", INDEX(MemberOrgsData[CFDA], MemberOrgControl!$C231))</f>
        <v/>
      </c>
      <c r="C228" s="6" t="str">
        <f>IFERROR(INDEX(AllFilteredCFDAs[All CFDAs], MATCH(0, INDEX(COUNTIF($C$3:C227, AllFilteredCFDAs[All CFDAs]),),0)), "")</f>
        <v/>
      </c>
      <c r="D228" s="6" t="str">
        <f t="array" ref="D228">IFERROR(INDEX(MemberOrgsData[FEDERALPROGRAMNAME], MATCH(1, (SelectMemberOrgs = MemberOrgsData[Auditee Name])*(Table11[[#This Row],[Unique CFDA]] = MemberOrgsData[CFDA]), 0)), "")</f>
        <v/>
      </c>
      <c r="E228" s="25" t="str">
        <f t="array" ref="E228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28" s="26" t="str">
        <f t="array" ref="F228">IFERROR(INDEX(BudgetAppropData[President % Change], MATCH(1, (Table11[[#This Row],[Unique CFDA]] = BudgetAppropData[CFDA])*(SelectBudgetYear = BudgetAppropData[Fiscal Year]), 0)), "")</f>
        <v/>
      </c>
      <c r="G228" s="25" t="str">
        <f>IF(Table11[[#This Row],[Unique CFDA]] = "", "", IFERROR(Table11[[#This Row],[FY 2018 Total]]*Table11[[#This Row],[President % Change]], ""))</f>
        <v/>
      </c>
      <c r="H228" s="26" t="str">
        <f t="array" ref="H228">IFERROR(INDEX(BudgetAppropData[House % Change], MATCH(1, (Table11[[#This Row],[Unique CFDA]] = BudgetAppropData[CFDA])*(SelectBudgetYear = BudgetAppropData[Fiscal Year]),0)), "")</f>
        <v/>
      </c>
      <c r="I228" s="25" t="str">
        <f>IF(Table11[[#This Row],[Unique CFDA]] = "", "", IFERROR(Table11[[#This Row],[FY 2018 Total]]*Table11[[#This Row],[House % Change]], ""))</f>
        <v/>
      </c>
      <c r="J228" s="6"/>
      <c r="K228" s="25" t="str">
        <f>IF(Table11[[#This Row],[Unique CFDA]] = "", "", IFERROR(Table11[[#This Row],[FY 2018 Total]]*Table11[[#This Row],[Senate Budget]], ""))</f>
        <v/>
      </c>
      <c r="L228" s="6" t="str">
        <f>IF(Table11[[#This Row],[Unique CFDA]] = "", "", IF(ISNUMBER(Table11[[#This Row],[President $ Change]]), RANK(Table11[[#This Row],[President $ Change]], Table11[President $ Change])+COUNTIF($G228:G228, G228)-1,0))</f>
        <v/>
      </c>
      <c r="N228">
        <v>225</v>
      </c>
      <c r="O228" t="str">
        <f>IFERROR(INDEX(Table11[Unique CFDA], MATCH(N228, Table11[Pres. Sort], 0)), "")</f>
        <v/>
      </c>
      <c r="P228" s="1" t="str">
        <f>IFERROR(INDEX(Table11[Grant Name], MATCH(MemberOrgFinalSort[[#This Row],[CFDA]], Table11[Unique CFDA], 0)), "")</f>
        <v/>
      </c>
      <c r="Q228" s="20" t="str">
        <f>IFERROR(INDEX(Table11[FY 2018 Total], MATCH(MemberOrgFinalSort[[#This Row],[CFDA]], Table11[Unique CFDA], 0)), "")</f>
        <v/>
      </c>
      <c r="R228" s="21" t="str">
        <f>IFERROR(INDEX(Table11[President % Change], MATCH(MemberOrgFinalSort[[#This Row],[CFDA]], Table11[Unique CFDA], 0)), "")</f>
        <v/>
      </c>
      <c r="S228" s="20" t="str">
        <f>IFERROR(INDEX(Table11[President $ Change], MATCH(MemberOrgFinalSort[[#This Row],[CFDA]], Table11[Unique CFDA], 0)), "")</f>
        <v/>
      </c>
      <c r="T228" s="32" t="str">
        <f>IFERROR(INDEX(Table11[House % Change], MATCH(MemberOrgFinalSort[[#This Row],[CFDA]], Table11[Unique CFDA], 0)), "")</f>
        <v/>
      </c>
      <c r="U228" s="32" t="str">
        <f>IFERROR(INDEX(Table11[House $ Change], MATCH(MemberOrgFinalSort[[#This Row],[CFDA]], Table11[Unique CFDA], 0)), "")</f>
        <v/>
      </c>
      <c r="V228" s="20"/>
      <c r="X228" s="6"/>
      <c r="Y228" s="6"/>
      <c r="Z228" s="6"/>
      <c r="AA228" s="6"/>
      <c r="AB228" s="6"/>
    </row>
    <row r="229" spans="1:28" x14ac:dyDescent="0.25">
      <c r="A229" t="str">
        <f>IF(MemberOrgControl!$C232 = "", "", INDEX(MemberOrgsData[CFDA], MemberOrgControl!$C232))</f>
        <v/>
      </c>
      <c r="C229" s="6" t="str">
        <f>IFERROR(INDEX(AllFilteredCFDAs[All CFDAs], MATCH(0, INDEX(COUNTIF($C$3:C228, AllFilteredCFDAs[All CFDAs]),),0)), "")</f>
        <v/>
      </c>
      <c r="D229" s="6" t="str">
        <f t="array" ref="D229">IFERROR(INDEX(MemberOrgsData[FEDERALPROGRAMNAME], MATCH(1, (SelectMemberOrgs = MemberOrgsData[Auditee Name])*(Table11[[#This Row],[Unique CFDA]] = MemberOrgsData[CFDA]), 0)), "")</f>
        <v/>
      </c>
      <c r="E229" s="25" t="str">
        <f t="array" ref="E229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29" s="26" t="str">
        <f t="array" ref="F229">IFERROR(INDEX(BudgetAppropData[President % Change], MATCH(1, (Table11[[#This Row],[Unique CFDA]] = BudgetAppropData[CFDA])*(SelectBudgetYear = BudgetAppropData[Fiscal Year]), 0)), "")</f>
        <v/>
      </c>
      <c r="G229" s="25" t="str">
        <f>IF(Table11[[#This Row],[Unique CFDA]] = "", "", IFERROR(Table11[[#This Row],[FY 2018 Total]]*Table11[[#This Row],[President % Change]], ""))</f>
        <v/>
      </c>
      <c r="H229" s="26" t="str">
        <f t="array" ref="H229">IFERROR(INDEX(BudgetAppropData[House % Change], MATCH(1, (Table11[[#This Row],[Unique CFDA]] = BudgetAppropData[CFDA])*(SelectBudgetYear = BudgetAppropData[Fiscal Year]),0)), "")</f>
        <v/>
      </c>
      <c r="I229" s="25" t="str">
        <f>IF(Table11[[#This Row],[Unique CFDA]] = "", "", IFERROR(Table11[[#This Row],[FY 2018 Total]]*Table11[[#This Row],[House % Change]], ""))</f>
        <v/>
      </c>
      <c r="J229" s="6"/>
      <c r="K229" s="25" t="str">
        <f>IF(Table11[[#This Row],[Unique CFDA]] = "", "", IFERROR(Table11[[#This Row],[FY 2018 Total]]*Table11[[#This Row],[Senate Budget]], ""))</f>
        <v/>
      </c>
      <c r="L229" s="6" t="str">
        <f>IF(Table11[[#This Row],[Unique CFDA]] = "", "", IF(ISNUMBER(Table11[[#This Row],[President $ Change]]), RANK(Table11[[#This Row],[President $ Change]], Table11[President $ Change])+COUNTIF($G229:G229, G229)-1,0))</f>
        <v/>
      </c>
      <c r="N229">
        <v>226</v>
      </c>
      <c r="O229" t="str">
        <f>IFERROR(INDEX(Table11[Unique CFDA], MATCH(N229, Table11[Pres. Sort], 0)), "")</f>
        <v/>
      </c>
      <c r="P229" s="1" t="str">
        <f>IFERROR(INDEX(Table11[Grant Name], MATCH(MemberOrgFinalSort[[#This Row],[CFDA]], Table11[Unique CFDA], 0)), "")</f>
        <v/>
      </c>
      <c r="Q229" s="20" t="str">
        <f>IFERROR(INDEX(Table11[FY 2018 Total], MATCH(MemberOrgFinalSort[[#This Row],[CFDA]], Table11[Unique CFDA], 0)), "")</f>
        <v/>
      </c>
      <c r="R229" s="21" t="str">
        <f>IFERROR(INDEX(Table11[President % Change], MATCH(MemberOrgFinalSort[[#This Row],[CFDA]], Table11[Unique CFDA], 0)), "")</f>
        <v/>
      </c>
      <c r="S229" s="20" t="str">
        <f>IFERROR(INDEX(Table11[President $ Change], MATCH(MemberOrgFinalSort[[#This Row],[CFDA]], Table11[Unique CFDA], 0)), "")</f>
        <v/>
      </c>
      <c r="T229" s="32" t="str">
        <f>IFERROR(INDEX(Table11[House % Change], MATCH(MemberOrgFinalSort[[#This Row],[CFDA]], Table11[Unique CFDA], 0)), "")</f>
        <v/>
      </c>
      <c r="U229" s="32" t="str">
        <f>IFERROR(INDEX(Table11[House $ Change], MATCH(MemberOrgFinalSort[[#This Row],[CFDA]], Table11[Unique CFDA], 0)), "")</f>
        <v/>
      </c>
      <c r="V229" s="20"/>
      <c r="X229" s="6"/>
      <c r="Y229" s="6"/>
      <c r="Z229" s="6"/>
      <c r="AA229" s="6"/>
      <c r="AB229" s="6"/>
    </row>
    <row r="230" spans="1:28" x14ac:dyDescent="0.25">
      <c r="A230" t="str">
        <f>IF(MemberOrgControl!$C233 = "", "", INDEX(MemberOrgsData[CFDA], MemberOrgControl!$C233))</f>
        <v/>
      </c>
      <c r="C230" s="6" t="str">
        <f>IFERROR(INDEX(AllFilteredCFDAs[All CFDAs], MATCH(0, INDEX(COUNTIF($C$3:C229, AllFilteredCFDAs[All CFDAs]),),0)), "")</f>
        <v/>
      </c>
      <c r="D230" s="6" t="str">
        <f t="array" ref="D230">IFERROR(INDEX(MemberOrgsData[FEDERALPROGRAMNAME], MATCH(1, (SelectMemberOrgs = MemberOrgsData[Auditee Name])*(Table11[[#This Row],[Unique CFDA]] = MemberOrgsData[CFDA]), 0)), "")</f>
        <v/>
      </c>
      <c r="E230" s="25" t="str">
        <f t="array" ref="E230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30" s="26" t="str">
        <f t="array" ref="F230">IFERROR(INDEX(BudgetAppropData[President % Change], MATCH(1, (Table11[[#This Row],[Unique CFDA]] = BudgetAppropData[CFDA])*(SelectBudgetYear = BudgetAppropData[Fiscal Year]), 0)), "")</f>
        <v/>
      </c>
      <c r="G230" s="25" t="str">
        <f>IF(Table11[[#This Row],[Unique CFDA]] = "", "", IFERROR(Table11[[#This Row],[FY 2018 Total]]*Table11[[#This Row],[President % Change]], ""))</f>
        <v/>
      </c>
      <c r="H230" s="26" t="str">
        <f t="array" ref="H230">IFERROR(INDEX(BudgetAppropData[House % Change], MATCH(1, (Table11[[#This Row],[Unique CFDA]] = BudgetAppropData[CFDA])*(SelectBudgetYear = BudgetAppropData[Fiscal Year]),0)), "")</f>
        <v/>
      </c>
      <c r="I230" s="25" t="str">
        <f>IF(Table11[[#This Row],[Unique CFDA]] = "", "", IFERROR(Table11[[#This Row],[FY 2018 Total]]*Table11[[#This Row],[House % Change]], ""))</f>
        <v/>
      </c>
      <c r="J230" s="6"/>
      <c r="K230" s="25" t="str">
        <f>IF(Table11[[#This Row],[Unique CFDA]] = "", "", IFERROR(Table11[[#This Row],[FY 2018 Total]]*Table11[[#This Row],[Senate Budget]], ""))</f>
        <v/>
      </c>
      <c r="L230" s="6" t="str">
        <f>IF(Table11[[#This Row],[Unique CFDA]] = "", "", IF(ISNUMBER(Table11[[#This Row],[President $ Change]]), RANK(Table11[[#This Row],[President $ Change]], Table11[President $ Change])+COUNTIF($G230:G230, G230)-1,0))</f>
        <v/>
      </c>
      <c r="N230">
        <v>227</v>
      </c>
      <c r="O230" t="str">
        <f>IFERROR(INDEX(Table11[Unique CFDA], MATCH(N230, Table11[Pres. Sort], 0)), "")</f>
        <v/>
      </c>
      <c r="P230" s="1" t="str">
        <f>IFERROR(INDEX(Table11[Grant Name], MATCH(MemberOrgFinalSort[[#This Row],[CFDA]], Table11[Unique CFDA], 0)), "")</f>
        <v/>
      </c>
      <c r="Q230" s="20" t="str">
        <f>IFERROR(INDEX(Table11[FY 2018 Total], MATCH(MemberOrgFinalSort[[#This Row],[CFDA]], Table11[Unique CFDA], 0)), "")</f>
        <v/>
      </c>
      <c r="R230" s="21" t="str">
        <f>IFERROR(INDEX(Table11[President % Change], MATCH(MemberOrgFinalSort[[#This Row],[CFDA]], Table11[Unique CFDA], 0)), "")</f>
        <v/>
      </c>
      <c r="S230" s="20" t="str">
        <f>IFERROR(INDEX(Table11[President $ Change], MATCH(MemberOrgFinalSort[[#This Row],[CFDA]], Table11[Unique CFDA], 0)), "")</f>
        <v/>
      </c>
      <c r="T230" s="32" t="str">
        <f>IFERROR(INDEX(Table11[House % Change], MATCH(MemberOrgFinalSort[[#This Row],[CFDA]], Table11[Unique CFDA], 0)), "")</f>
        <v/>
      </c>
      <c r="U230" s="32" t="str">
        <f>IFERROR(INDEX(Table11[House $ Change], MATCH(MemberOrgFinalSort[[#This Row],[CFDA]], Table11[Unique CFDA], 0)), "")</f>
        <v/>
      </c>
      <c r="V230" s="20"/>
      <c r="X230" s="6"/>
      <c r="Y230" s="6"/>
      <c r="Z230" s="6"/>
      <c r="AA230" s="6"/>
      <c r="AB230" s="6"/>
    </row>
    <row r="231" spans="1:28" x14ac:dyDescent="0.25">
      <c r="A231" t="str">
        <f>IF(MemberOrgControl!$C234 = "", "", INDEX(MemberOrgsData[CFDA], MemberOrgControl!$C234))</f>
        <v/>
      </c>
      <c r="C231" s="6" t="str">
        <f>IFERROR(INDEX(AllFilteredCFDAs[All CFDAs], MATCH(0, INDEX(COUNTIF($C$3:C230, AllFilteredCFDAs[All CFDAs]),),0)), "")</f>
        <v/>
      </c>
      <c r="D231" s="6" t="str">
        <f t="array" ref="D231">IFERROR(INDEX(MemberOrgsData[FEDERALPROGRAMNAME], MATCH(1, (SelectMemberOrgs = MemberOrgsData[Auditee Name])*(Table11[[#This Row],[Unique CFDA]] = MemberOrgsData[CFDA]), 0)), "")</f>
        <v/>
      </c>
      <c r="E231" s="25" t="str">
        <f t="array" ref="E231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31" s="26" t="str">
        <f t="array" ref="F231">IFERROR(INDEX(BudgetAppropData[President % Change], MATCH(1, (Table11[[#This Row],[Unique CFDA]] = BudgetAppropData[CFDA])*(SelectBudgetYear = BudgetAppropData[Fiscal Year]), 0)), "")</f>
        <v/>
      </c>
      <c r="G231" s="25" t="str">
        <f>IF(Table11[[#This Row],[Unique CFDA]] = "", "", IFERROR(Table11[[#This Row],[FY 2018 Total]]*Table11[[#This Row],[President % Change]], ""))</f>
        <v/>
      </c>
      <c r="H231" s="26" t="str">
        <f t="array" ref="H231">IFERROR(INDEX(BudgetAppropData[House % Change], MATCH(1, (Table11[[#This Row],[Unique CFDA]] = BudgetAppropData[CFDA])*(SelectBudgetYear = BudgetAppropData[Fiscal Year]),0)), "")</f>
        <v/>
      </c>
      <c r="I231" s="25" t="str">
        <f>IF(Table11[[#This Row],[Unique CFDA]] = "", "", IFERROR(Table11[[#This Row],[FY 2018 Total]]*Table11[[#This Row],[House % Change]], ""))</f>
        <v/>
      </c>
      <c r="J231" s="6"/>
      <c r="K231" s="25" t="str">
        <f>IF(Table11[[#This Row],[Unique CFDA]] = "", "", IFERROR(Table11[[#This Row],[FY 2018 Total]]*Table11[[#This Row],[Senate Budget]], ""))</f>
        <v/>
      </c>
      <c r="L231" s="6" t="str">
        <f>IF(Table11[[#This Row],[Unique CFDA]] = "", "", IF(ISNUMBER(Table11[[#This Row],[President $ Change]]), RANK(Table11[[#This Row],[President $ Change]], Table11[President $ Change])+COUNTIF($G231:G231, G231)-1,0))</f>
        <v/>
      </c>
      <c r="N231">
        <v>228</v>
      </c>
      <c r="O231" t="str">
        <f>IFERROR(INDEX(Table11[Unique CFDA], MATCH(N231, Table11[Pres. Sort], 0)), "")</f>
        <v/>
      </c>
      <c r="P231" s="1" t="str">
        <f>IFERROR(INDEX(Table11[Grant Name], MATCH(MemberOrgFinalSort[[#This Row],[CFDA]], Table11[Unique CFDA], 0)), "")</f>
        <v/>
      </c>
      <c r="Q231" s="20" t="str">
        <f>IFERROR(INDEX(Table11[FY 2018 Total], MATCH(MemberOrgFinalSort[[#This Row],[CFDA]], Table11[Unique CFDA], 0)), "")</f>
        <v/>
      </c>
      <c r="R231" s="21" t="str">
        <f>IFERROR(INDEX(Table11[President % Change], MATCH(MemberOrgFinalSort[[#This Row],[CFDA]], Table11[Unique CFDA], 0)), "")</f>
        <v/>
      </c>
      <c r="S231" s="20" t="str">
        <f>IFERROR(INDEX(Table11[President $ Change], MATCH(MemberOrgFinalSort[[#This Row],[CFDA]], Table11[Unique CFDA], 0)), "")</f>
        <v/>
      </c>
      <c r="T231" s="32" t="str">
        <f>IFERROR(INDEX(Table11[House % Change], MATCH(MemberOrgFinalSort[[#This Row],[CFDA]], Table11[Unique CFDA], 0)), "")</f>
        <v/>
      </c>
      <c r="U231" s="32" t="str">
        <f>IFERROR(INDEX(Table11[House $ Change], MATCH(MemberOrgFinalSort[[#This Row],[CFDA]], Table11[Unique CFDA], 0)), "")</f>
        <v/>
      </c>
      <c r="V231" s="20"/>
      <c r="X231" s="6"/>
      <c r="Y231" s="6"/>
      <c r="Z231" s="6"/>
      <c r="AA231" s="6"/>
      <c r="AB231" s="6"/>
    </row>
    <row r="232" spans="1:28" x14ac:dyDescent="0.25">
      <c r="A232" t="str">
        <f>IF(MemberOrgControl!$C235 = "", "", INDEX(MemberOrgsData[CFDA], MemberOrgControl!$C235))</f>
        <v/>
      </c>
      <c r="C232" s="6" t="str">
        <f>IFERROR(INDEX(AllFilteredCFDAs[All CFDAs], MATCH(0, INDEX(COUNTIF($C$3:C231, AllFilteredCFDAs[All CFDAs]),),0)), "")</f>
        <v/>
      </c>
      <c r="D232" s="6" t="str">
        <f t="array" ref="D232">IFERROR(INDEX(MemberOrgsData[FEDERALPROGRAMNAME], MATCH(1, (SelectMemberOrgs = MemberOrgsData[Auditee Name])*(Table11[[#This Row],[Unique CFDA]] = MemberOrgsData[CFDA]), 0)), "")</f>
        <v/>
      </c>
      <c r="E232" s="25" t="str">
        <f t="array" ref="E232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32" s="26" t="str">
        <f t="array" ref="F232">IFERROR(INDEX(BudgetAppropData[President % Change], MATCH(1, (Table11[[#This Row],[Unique CFDA]] = BudgetAppropData[CFDA])*(SelectBudgetYear = BudgetAppropData[Fiscal Year]), 0)), "")</f>
        <v/>
      </c>
      <c r="G232" s="25" t="str">
        <f>IF(Table11[[#This Row],[Unique CFDA]] = "", "", IFERROR(Table11[[#This Row],[FY 2018 Total]]*Table11[[#This Row],[President % Change]], ""))</f>
        <v/>
      </c>
      <c r="H232" s="26" t="str">
        <f t="array" ref="H232">IFERROR(INDEX(BudgetAppropData[House % Change], MATCH(1, (Table11[[#This Row],[Unique CFDA]] = BudgetAppropData[CFDA])*(SelectBudgetYear = BudgetAppropData[Fiscal Year]),0)), "")</f>
        <v/>
      </c>
      <c r="I232" s="25" t="str">
        <f>IF(Table11[[#This Row],[Unique CFDA]] = "", "", IFERROR(Table11[[#This Row],[FY 2018 Total]]*Table11[[#This Row],[House % Change]], ""))</f>
        <v/>
      </c>
      <c r="J232" s="6"/>
      <c r="K232" s="25" t="str">
        <f>IF(Table11[[#This Row],[Unique CFDA]] = "", "", IFERROR(Table11[[#This Row],[FY 2018 Total]]*Table11[[#This Row],[Senate Budget]], ""))</f>
        <v/>
      </c>
      <c r="L232" s="6" t="str">
        <f>IF(Table11[[#This Row],[Unique CFDA]] = "", "", IF(ISNUMBER(Table11[[#This Row],[President $ Change]]), RANK(Table11[[#This Row],[President $ Change]], Table11[President $ Change])+COUNTIF($G232:G232, G232)-1,0))</f>
        <v/>
      </c>
      <c r="N232">
        <v>229</v>
      </c>
      <c r="O232" t="str">
        <f>IFERROR(INDEX(Table11[Unique CFDA], MATCH(N232, Table11[Pres. Sort], 0)), "")</f>
        <v/>
      </c>
      <c r="P232" s="1" t="str">
        <f>IFERROR(INDEX(Table11[Grant Name], MATCH(MemberOrgFinalSort[[#This Row],[CFDA]], Table11[Unique CFDA], 0)), "")</f>
        <v/>
      </c>
      <c r="Q232" s="20" t="str">
        <f>IFERROR(INDEX(Table11[FY 2018 Total], MATCH(MemberOrgFinalSort[[#This Row],[CFDA]], Table11[Unique CFDA], 0)), "")</f>
        <v/>
      </c>
      <c r="R232" s="21" t="str">
        <f>IFERROR(INDEX(Table11[President % Change], MATCH(MemberOrgFinalSort[[#This Row],[CFDA]], Table11[Unique CFDA], 0)), "")</f>
        <v/>
      </c>
      <c r="S232" s="20" t="str">
        <f>IFERROR(INDEX(Table11[President $ Change], MATCH(MemberOrgFinalSort[[#This Row],[CFDA]], Table11[Unique CFDA], 0)), "")</f>
        <v/>
      </c>
      <c r="T232" s="32" t="str">
        <f>IFERROR(INDEX(Table11[House % Change], MATCH(MemberOrgFinalSort[[#This Row],[CFDA]], Table11[Unique CFDA], 0)), "")</f>
        <v/>
      </c>
      <c r="U232" s="32" t="str">
        <f>IFERROR(INDEX(Table11[House $ Change], MATCH(MemberOrgFinalSort[[#This Row],[CFDA]], Table11[Unique CFDA], 0)), "")</f>
        <v/>
      </c>
      <c r="V232" s="20"/>
      <c r="X232" s="6"/>
      <c r="Y232" s="6"/>
      <c r="Z232" s="6"/>
      <c r="AA232" s="6"/>
      <c r="AB232" s="6"/>
    </row>
    <row r="233" spans="1:28" x14ac:dyDescent="0.25">
      <c r="A233" t="str">
        <f>IF(MemberOrgControl!$C236 = "", "", INDEX(MemberOrgsData[CFDA], MemberOrgControl!$C236))</f>
        <v/>
      </c>
      <c r="C233" s="6" t="str">
        <f>IFERROR(INDEX(AllFilteredCFDAs[All CFDAs], MATCH(0, INDEX(COUNTIF($C$3:C232, AllFilteredCFDAs[All CFDAs]),),0)), "")</f>
        <v/>
      </c>
      <c r="D233" s="6" t="str">
        <f t="array" ref="D233">IFERROR(INDEX(MemberOrgsData[FEDERALPROGRAMNAME], MATCH(1, (SelectMemberOrgs = MemberOrgsData[Auditee Name])*(Table11[[#This Row],[Unique CFDA]] = MemberOrgsData[CFDA]), 0)), "")</f>
        <v/>
      </c>
      <c r="E233" s="25" t="str">
        <f t="array" ref="E233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33" s="26" t="str">
        <f t="array" ref="F233">IFERROR(INDEX(BudgetAppropData[President % Change], MATCH(1, (Table11[[#This Row],[Unique CFDA]] = BudgetAppropData[CFDA])*(SelectBudgetYear = BudgetAppropData[Fiscal Year]), 0)), "")</f>
        <v/>
      </c>
      <c r="G233" s="25" t="str">
        <f>IF(Table11[[#This Row],[Unique CFDA]] = "", "", IFERROR(Table11[[#This Row],[FY 2018 Total]]*Table11[[#This Row],[President % Change]], ""))</f>
        <v/>
      </c>
      <c r="H233" s="26" t="str">
        <f t="array" ref="H233">IFERROR(INDEX(BudgetAppropData[House % Change], MATCH(1, (Table11[[#This Row],[Unique CFDA]] = BudgetAppropData[CFDA])*(SelectBudgetYear = BudgetAppropData[Fiscal Year]),0)), "")</f>
        <v/>
      </c>
      <c r="I233" s="25" t="str">
        <f>IF(Table11[[#This Row],[Unique CFDA]] = "", "", IFERROR(Table11[[#This Row],[FY 2018 Total]]*Table11[[#This Row],[House % Change]], ""))</f>
        <v/>
      </c>
      <c r="J233" s="6"/>
      <c r="K233" s="25" t="str">
        <f>IF(Table11[[#This Row],[Unique CFDA]] = "", "", IFERROR(Table11[[#This Row],[FY 2018 Total]]*Table11[[#This Row],[Senate Budget]], ""))</f>
        <v/>
      </c>
      <c r="L233" s="6" t="str">
        <f>IF(Table11[[#This Row],[Unique CFDA]] = "", "", IF(ISNUMBER(Table11[[#This Row],[President $ Change]]), RANK(Table11[[#This Row],[President $ Change]], Table11[President $ Change])+COUNTIF($G233:G233, G233)-1,0))</f>
        <v/>
      </c>
      <c r="N233">
        <v>230</v>
      </c>
      <c r="O233" t="str">
        <f>IFERROR(INDEX(Table11[Unique CFDA], MATCH(N233, Table11[Pres. Sort], 0)), "")</f>
        <v/>
      </c>
      <c r="P233" s="1" t="str">
        <f>IFERROR(INDEX(Table11[Grant Name], MATCH(MemberOrgFinalSort[[#This Row],[CFDA]], Table11[Unique CFDA], 0)), "")</f>
        <v/>
      </c>
      <c r="Q233" s="20" t="str">
        <f>IFERROR(INDEX(Table11[FY 2018 Total], MATCH(MemberOrgFinalSort[[#This Row],[CFDA]], Table11[Unique CFDA], 0)), "")</f>
        <v/>
      </c>
      <c r="R233" s="21" t="str">
        <f>IFERROR(INDEX(Table11[President % Change], MATCH(MemberOrgFinalSort[[#This Row],[CFDA]], Table11[Unique CFDA], 0)), "")</f>
        <v/>
      </c>
      <c r="S233" s="20" t="str">
        <f>IFERROR(INDEX(Table11[President $ Change], MATCH(MemberOrgFinalSort[[#This Row],[CFDA]], Table11[Unique CFDA], 0)), "")</f>
        <v/>
      </c>
      <c r="T233" s="32" t="str">
        <f>IFERROR(INDEX(Table11[House % Change], MATCH(MemberOrgFinalSort[[#This Row],[CFDA]], Table11[Unique CFDA], 0)), "")</f>
        <v/>
      </c>
      <c r="U233" s="32" t="str">
        <f>IFERROR(INDEX(Table11[House $ Change], MATCH(MemberOrgFinalSort[[#This Row],[CFDA]], Table11[Unique CFDA], 0)), "")</f>
        <v/>
      </c>
      <c r="V233" s="20"/>
      <c r="X233" s="6"/>
      <c r="Y233" s="6"/>
      <c r="Z233" s="6"/>
      <c r="AA233" s="6"/>
      <c r="AB233" s="6"/>
    </row>
    <row r="234" spans="1:28" x14ac:dyDescent="0.25">
      <c r="A234" t="str">
        <f>IF(MemberOrgControl!$C237 = "", "", INDEX(MemberOrgsData[CFDA], MemberOrgControl!$C237))</f>
        <v/>
      </c>
      <c r="C234" s="6" t="str">
        <f>IFERROR(INDEX(AllFilteredCFDAs[All CFDAs], MATCH(0, INDEX(COUNTIF($C$3:C233, AllFilteredCFDAs[All CFDAs]),),0)), "")</f>
        <v/>
      </c>
      <c r="D234" s="6" t="str">
        <f t="array" ref="D234">IFERROR(INDEX(MemberOrgsData[FEDERALPROGRAMNAME], MATCH(1, (SelectMemberOrgs = MemberOrgsData[Auditee Name])*(Table11[[#This Row],[Unique CFDA]] = MemberOrgsData[CFDA]), 0)), "")</f>
        <v/>
      </c>
      <c r="E234" s="25" t="str">
        <f t="array" ref="E234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34" s="26" t="str">
        <f t="array" ref="F234">IFERROR(INDEX(BudgetAppropData[President % Change], MATCH(1, (Table11[[#This Row],[Unique CFDA]] = BudgetAppropData[CFDA])*(SelectBudgetYear = BudgetAppropData[Fiscal Year]), 0)), "")</f>
        <v/>
      </c>
      <c r="G234" s="25" t="str">
        <f>IF(Table11[[#This Row],[Unique CFDA]] = "", "", IFERROR(Table11[[#This Row],[FY 2018 Total]]*Table11[[#This Row],[President % Change]], ""))</f>
        <v/>
      </c>
      <c r="H234" s="26" t="str">
        <f t="array" ref="H234">IFERROR(INDEX(BudgetAppropData[House % Change], MATCH(1, (Table11[[#This Row],[Unique CFDA]] = BudgetAppropData[CFDA])*(SelectBudgetYear = BudgetAppropData[Fiscal Year]),0)), "")</f>
        <v/>
      </c>
      <c r="I234" s="25" t="str">
        <f>IF(Table11[[#This Row],[Unique CFDA]] = "", "", IFERROR(Table11[[#This Row],[FY 2018 Total]]*Table11[[#This Row],[House % Change]], ""))</f>
        <v/>
      </c>
      <c r="J234" s="6"/>
      <c r="K234" s="25" t="str">
        <f>IF(Table11[[#This Row],[Unique CFDA]] = "", "", IFERROR(Table11[[#This Row],[FY 2018 Total]]*Table11[[#This Row],[Senate Budget]], ""))</f>
        <v/>
      </c>
      <c r="L234" s="6" t="str">
        <f>IF(Table11[[#This Row],[Unique CFDA]] = "", "", IF(ISNUMBER(Table11[[#This Row],[President $ Change]]), RANK(Table11[[#This Row],[President $ Change]], Table11[President $ Change])+COUNTIF($G234:G234, G234)-1,0))</f>
        <v/>
      </c>
      <c r="N234">
        <v>231</v>
      </c>
      <c r="O234" t="str">
        <f>IFERROR(INDEX(Table11[Unique CFDA], MATCH(N234, Table11[Pres. Sort], 0)), "")</f>
        <v/>
      </c>
      <c r="P234" s="1" t="str">
        <f>IFERROR(INDEX(Table11[Grant Name], MATCH(MemberOrgFinalSort[[#This Row],[CFDA]], Table11[Unique CFDA], 0)), "")</f>
        <v/>
      </c>
      <c r="Q234" s="20" t="str">
        <f>IFERROR(INDEX(Table11[FY 2018 Total], MATCH(MemberOrgFinalSort[[#This Row],[CFDA]], Table11[Unique CFDA], 0)), "")</f>
        <v/>
      </c>
      <c r="R234" s="21" t="str">
        <f>IFERROR(INDEX(Table11[President % Change], MATCH(MemberOrgFinalSort[[#This Row],[CFDA]], Table11[Unique CFDA], 0)), "")</f>
        <v/>
      </c>
      <c r="S234" s="20" t="str">
        <f>IFERROR(INDEX(Table11[President $ Change], MATCH(MemberOrgFinalSort[[#This Row],[CFDA]], Table11[Unique CFDA], 0)), "")</f>
        <v/>
      </c>
      <c r="T234" s="32" t="str">
        <f>IFERROR(INDEX(Table11[House % Change], MATCH(MemberOrgFinalSort[[#This Row],[CFDA]], Table11[Unique CFDA], 0)), "")</f>
        <v/>
      </c>
      <c r="U234" s="32" t="str">
        <f>IFERROR(INDEX(Table11[House $ Change], MATCH(MemberOrgFinalSort[[#This Row],[CFDA]], Table11[Unique CFDA], 0)), "")</f>
        <v/>
      </c>
      <c r="V234" s="20"/>
      <c r="X234" s="6"/>
      <c r="Y234" s="6"/>
      <c r="Z234" s="6"/>
      <c r="AA234" s="6"/>
      <c r="AB234" s="6"/>
    </row>
    <row r="235" spans="1:28" x14ac:dyDescent="0.25">
      <c r="A235" t="str">
        <f>IF(MemberOrgControl!$C238 = "", "", INDEX(MemberOrgsData[CFDA], MemberOrgControl!$C238))</f>
        <v/>
      </c>
      <c r="C235" s="6" t="str">
        <f>IFERROR(INDEX(AllFilteredCFDAs[All CFDAs], MATCH(0, INDEX(COUNTIF($C$3:C234, AllFilteredCFDAs[All CFDAs]),),0)), "")</f>
        <v/>
      </c>
      <c r="D235" s="6" t="str">
        <f t="array" ref="D235">IFERROR(INDEX(MemberOrgsData[FEDERALPROGRAMNAME], MATCH(1, (SelectMemberOrgs = MemberOrgsData[Auditee Name])*(Table11[[#This Row],[Unique CFDA]] = MemberOrgsData[CFDA]), 0)), "")</f>
        <v/>
      </c>
      <c r="E235" s="25" t="str">
        <f t="array" ref="E235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35" s="26" t="str">
        <f t="array" ref="F235">IFERROR(INDEX(BudgetAppropData[President % Change], MATCH(1, (Table11[[#This Row],[Unique CFDA]] = BudgetAppropData[CFDA])*(SelectBudgetYear = BudgetAppropData[Fiscal Year]), 0)), "")</f>
        <v/>
      </c>
      <c r="G235" s="25" t="str">
        <f>IF(Table11[[#This Row],[Unique CFDA]] = "", "", IFERROR(Table11[[#This Row],[FY 2018 Total]]*Table11[[#This Row],[President % Change]], ""))</f>
        <v/>
      </c>
      <c r="H235" s="26" t="str">
        <f t="array" ref="H235">IFERROR(INDEX(BudgetAppropData[House % Change], MATCH(1, (Table11[[#This Row],[Unique CFDA]] = BudgetAppropData[CFDA])*(SelectBudgetYear = BudgetAppropData[Fiscal Year]),0)), "")</f>
        <v/>
      </c>
      <c r="I235" s="25" t="str">
        <f>IF(Table11[[#This Row],[Unique CFDA]] = "", "", IFERROR(Table11[[#This Row],[FY 2018 Total]]*Table11[[#This Row],[House % Change]], ""))</f>
        <v/>
      </c>
      <c r="J235" s="6"/>
      <c r="K235" s="25" t="str">
        <f>IF(Table11[[#This Row],[Unique CFDA]] = "", "", IFERROR(Table11[[#This Row],[FY 2018 Total]]*Table11[[#This Row],[Senate Budget]], ""))</f>
        <v/>
      </c>
      <c r="L235" s="6" t="str">
        <f>IF(Table11[[#This Row],[Unique CFDA]] = "", "", IF(ISNUMBER(Table11[[#This Row],[President $ Change]]), RANK(Table11[[#This Row],[President $ Change]], Table11[President $ Change])+COUNTIF($G235:G235, G235)-1,0))</f>
        <v/>
      </c>
      <c r="N235">
        <v>232</v>
      </c>
      <c r="O235" t="str">
        <f>IFERROR(INDEX(Table11[Unique CFDA], MATCH(N235, Table11[Pres. Sort], 0)), "")</f>
        <v/>
      </c>
      <c r="P235" s="1" t="str">
        <f>IFERROR(INDEX(Table11[Grant Name], MATCH(MemberOrgFinalSort[[#This Row],[CFDA]], Table11[Unique CFDA], 0)), "")</f>
        <v/>
      </c>
      <c r="Q235" s="20" t="str">
        <f>IFERROR(INDEX(Table11[FY 2018 Total], MATCH(MemberOrgFinalSort[[#This Row],[CFDA]], Table11[Unique CFDA], 0)), "")</f>
        <v/>
      </c>
      <c r="R235" s="21" t="str">
        <f>IFERROR(INDEX(Table11[President % Change], MATCH(MemberOrgFinalSort[[#This Row],[CFDA]], Table11[Unique CFDA], 0)), "")</f>
        <v/>
      </c>
      <c r="S235" s="20" t="str">
        <f>IFERROR(INDEX(Table11[President $ Change], MATCH(MemberOrgFinalSort[[#This Row],[CFDA]], Table11[Unique CFDA], 0)), "")</f>
        <v/>
      </c>
      <c r="T235" s="32" t="str">
        <f>IFERROR(INDEX(Table11[House % Change], MATCH(MemberOrgFinalSort[[#This Row],[CFDA]], Table11[Unique CFDA], 0)), "")</f>
        <v/>
      </c>
      <c r="U235" s="32" t="str">
        <f>IFERROR(INDEX(Table11[House $ Change], MATCH(MemberOrgFinalSort[[#This Row],[CFDA]], Table11[Unique CFDA], 0)), "")</f>
        <v/>
      </c>
      <c r="V235" s="20"/>
      <c r="X235" s="6"/>
      <c r="Y235" s="6"/>
      <c r="Z235" s="6"/>
      <c r="AA235" s="6"/>
      <c r="AB235" s="6"/>
    </row>
    <row r="236" spans="1:28" x14ac:dyDescent="0.25">
      <c r="A236" t="str">
        <f>IF(MemberOrgControl!$C239 = "", "", INDEX(MemberOrgsData[CFDA], MemberOrgControl!$C239))</f>
        <v/>
      </c>
      <c r="C236" s="6" t="str">
        <f>IFERROR(INDEX(AllFilteredCFDAs[All CFDAs], MATCH(0, INDEX(COUNTIF($C$3:C235, AllFilteredCFDAs[All CFDAs]),),0)), "")</f>
        <v/>
      </c>
      <c r="D236" s="6" t="str">
        <f t="array" ref="D236">IFERROR(INDEX(MemberOrgsData[FEDERALPROGRAMNAME], MATCH(1, (SelectMemberOrgs = MemberOrgsData[Auditee Name])*(Table11[[#This Row],[Unique CFDA]] = MemberOrgsData[CFDA]), 0)), "")</f>
        <v/>
      </c>
      <c r="E236" s="25" t="str">
        <f t="array" ref="E236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36" s="26" t="str">
        <f t="array" ref="F236">IFERROR(INDEX(BudgetAppropData[President % Change], MATCH(1, (Table11[[#This Row],[Unique CFDA]] = BudgetAppropData[CFDA])*(SelectBudgetYear = BudgetAppropData[Fiscal Year]), 0)), "")</f>
        <v/>
      </c>
      <c r="G236" s="25" t="str">
        <f>IF(Table11[[#This Row],[Unique CFDA]] = "", "", IFERROR(Table11[[#This Row],[FY 2018 Total]]*Table11[[#This Row],[President % Change]], ""))</f>
        <v/>
      </c>
      <c r="H236" s="26" t="str">
        <f t="array" ref="H236">IFERROR(INDEX(BudgetAppropData[House % Change], MATCH(1, (Table11[[#This Row],[Unique CFDA]] = BudgetAppropData[CFDA])*(SelectBudgetYear = BudgetAppropData[Fiscal Year]),0)), "")</f>
        <v/>
      </c>
      <c r="I236" s="25" t="str">
        <f>IF(Table11[[#This Row],[Unique CFDA]] = "", "", IFERROR(Table11[[#This Row],[FY 2018 Total]]*Table11[[#This Row],[House % Change]], ""))</f>
        <v/>
      </c>
      <c r="J236" s="6"/>
      <c r="K236" s="25" t="str">
        <f>IF(Table11[[#This Row],[Unique CFDA]] = "", "", IFERROR(Table11[[#This Row],[FY 2018 Total]]*Table11[[#This Row],[Senate Budget]], ""))</f>
        <v/>
      </c>
      <c r="L236" s="6" t="str">
        <f>IF(Table11[[#This Row],[Unique CFDA]] = "", "", IF(ISNUMBER(Table11[[#This Row],[President $ Change]]), RANK(Table11[[#This Row],[President $ Change]], Table11[President $ Change])+COUNTIF($G236:G236, G236)-1,0))</f>
        <v/>
      </c>
      <c r="N236">
        <v>233</v>
      </c>
      <c r="O236" t="str">
        <f>IFERROR(INDEX(Table11[Unique CFDA], MATCH(N236, Table11[Pres. Sort], 0)), "")</f>
        <v/>
      </c>
      <c r="P236" s="1" t="str">
        <f>IFERROR(INDEX(Table11[Grant Name], MATCH(MemberOrgFinalSort[[#This Row],[CFDA]], Table11[Unique CFDA], 0)), "")</f>
        <v/>
      </c>
      <c r="Q236" s="20" t="str">
        <f>IFERROR(INDEX(Table11[FY 2018 Total], MATCH(MemberOrgFinalSort[[#This Row],[CFDA]], Table11[Unique CFDA], 0)), "")</f>
        <v/>
      </c>
      <c r="R236" s="21" t="str">
        <f>IFERROR(INDEX(Table11[President % Change], MATCH(MemberOrgFinalSort[[#This Row],[CFDA]], Table11[Unique CFDA], 0)), "")</f>
        <v/>
      </c>
      <c r="S236" s="20" t="str">
        <f>IFERROR(INDEX(Table11[President $ Change], MATCH(MemberOrgFinalSort[[#This Row],[CFDA]], Table11[Unique CFDA], 0)), "")</f>
        <v/>
      </c>
      <c r="T236" s="32" t="str">
        <f>IFERROR(INDEX(Table11[House % Change], MATCH(MemberOrgFinalSort[[#This Row],[CFDA]], Table11[Unique CFDA], 0)), "")</f>
        <v/>
      </c>
      <c r="U236" s="32" t="str">
        <f>IFERROR(INDEX(Table11[House $ Change], MATCH(MemberOrgFinalSort[[#This Row],[CFDA]], Table11[Unique CFDA], 0)), "")</f>
        <v/>
      </c>
      <c r="V236" s="20"/>
      <c r="X236" s="6"/>
      <c r="Y236" s="6"/>
      <c r="Z236" s="6"/>
      <c r="AA236" s="6"/>
      <c r="AB236" s="6"/>
    </row>
    <row r="237" spans="1:28" x14ac:dyDescent="0.25">
      <c r="A237" t="str">
        <f>IF(MemberOrgControl!$C240 = "", "", INDEX(MemberOrgsData[CFDA], MemberOrgControl!$C240))</f>
        <v/>
      </c>
      <c r="C237" s="6" t="str">
        <f>IFERROR(INDEX(AllFilteredCFDAs[All CFDAs], MATCH(0, INDEX(COUNTIF($C$3:C236, AllFilteredCFDAs[All CFDAs]),),0)), "")</f>
        <v/>
      </c>
      <c r="D237" s="6" t="str">
        <f t="array" ref="D237">IFERROR(INDEX(MemberOrgsData[FEDERALPROGRAMNAME], MATCH(1, (SelectMemberOrgs = MemberOrgsData[Auditee Name])*(Table11[[#This Row],[Unique CFDA]] = MemberOrgsData[CFDA]), 0)), "")</f>
        <v/>
      </c>
      <c r="E237" s="25" t="str">
        <f t="array" ref="E237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37" s="26" t="str">
        <f t="array" ref="F237">IFERROR(INDEX(BudgetAppropData[President % Change], MATCH(1, (Table11[[#This Row],[Unique CFDA]] = BudgetAppropData[CFDA])*(SelectBudgetYear = BudgetAppropData[Fiscal Year]), 0)), "")</f>
        <v/>
      </c>
      <c r="G237" s="25" t="str">
        <f>IF(Table11[[#This Row],[Unique CFDA]] = "", "", IFERROR(Table11[[#This Row],[FY 2018 Total]]*Table11[[#This Row],[President % Change]], ""))</f>
        <v/>
      </c>
      <c r="H237" s="26" t="str">
        <f t="array" ref="H237">IFERROR(INDEX(BudgetAppropData[House % Change], MATCH(1, (Table11[[#This Row],[Unique CFDA]] = BudgetAppropData[CFDA])*(SelectBudgetYear = BudgetAppropData[Fiscal Year]),0)), "")</f>
        <v/>
      </c>
      <c r="I237" s="25" t="str">
        <f>IF(Table11[[#This Row],[Unique CFDA]] = "", "", IFERROR(Table11[[#This Row],[FY 2018 Total]]*Table11[[#This Row],[House % Change]], ""))</f>
        <v/>
      </c>
      <c r="J237" s="6"/>
      <c r="K237" s="25" t="str">
        <f>IF(Table11[[#This Row],[Unique CFDA]] = "", "", IFERROR(Table11[[#This Row],[FY 2018 Total]]*Table11[[#This Row],[Senate Budget]], ""))</f>
        <v/>
      </c>
      <c r="L237" s="6" t="str">
        <f>IF(Table11[[#This Row],[Unique CFDA]] = "", "", IF(ISNUMBER(Table11[[#This Row],[President $ Change]]), RANK(Table11[[#This Row],[President $ Change]], Table11[President $ Change])+COUNTIF($G237:G237, G237)-1,0))</f>
        <v/>
      </c>
      <c r="N237">
        <v>234</v>
      </c>
      <c r="O237" t="str">
        <f>IFERROR(INDEX(Table11[Unique CFDA], MATCH(N237, Table11[Pres. Sort], 0)), "")</f>
        <v/>
      </c>
      <c r="P237" s="1" t="str">
        <f>IFERROR(INDEX(Table11[Grant Name], MATCH(MemberOrgFinalSort[[#This Row],[CFDA]], Table11[Unique CFDA], 0)), "")</f>
        <v/>
      </c>
      <c r="Q237" s="20" t="str">
        <f>IFERROR(INDEX(Table11[FY 2018 Total], MATCH(MemberOrgFinalSort[[#This Row],[CFDA]], Table11[Unique CFDA], 0)), "")</f>
        <v/>
      </c>
      <c r="R237" s="21" t="str">
        <f>IFERROR(INDEX(Table11[President % Change], MATCH(MemberOrgFinalSort[[#This Row],[CFDA]], Table11[Unique CFDA], 0)), "")</f>
        <v/>
      </c>
      <c r="S237" s="20" t="str">
        <f>IFERROR(INDEX(Table11[President $ Change], MATCH(MemberOrgFinalSort[[#This Row],[CFDA]], Table11[Unique CFDA], 0)), "")</f>
        <v/>
      </c>
      <c r="T237" s="32" t="str">
        <f>IFERROR(INDEX(Table11[House % Change], MATCH(MemberOrgFinalSort[[#This Row],[CFDA]], Table11[Unique CFDA], 0)), "")</f>
        <v/>
      </c>
      <c r="U237" s="32" t="str">
        <f>IFERROR(INDEX(Table11[House $ Change], MATCH(MemberOrgFinalSort[[#This Row],[CFDA]], Table11[Unique CFDA], 0)), "")</f>
        <v/>
      </c>
      <c r="V237" s="20"/>
      <c r="X237" s="6"/>
      <c r="Y237" s="6"/>
      <c r="Z237" s="6"/>
      <c r="AA237" s="6"/>
      <c r="AB237" s="6"/>
    </row>
    <row r="238" spans="1:28" x14ac:dyDescent="0.25">
      <c r="A238" t="str">
        <f>IF(MemberOrgControl!$C241 = "", "", INDEX(MemberOrgsData[CFDA], MemberOrgControl!$C241))</f>
        <v/>
      </c>
      <c r="C238" s="6" t="str">
        <f>IFERROR(INDEX(AllFilteredCFDAs[All CFDAs], MATCH(0, INDEX(COUNTIF($C$3:C237, AllFilteredCFDAs[All CFDAs]),),0)), "")</f>
        <v/>
      </c>
      <c r="D238" s="6" t="str">
        <f t="array" ref="D238">IFERROR(INDEX(MemberOrgsData[FEDERALPROGRAMNAME], MATCH(1, (SelectMemberOrgs = MemberOrgsData[Auditee Name])*(Table11[[#This Row],[Unique CFDA]] = MemberOrgsData[CFDA]), 0)), "")</f>
        <v/>
      </c>
      <c r="E238" s="25" t="str">
        <f t="array" ref="E238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38" s="26" t="str">
        <f t="array" ref="F238">IFERROR(INDEX(BudgetAppropData[President % Change], MATCH(1, (Table11[[#This Row],[Unique CFDA]] = BudgetAppropData[CFDA])*(SelectBudgetYear = BudgetAppropData[Fiscal Year]), 0)), "")</f>
        <v/>
      </c>
      <c r="G238" s="25" t="str">
        <f>IF(Table11[[#This Row],[Unique CFDA]] = "", "", IFERROR(Table11[[#This Row],[FY 2018 Total]]*Table11[[#This Row],[President % Change]], ""))</f>
        <v/>
      </c>
      <c r="H238" s="26" t="str">
        <f t="array" ref="H238">IFERROR(INDEX(BudgetAppropData[House % Change], MATCH(1, (Table11[[#This Row],[Unique CFDA]] = BudgetAppropData[CFDA])*(SelectBudgetYear = BudgetAppropData[Fiscal Year]),0)), "")</f>
        <v/>
      </c>
      <c r="I238" s="25" t="str">
        <f>IF(Table11[[#This Row],[Unique CFDA]] = "", "", IFERROR(Table11[[#This Row],[FY 2018 Total]]*Table11[[#This Row],[House % Change]], ""))</f>
        <v/>
      </c>
      <c r="J238" s="6"/>
      <c r="K238" s="25" t="str">
        <f>IF(Table11[[#This Row],[Unique CFDA]] = "", "", IFERROR(Table11[[#This Row],[FY 2018 Total]]*Table11[[#This Row],[Senate Budget]], ""))</f>
        <v/>
      </c>
      <c r="L238" s="6" t="str">
        <f>IF(Table11[[#This Row],[Unique CFDA]] = "", "", IF(ISNUMBER(Table11[[#This Row],[President $ Change]]), RANK(Table11[[#This Row],[President $ Change]], Table11[President $ Change])+COUNTIF($G238:G238, G238)-1,0))</f>
        <v/>
      </c>
      <c r="N238">
        <v>235</v>
      </c>
      <c r="O238" t="str">
        <f>IFERROR(INDEX(Table11[Unique CFDA], MATCH(N238, Table11[Pres. Sort], 0)), "")</f>
        <v/>
      </c>
      <c r="P238" s="1" t="str">
        <f>IFERROR(INDEX(Table11[Grant Name], MATCH(MemberOrgFinalSort[[#This Row],[CFDA]], Table11[Unique CFDA], 0)), "")</f>
        <v/>
      </c>
      <c r="Q238" s="20" t="str">
        <f>IFERROR(INDEX(Table11[FY 2018 Total], MATCH(MemberOrgFinalSort[[#This Row],[CFDA]], Table11[Unique CFDA], 0)), "")</f>
        <v/>
      </c>
      <c r="R238" s="21" t="str">
        <f>IFERROR(INDEX(Table11[President % Change], MATCH(MemberOrgFinalSort[[#This Row],[CFDA]], Table11[Unique CFDA], 0)), "")</f>
        <v/>
      </c>
      <c r="S238" s="20" t="str">
        <f>IFERROR(INDEX(Table11[President $ Change], MATCH(MemberOrgFinalSort[[#This Row],[CFDA]], Table11[Unique CFDA], 0)), "")</f>
        <v/>
      </c>
      <c r="T238" s="32" t="str">
        <f>IFERROR(INDEX(Table11[House % Change], MATCH(MemberOrgFinalSort[[#This Row],[CFDA]], Table11[Unique CFDA], 0)), "")</f>
        <v/>
      </c>
      <c r="U238" s="32" t="str">
        <f>IFERROR(INDEX(Table11[House $ Change], MATCH(MemberOrgFinalSort[[#This Row],[CFDA]], Table11[Unique CFDA], 0)), "")</f>
        <v/>
      </c>
      <c r="V238" s="20"/>
      <c r="X238" s="6"/>
      <c r="Y238" s="6"/>
      <c r="Z238" s="6"/>
      <c r="AA238" s="6"/>
      <c r="AB238" s="6"/>
    </row>
    <row r="239" spans="1:28" x14ac:dyDescent="0.25">
      <c r="A239" t="str">
        <f>IF(MemberOrgControl!$C242 = "", "", INDEX(MemberOrgsData[CFDA], MemberOrgControl!$C242))</f>
        <v/>
      </c>
      <c r="C239" s="6" t="str">
        <f>IFERROR(INDEX(AllFilteredCFDAs[All CFDAs], MATCH(0, INDEX(COUNTIF($C$3:C238, AllFilteredCFDAs[All CFDAs]),),0)), "")</f>
        <v/>
      </c>
      <c r="D239" s="6" t="str">
        <f t="array" ref="D239">IFERROR(INDEX(MemberOrgsData[FEDERALPROGRAMNAME], MATCH(1, (SelectMemberOrgs = MemberOrgsData[Auditee Name])*(Table11[[#This Row],[Unique CFDA]] = MemberOrgsData[CFDA]), 0)), "")</f>
        <v/>
      </c>
      <c r="E239" s="25" t="str">
        <f t="array" ref="E239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39" s="26" t="str">
        <f t="array" ref="F239">IFERROR(INDEX(BudgetAppropData[President % Change], MATCH(1, (Table11[[#This Row],[Unique CFDA]] = BudgetAppropData[CFDA])*(SelectBudgetYear = BudgetAppropData[Fiscal Year]), 0)), "")</f>
        <v/>
      </c>
      <c r="G239" s="25" t="str">
        <f>IF(Table11[[#This Row],[Unique CFDA]] = "", "", IFERROR(Table11[[#This Row],[FY 2018 Total]]*Table11[[#This Row],[President % Change]], ""))</f>
        <v/>
      </c>
      <c r="H239" s="26" t="str">
        <f t="array" ref="H239">IFERROR(INDEX(BudgetAppropData[House % Change], MATCH(1, (Table11[[#This Row],[Unique CFDA]] = BudgetAppropData[CFDA])*(SelectBudgetYear = BudgetAppropData[Fiscal Year]),0)), "")</f>
        <v/>
      </c>
      <c r="I239" s="25" t="str">
        <f>IF(Table11[[#This Row],[Unique CFDA]] = "", "", IFERROR(Table11[[#This Row],[FY 2018 Total]]*Table11[[#This Row],[House % Change]], ""))</f>
        <v/>
      </c>
      <c r="J239" s="6"/>
      <c r="K239" s="25" t="str">
        <f>IF(Table11[[#This Row],[Unique CFDA]] = "", "", IFERROR(Table11[[#This Row],[FY 2018 Total]]*Table11[[#This Row],[Senate Budget]], ""))</f>
        <v/>
      </c>
      <c r="L239" s="6" t="str">
        <f>IF(Table11[[#This Row],[Unique CFDA]] = "", "", IF(ISNUMBER(Table11[[#This Row],[President $ Change]]), RANK(Table11[[#This Row],[President $ Change]], Table11[President $ Change])+COUNTIF($G239:G239, G239)-1,0))</f>
        <v/>
      </c>
      <c r="N239">
        <v>236</v>
      </c>
      <c r="O239" t="str">
        <f>IFERROR(INDEX(Table11[Unique CFDA], MATCH(N239, Table11[Pres. Sort], 0)), "")</f>
        <v/>
      </c>
      <c r="P239" s="1" t="str">
        <f>IFERROR(INDEX(Table11[Grant Name], MATCH(MemberOrgFinalSort[[#This Row],[CFDA]], Table11[Unique CFDA], 0)), "")</f>
        <v/>
      </c>
      <c r="Q239" s="20" t="str">
        <f>IFERROR(INDEX(Table11[FY 2018 Total], MATCH(MemberOrgFinalSort[[#This Row],[CFDA]], Table11[Unique CFDA], 0)), "")</f>
        <v/>
      </c>
      <c r="R239" s="21" t="str">
        <f>IFERROR(INDEX(Table11[President % Change], MATCH(MemberOrgFinalSort[[#This Row],[CFDA]], Table11[Unique CFDA], 0)), "")</f>
        <v/>
      </c>
      <c r="S239" s="20" t="str">
        <f>IFERROR(INDEX(Table11[President $ Change], MATCH(MemberOrgFinalSort[[#This Row],[CFDA]], Table11[Unique CFDA], 0)), "")</f>
        <v/>
      </c>
      <c r="T239" s="32" t="str">
        <f>IFERROR(INDEX(Table11[House % Change], MATCH(MemberOrgFinalSort[[#This Row],[CFDA]], Table11[Unique CFDA], 0)), "")</f>
        <v/>
      </c>
      <c r="U239" s="32" t="str">
        <f>IFERROR(INDEX(Table11[House $ Change], MATCH(MemberOrgFinalSort[[#This Row],[CFDA]], Table11[Unique CFDA], 0)), "")</f>
        <v/>
      </c>
      <c r="V239" s="20"/>
      <c r="X239" s="6"/>
      <c r="Y239" s="6"/>
      <c r="Z239" s="6"/>
      <c r="AA239" s="6"/>
      <c r="AB239" s="6"/>
    </row>
    <row r="240" spans="1:28" x14ac:dyDescent="0.25">
      <c r="A240" t="str">
        <f>IF(MemberOrgControl!$C243 = "", "", INDEX(MemberOrgsData[CFDA], MemberOrgControl!$C243))</f>
        <v/>
      </c>
      <c r="C240" s="6" t="str">
        <f>IFERROR(INDEX(AllFilteredCFDAs[All CFDAs], MATCH(0, INDEX(COUNTIF($C$3:C239, AllFilteredCFDAs[All CFDAs]),),0)), "")</f>
        <v/>
      </c>
      <c r="D240" s="6" t="str">
        <f t="array" ref="D240">IFERROR(INDEX(MemberOrgsData[FEDERALPROGRAMNAME], MATCH(1, (SelectMemberOrgs = MemberOrgsData[Auditee Name])*(Table11[[#This Row],[Unique CFDA]] = MemberOrgsData[CFDA]), 0)), "")</f>
        <v/>
      </c>
      <c r="E240" s="25" t="str">
        <f t="array" ref="E240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40" s="26" t="str">
        <f t="array" ref="F240">IFERROR(INDEX(BudgetAppropData[President % Change], MATCH(1, (Table11[[#This Row],[Unique CFDA]] = BudgetAppropData[CFDA])*(SelectBudgetYear = BudgetAppropData[Fiscal Year]), 0)), "")</f>
        <v/>
      </c>
      <c r="G240" s="25" t="str">
        <f>IF(Table11[[#This Row],[Unique CFDA]] = "", "", IFERROR(Table11[[#This Row],[FY 2018 Total]]*Table11[[#This Row],[President % Change]], ""))</f>
        <v/>
      </c>
      <c r="H240" s="26" t="str">
        <f t="array" ref="H240">IFERROR(INDEX(BudgetAppropData[House % Change], MATCH(1, (Table11[[#This Row],[Unique CFDA]] = BudgetAppropData[CFDA])*(SelectBudgetYear = BudgetAppropData[Fiscal Year]),0)), "")</f>
        <v/>
      </c>
      <c r="I240" s="25" t="str">
        <f>IF(Table11[[#This Row],[Unique CFDA]] = "", "", IFERROR(Table11[[#This Row],[FY 2018 Total]]*Table11[[#This Row],[House % Change]], ""))</f>
        <v/>
      </c>
      <c r="J240" s="6"/>
      <c r="K240" s="25" t="str">
        <f>IF(Table11[[#This Row],[Unique CFDA]] = "", "", IFERROR(Table11[[#This Row],[FY 2018 Total]]*Table11[[#This Row],[Senate Budget]], ""))</f>
        <v/>
      </c>
      <c r="L240" s="6" t="str">
        <f>IF(Table11[[#This Row],[Unique CFDA]] = "", "", IF(ISNUMBER(Table11[[#This Row],[President $ Change]]), RANK(Table11[[#This Row],[President $ Change]], Table11[President $ Change])+COUNTIF($G240:G240, G240)-1,0))</f>
        <v/>
      </c>
      <c r="N240">
        <v>237</v>
      </c>
      <c r="O240" t="str">
        <f>IFERROR(INDEX(Table11[Unique CFDA], MATCH(N240, Table11[Pres. Sort], 0)), "")</f>
        <v/>
      </c>
      <c r="P240" s="1" t="str">
        <f>IFERROR(INDEX(Table11[Grant Name], MATCH(MemberOrgFinalSort[[#This Row],[CFDA]], Table11[Unique CFDA], 0)), "")</f>
        <v/>
      </c>
      <c r="Q240" s="20" t="str">
        <f>IFERROR(INDEX(Table11[FY 2018 Total], MATCH(MemberOrgFinalSort[[#This Row],[CFDA]], Table11[Unique CFDA], 0)), "")</f>
        <v/>
      </c>
      <c r="R240" s="21" t="str">
        <f>IFERROR(INDEX(Table11[President % Change], MATCH(MemberOrgFinalSort[[#This Row],[CFDA]], Table11[Unique CFDA], 0)), "")</f>
        <v/>
      </c>
      <c r="S240" s="20" t="str">
        <f>IFERROR(INDEX(Table11[President $ Change], MATCH(MemberOrgFinalSort[[#This Row],[CFDA]], Table11[Unique CFDA], 0)), "")</f>
        <v/>
      </c>
      <c r="T240" s="32" t="str">
        <f>IFERROR(INDEX(Table11[House % Change], MATCH(MemberOrgFinalSort[[#This Row],[CFDA]], Table11[Unique CFDA], 0)), "")</f>
        <v/>
      </c>
      <c r="U240" s="32" t="str">
        <f>IFERROR(INDEX(Table11[House $ Change], MATCH(MemberOrgFinalSort[[#This Row],[CFDA]], Table11[Unique CFDA], 0)), "")</f>
        <v/>
      </c>
      <c r="V240" s="20"/>
      <c r="X240" s="6"/>
      <c r="Y240" s="6"/>
      <c r="Z240" s="6"/>
      <c r="AA240" s="6"/>
      <c r="AB240" s="6"/>
    </row>
    <row r="241" spans="1:28" x14ac:dyDescent="0.25">
      <c r="A241" t="str">
        <f>IF(MemberOrgControl!$C244 = "", "", INDEX(MemberOrgsData[CFDA], MemberOrgControl!$C244))</f>
        <v/>
      </c>
      <c r="C241" s="6" t="str">
        <f>IFERROR(INDEX(AllFilteredCFDAs[All CFDAs], MATCH(0, INDEX(COUNTIF($C$3:C240, AllFilteredCFDAs[All CFDAs]),),0)), "")</f>
        <v/>
      </c>
      <c r="D241" s="6" t="str">
        <f t="array" ref="D241">IFERROR(INDEX(MemberOrgsData[FEDERALPROGRAMNAME], MATCH(1, (SelectMemberOrgs = MemberOrgsData[Auditee Name])*(Table11[[#This Row],[Unique CFDA]] = MemberOrgsData[CFDA]), 0)), "")</f>
        <v/>
      </c>
      <c r="E241" s="25" t="str">
        <f t="array" ref="E241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41" s="26" t="str">
        <f t="array" ref="F241">IFERROR(INDEX(BudgetAppropData[President % Change], MATCH(1, (Table11[[#This Row],[Unique CFDA]] = BudgetAppropData[CFDA])*(SelectBudgetYear = BudgetAppropData[Fiscal Year]), 0)), "")</f>
        <v/>
      </c>
      <c r="G241" s="25" t="str">
        <f>IF(Table11[[#This Row],[Unique CFDA]] = "", "", IFERROR(Table11[[#This Row],[FY 2018 Total]]*Table11[[#This Row],[President % Change]], ""))</f>
        <v/>
      </c>
      <c r="H241" s="26" t="str">
        <f t="array" ref="H241">IFERROR(INDEX(BudgetAppropData[House % Change], MATCH(1, (Table11[[#This Row],[Unique CFDA]] = BudgetAppropData[CFDA])*(SelectBudgetYear = BudgetAppropData[Fiscal Year]),0)), "")</f>
        <v/>
      </c>
      <c r="I241" s="25" t="str">
        <f>IF(Table11[[#This Row],[Unique CFDA]] = "", "", IFERROR(Table11[[#This Row],[FY 2018 Total]]*Table11[[#This Row],[House % Change]], ""))</f>
        <v/>
      </c>
      <c r="J241" s="6"/>
      <c r="K241" s="25" t="str">
        <f>IF(Table11[[#This Row],[Unique CFDA]] = "", "", IFERROR(Table11[[#This Row],[FY 2018 Total]]*Table11[[#This Row],[Senate Budget]], ""))</f>
        <v/>
      </c>
      <c r="L241" s="6" t="str">
        <f>IF(Table11[[#This Row],[Unique CFDA]] = "", "", IF(ISNUMBER(Table11[[#This Row],[President $ Change]]), RANK(Table11[[#This Row],[President $ Change]], Table11[President $ Change])+COUNTIF($G241:G241, G241)-1,0))</f>
        <v/>
      </c>
      <c r="N241">
        <v>238</v>
      </c>
      <c r="O241" t="str">
        <f>IFERROR(INDEX(Table11[Unique CFDA], MATCH(N241, Table11[Pres. Sort], 0)), "")</f>
        <v/>
      </c>
      <c r="P241" s="1" t="str">
        <f>IFERROR(INDEX(Table11[Grant Name], MATCH(MemberOrgFinalSort[[#This Row],[CFDA]], Table11[Unique CFDA], 0)), "")</f>
        <v/>
      </c>
      <c r="Q241" s="20" t="str">
        <f>IFERROR(INDEX(Table11[FY 2018 Total], MATCH(MemberOrgFinalSort[[#This Row],[CFDA]], Table11[Unique CFDA], 0)), "")</f>
        <v/>
      </c>
      <c r="R241" s="21" t="str">
        <f>IFERROR(INDEX(Table11[President % Change], MATCH(MemberOrgFinalSort[[#This Row],[CFDA]], Table11[Unique CFDA], 0)), "")</f>
        <v/>
      </c>
      <c r="S241" s="20" t="str">
        <f>IFERROR(INDEX(Table11[President $ Change], MATCH(MemberOrgFinalSort[[#This Row],[CFDA]], Table11[Unique CFDA], 0)), "")</f>
        <v/>
      </c>
      <c r="T241" s="32" t="str">
        <f>IFERROR(INDEX(Table11[House % Change], MATCH(MemberOrgFinalSort[[#This Row],[CFDA]], Table11[Unique CFDA], 0)), "")</f>
        <v/>
      </c>
      <c r="U241" s="32" t="str">
        <f>IFERROR(INDEX(Table11[House $ Change], MATCH(MemberOrgFinalSort[[#This Row],[CFDA]], Table11[Unique CFDA], 0)), "")</f>
        <v/>
      </c>
      <c r="V241" s="20"/>
      <c r="X241" s="6"/>
      <c r="Y241" s="6"/>
      <c r="Z241" s="6"/>
      <c r="AA241" s="6"/>
      <c r="AB241" s="6"/>
    </row>
    <row r="242" spans="1:28" x14ac:dyDescent="0.25">
      <c r="A242" t="str">
        <f>IF(MemberOrgControl!$C245 = "", "", INDEX(MemberOrgsData[CFDA], MemberOrgControl!$C245))</f>
        <v/>
      </c>
      <c r="C242" s="6" t="str">
        <f>IFERROR(INDEX(AllFilteredCFDAs[All CFDAs], MATCH(0, INDEX(COUNTIF($C$3:C241, AllFilteredCFDAs[All CFDAs]),),0)), "")</f>
        <v/>
      </c>
      <c r="D242" s="6" t="str">
        <f t="array" ref="D242">IFERROR(INDEX(MemberOrgsData[FEDERALPROGRAMNAME], MATCH(1, (SelectMemberOrgs = MemberOrgsData[Auditee Name])*(Table11[[#This Row],[Unique CFDA]] = MemberOrgsData[CFDA]), 0)), "")</f>
        <v/>
      </c>
      <c r="E242" s="25" t="str">
        <f t="array" ref="E242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42" s="26" t="str">
        <f t="array" ref="F242">IFERROR(INDEX(BudgetAppropData[President % Change], MATCH(1, (Table11[[#This Row],[Unique CFDA]] = BudgetAppropData[CFDA])*(SelectBudgetYear = BudgetAppropData[Fiscal Year]), 0)), "")</f>
        <v/>
      </c>
      <c r="G242" s="25" t="str">
        <f>IF(Table11[[#This Row],[Unique CFDA]] = "", "", IFERROR(Table11[[#This Row],[FY 2018 Total]]*Table11[[#This Row],[President % Change]], ""))</f>
        <v/>
      </c>
      <c r="H242" s="26" t="str">
        <f t="array" ref="H242">IFERROR(INDEX(BudgetAppropData[House % Change], MATCH(1, (Table11[[#This Row],[Unique CFDA]] = BudgetAppropData[CFDA])*(SelectBudgetYear = BudgetAppropData[Fiscal Year]),0)), "")</f>
        <v/>
      </c>
      <c r="I242" s="25" t="str">
        <f>IF(Table11[[#This Row],[Unique CFDA]] = "", "", IFERROR(Table11[[#This Row],[FY 2018 Total]]*Table11[[#This Row],[House % Change]], ""))</f>
        <v/>
      </c>
      <c r="J242" s="6"/>
      <c r="K242" s="25" t="str">
        <f>IF(Table11[[#This Row],[Unique CFDA]] = "", "", IFERROR(Table11[[#This Row],[FY 2018 Total]]*Table11[[#This Row],[Senate Budget]], ""))</f>
        <v/>
      </c>
      <c r="L242" s="6" t="str">
        <f>IF(Table11[[#This Row],[Unique CFDA]] = "", "", IF(ISNUMBER(Table11[[#This Row],[President $ Change]]), RANK(Table11[[#This Row],[President $ Change]], Table11[President $ Change])+COUNTIF($G242:G242, G242)-1,0))</f>
        <v/>
      </c>
      <c r="N242">
        <v>239</v>
      </c>
      <c r="O242" t="str">
        <f>IFERROR(INDEX(Table11[Unique CFDA], MATCH(N242, Table11[Pres. Sort], 0)), "")</f>
        <v/>
      </c>
      <c r="P242" s="1" t="str">
        <f>IFERROR(INDEX(Table11[Grant Name], MATCH(MemberOrgFinalSort[[#This Row],[CFDA]], Table11[Unique CFDA], 0)), "")</f>
        <v/>
      </c>
      <c r="Q242" s="20" t="str">
        <f>IFERROR(INDEX(Table11[FY 2018 Total], MATCH(MemberOrgFinalSort[[#This Row],[CFDA]], Table11[Unique CFDA], 0)), "")</f>
        <v/>
      </c>
      <c r="R242" s="21" t="str">
        <f>IFERROR(INDEX(Table11[President % Change], MATCH(MemberOrgFinalSort[[#This Row],[CFDA]], Table11[Unique CFDA], 0)), "")</f>
        <v/>
      </c>
      <c r="S242" s="20" t="str">
        <f>IFERROR(INDEX(Table11[President $ Change], MATCH(MemberOrgFinalSort[[#This Row],[CFDA]], Table11[Unique CFDA], 0)), "")</f>
        <v/>
      </c>
      <c r="T242" s="32" t="str">
        <f>IFERROR(INDEX(Table11[House % Change], MATCH(MemberOrgFinalSort[[#This Row],[CFDA]], Table11[Unique CFDA], 0)), "")</f>
        <v/>
      </c>
      <c r="U242" s="32" t="str">
        <f>IFERROR(INDEX(Table11[House $ Change], MATCH(MemberOrgFinalSort[[#This Row],[CFDA]], Table11[Unique CFDA], 0)), "")</f>
        <v/>
      </c>
      <c r="V242" s="20"/>
      <c r="X242" s="6"/>
      <c r="Y242" s="6"/>
      <c r="Z242" s="6"/>
      <c r="AA242" s="6"/>
      <c r="AB242" s="6"/>
    </row>
    <row r="243" spans="1:28" x14ac:dyDescent="0.25">
      <c r="A243" t="str">
        <f>IF(MemberOrgControl!$C246 = "", "", INDEX(MemberOrgsData[CFDA], MemberOrgControl!$C246))</f>
        <v/>
      </c>
      <c r="C243" s="6" t="str">
        <f>IFERROR(INDEX(AllFilteredCFDAs[All CFDAs], MATCH(0, INDEX(COUNTIF($C$3:C242, AllFilteredCFDAs[All CFDAs]),),0)), "")</f>
        <v/>
      </c>
      <c r="D243" s="6" t="str">
        <f t="array" ref="D243">IFERROR(INDEX(MemberOrgsData[FEDERALPROGRAMNAME], MATCH(1, (SelectMemberOrgs = MemberOrgsData[Auditee Name])*(Table11[[#This Row],[Unique CFDA]] = MemberOrgsData[CFDA]), 0)), "")</f>
        <v/>
      </c>
      <c r="E243" s="25" t="str">
        <f t="array" ref="E243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43" s="26" t="str">
        <f t="array" ref="F243">IFERROR(INDEX(BudgetAppropData[President % Change], MATCH(1, (Table11[[#This Row],[Unique CFDA]] = BudgetAppropData[CFDA])*(SelectBudgetYear = BudgetAppropData[Fiscal Year]), 0)), "")</f>
        <v/>
      </c>
      <c r="G243" s="25" t="str">
        <f>IF(Table11[[#This Row],[Unique CFDA]] = "", "", IFERROR(Table11[[#This Row],[FY 2018 Total]]*Table11[[#This Row],[President % Change]], ""))</f>
        <v/>
      </c>
      <c r="H243" s="26" t="str">
        <f t="array" ref="H243">IFERROR(INDEX(BudgetAppropData[House % Change], MATCH(1, (Table11[[#This Row],[Unique CFDA]] = BudgetAppropData[CFDA])*(SelectBudgetYear = BudgetAppropData[Fiscal Year]),0)), "")</f>
        <v/>
      </c>
      <c r="I243" s="25" t="str">
        <f>IF(Table11[[#This Row],[Unique CFDA]] = "", "", IFERROR(Table11[[#This Row],[FY 2018 Total]]*Table11[[#This Row],[House % Change]], ""))</f>
        <v/>
      </c>
      <c r="J243" s="6"/>
      <c r="K243" s="25" t="str">
        <f>IF(Table11[[#This Row],[Unique CFDA]] = "", "", IFERROR(Table11[[#This Row],[FY 2018 Total]]*Table11[[#This Row],[Senate Budget]], ""))</f>
        <v/>
      </c>
      <c r="L243" s="6" t="str">
        <f>IF(Table11[[#This Row],[Unique CFDA]] = "", "", IF(ISNUMBER(Table11[[#This Row],[President $ Change]]), RANK(Table11[[#This Row],[President $ Change]], Table11[President $ Change])+COUNTIF($G243:G243, G243)-1,0))</f>
        <v/>
      </c>
      <c r="N243">
        <v>240</v>
      </c>
      <c r="O243" t="str">
        <f>IFERROR(INDEX(Table11[Unique CFDA], MATCH(N243, Table11[Pres. Sort], 0)), "")</f>
        <v/>
      </c>
      <c r="P243" s="1" t="str">
        <f>IFERROR(INDEX(Table11[Grant Name], MATCH(MemberOrgFinalSort[[#This Row],[CFDA]], Table11[Unique CFDA], 0)), "")</f>
        <v/>
      </c>
      <c r="Q243" s="20" t="str">
        <f>IFERROR(INDEX(Table11[FY 2018 Total], MATCH(MemberOrgFinalSort[[#This Row],[CFDA]], Table11[Unique CFDA], 0)), "")</f>
        <v/>
      </c>
      <c r="R243" s="21" t="str">
        <f>IFERROR(INDEX(Table11[President % Change], MATCH(MemberOrgFinalSort[[#This Row],[CFDA]], Table11[Unique CFDA], 0)), "")</f>
        <v/>
      </c>
      <c r="S243" s="20" t="str">
        <f>IFERROR(INDEX(Table11[President $ Change], MATCH(MemberOrgFinalSort[[#This Row],[CFDA]], Table11[Unique CFDA], 0)), "")</f>
        <v/>
      </c>
      <c r="T243" s="32" t="str">
        <f>IFERROR(INDEX(Table11[House % Change], MATCH(MemberOrgFinalSort[[#This Row],[CFDA]], Table11[Unique CFDA], 0)), "")</f>
        <v/>
      </c>
      <c r="U243" s="32" t="str">
        <f>IFERROR(INDEX(Table11[House $ Change], MATCH(MemberOrgFinalSort[[#This Row],[CFDA]], Table11[Unique CFDA], 0)), "")</f>
        <v/>
      </c>
      <c r="V243" s="20"/>
      <c r="X243" s="6"/>
      <c r="Y243" s="6"/>
      <c r="Z243" s="6"/>
      <c r="AA243" s="6"/>
      <c r="AB243" s="6"/>
    </row>
    <row r="244" spans="1:28" x14ac:dyDescent="0.25">
      <c r="A244" t="str">
        <f>IF(MemberOrgControl!$C247 = "", "", INDEX(MemberOrgsData[CFDA], MemberOrgControl!$C247))</f>
        <v/>
      </c>
      <c r="C244" s="6" t="str">
        <f>IFERROR(INDEX(AllFilteredCFDAs[All CFDAs], MATCH(0, INDEX(COUNTIF($C$3:C243, AllFilteredCFDAs[All CFDAs]),),0)), "")</f>
        <v/>
      </c>
      <c r="D244" s="6" t="str">
        <f t="array" ref="D244">IFERROR(INDEX(MemberOrgsData[FEDERALPROGRAMNAME], MATCH(1, (SelectMemberOrgs = MemberOrgsData[Auditee Name])*(Table11[[#This Row],[Unique CFDA]] = MemberOrgsData[CFDA]), 0)), "")</f>
        <v/>
      </c>
      <c r="E244" s="25" t="str">
        <f t="array" ref="E244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44" s="26" t="str">
        <f t="array" ref="F244">IFERROR(INDEX(BudgetAppropData[President % Change], MATCH(1, (Table11[[#This Row],[Unique CFDA]] = BudgetAppropData[CFDA])*(SelectBudgetYear = BudgetAppropData[Fiscal Year]), 0)), "")</f>
        <v/>
      </c>
      <c r="G244" s="25" t="str">
        <f>IF(Table11[[#This Row],[Unique CFDA]] = "", "", IFERROR(Table11[[#This Row],[FY 2018 Total]]*Table11[[#This Row],[President % Change]], ""))</f>
        <v/>
      </c>
      <c r="H244" s="26" t="str">
        <f t="array" ref="H244">IFERROR(INDEX(BudgetAppropData[House % Change], MATCH(1, (Table11[[#This Row],[Unique CFDA]] = BudgetAppropData[CFDA])*(SelectBudgetYear = BudgetAppropData[Fiscal Year]),0)), "")</f>
        <v/>
      </c>
      <c r="I244" s="25" t="str">
        <f>IF(Table11[[#This Row],[Unique CFDA]] = "", "", IFERROR(Table11[[#This Row],[FY 2018 Total]]*Table11[[#This Row],[House % Change]], ""))</f>
        <v/>
      </c>
      <c r="J244" s="6"/>
      <c r="K244" s="25" t="str">
        <f>IF(Table11[[#This Row],[Unique CFDA]] = "", "", IFERROR(Table11[[#This Row],[FY 2018 Total]]*Table11[[#This Row],[Senate Budget]], ""))</f>
        <v/>
      </c>
      <c r="L244" s="6" t="str">
        <f>IF(Table11[[#This Row],[Unique CFDA]] = "", "", IF(ISNUMBER(Table11[[#This Row],[President $ Change]]), RANK(Table11[[#This Row],[President $ Change]], Table11[President $ Change])+COUNTIF($G244:G244, G244)-1,0))</f>
        <v/>
      </c>
      <c r="N244">
        <v>241</v>
      </c>
      <c r="O244" t="str">
        <f>IFERROR(INDEX(Table11[Unique CFDA], MATCH(N244, Table11[Pres. Sort], 0)), "")</f>
        <v/>
      </c>
      <c r="P244" s="1" t="str">
        <f>IFERROR(INDEX(Table11[Grant Name], MATCH(MemberOrgFinalSort[[#This Row],[CFDA]], Table11[Unique CFDA], 0)), "")</f>
        <v/>
      </c>
      <c r="Q244" s="20" t="str">
        <f>IFERROR(INDEX(Table11[FY 2018 Total], MATCH(MemberOrgFinalSort[[#This Row],[CFDA]], Table11[Unique CFDA], 0)), "")</f>
        <v/>
      </c>
      <c r="R244" s="21" t="str">
        <f>IFERROR(INDEX(Table11[President % Change], MATCH(MemberOrgFinalSort[[#This Row],[CFDA]], Table11[Unique CFDA], 0)), "")</f>
        <v/>
      </c>
      <c r="S244" s="20" t="str">
        <f>IFERROR(INDEX(Table11[President $ Change], MATCH(MemberOrgFinalSort[[#This Row],[CFDA]], Table11[Unique CFDA], 0)), "")</f>
        <v/>
      </c>
      <c r="T244" s="32" t="str">
        <f>IFERROR(INDEX(Table11[House % Change], MATCH(MemberOrgFinalSort[[#This Row],[CFDA]], Table11[Unique CFDA], 0)), "")</f>
        <v/>
      </c>
      <c r="U244" s="32" t="str">
        <f>IFERROR(INDEX(Table11[House $ Change], MATCH(MemberOrgFinalSort[[#This Row],[CFDA]], Table11[Unique CFDA], 0)), "")</f>
        <v/>
      </c>
      <c r="V244" s="20"/>
      <c r="X244" s="6"/>
      <c r="Y244" s="6"/>
      <c r="Z244" s="6"/>
      <c r="AA244" s="6"/>
      <c r="AB244" s="6"/>
    </row>
    <row r="245" spans="1:28" x14ac:dyDescent="0.25">
      <c r="A245" t="str">
        <f>IF(MemberOrgControl!$C248 = "", "", INDEX(MemberOrgsData[CFDA], MemberOrgControl!$C248))</f>
        <v/>
      </c>
      <c r="C245" s="6" t="str">
        <f>IFERROR(INDEX(AllFilteredCFDAs[All CFDAs], MATCH(0, INDEX(COUNTIF($C$3:C244, AllFilteredCFDAs[All CFDAs]),),0)), "")</f>
        <v/>
      </c>
      <c r="D245" s="6" t="str">
        <f t="array" ref="D245">IFERROR(INDEX(MemberOrgsData[FEDERALPROGRAMNAME], MATCH(1, (SelectMemberOrgs = MemberOrgsData[Auditee Name])*(Table11[[#This Row],[Unique CFDA]] = MemberOrgsData[CFDA]), 0)), "")</f>
        <v/>
      </c>
      <c r="E245" s="25" t="str">
        <f t="array" ref="E245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45" s="26" t="str">
        <f t="array" ref="F245">IFERROR(INDEX(BudgetAppropData[President % Change], MATCH(1, (Table11[[#This Row],[Unique CFDA]] = BudgetAppropData[CFDA])*(SelectBudgetYear = BudgetAppropData[Fiscal Year]), 0)), "")</f>
        <v/>
      </c>
      <c r="G245" s="25" t="str">
        <f>IF(Table11[[#This Row],[Unique CFDA]] = "", "", IFERROR(Table11[[#This Row],[FY 2018 Total]]*Table11[[#This Row],[President % Change]], ""))</f>
        <v/>
      </c>
      <c r="H245" s="26" t="str">
        <f t="array" ref="H245">IFERROR(INDEX(BudgetAppropData[House % Change], MATCH(1, (Table11[[#This Row],[Unique CFDA]] = BudgetAppropData[CFDA])*(SelectBudgetYear = BudgetAppropData[Fiscal Year]),0)), "")</f>
        <v/>
      </c>
      <c r="I245" s="25" t="str">
        <f>IF(Table11[[#This Row],[Unique CFDA]] = "", "", IFERROR(Table11[[#This Row],[FY 2018 Total]]*Table11[[#This Row],[House % Change]], ""))</f>
        <v/>
      </c>
      <c r="J245" s="6"/>
      <c r="K245" s="25" t="str">
        <f>IF(Table11[[#This Row],[Unique CFDA]] = "", "", IFERROR(Table11[[#This Row],[FY 2018 Total]]*Table11[[#This Row],[Senate Budget]], ""))</f>
        <v/>
      </c>
      <c r="L245" s="6" t="str">
        <f>IF(Table11[[#This Row],[Unique CFDA]] = "", "", IF(ISNUMBER(Table11[[#This Row],[President $ Change]]), RANK(Table11[[#This Row],[President $ Change]], Table11[President $ Change])+COUNTIF($G245:G245, G245)-1,0))</f>
        <v/>
      </c>
      <c r="N245">
        <v>242</v>
      </c>
      <c r="O245" t="str">
        <f>IFERROR(INDEX(Table11[Unique CFDA], MATCH(N245, Table11[Pres. Sort], 0)), "")</f>
        <v/>
      </c>
      <c r="P245" s="1" t="str">
        <f>IFERROR(INDEX(Table11[Grant Name], MATCH(MemberOrgFinalSort[[#This Row],[CFDA]], Table11[Unique CFDA], 0)), "")</f>
        <v/>
      </c>
      <c r="Q245" s="20" t="str">
        <f>IFERROR(INDEX(Table11[FY 2018 Total], MATCH(MemberOrgFinalSort[[#This Row],[CFDA]], Table11[Unique CFDA], 0)), "")</f>
        <v/>
      </c>
      <c r="R245" s="21" t="str">
        <f>IFERROR(INDEX(Table11[President % Change], MATCH(MemberOrgFinalSort[[#This Row],[CFDA]], Table11[Unique CFDA], 0)), "")</f>
        <v/>
      </c>
      <c r="S245" s="20" t="str">
        <f>IFERROR(INDEX(Table11[President $ Change], MATCH(MemberOrgFinalSort[[#This Row],[CFDA]], Table11[Unique CFDA], 0)), "")</f>
        <v/>
      </c>
      <c r="T245" s="32" t="str">
        <f>IFERROR(INDEX(Table11[House % Change], MATCH(MemberOrgFinalSort[[#This Row],[CFDA]], Table11[Unique CFDA], 0)), "")</f>
        <v/>
      </c>
      <c r="U245" s="32" t="str">
        <f>IFERROR(INDEX(Table11[House $ Change], MATCH(MemberOrgFinalSort[[#This Row],[CFDA]], Table11[Unique CFDA], 0)), "")</f>
        <v/>
      </c>
      <c r="V245" s="20"/>
      <c r="X245" s="6"/>
      <c r="Y245" s="6"/>
      <c r="Z245" s="6"/>
      <c r="AA245" s="6"/>
      <c r="AB245" s="6"/>
    </row>
    <row r="246" spans="1:28" x14ac:dyDescent="0.25">
      <c r="A246" t="str">
        <f>IF(MemberOrgControl!$C249 = "", "", INDEX(MemberOrgsData[CFDA], MemberOrgControl!$C249))</f>
        <v/>
      </c>
      <c r="C246" s="6" t="str">
        <f>IFERROR(INDEX(AllFilteredCFDAs[All CFDAs], MATCH(0, INDEX(COUNTIF($C$3:C245, AllFilteredCFDAs[All CFDAs]),),0)), "")</f>
        <v/>
      </c>
      <c r="D246" s="6" t="str">
        <f t="array" ref="D246">IFERROR(INDEX(MemberOrgsData[FEDERALPROGRAMNAME], MATCH(1, (SelectMemberOrgs = MemberOrgsData[Auditee Name])*(Table11[[#This Row],[Unique CFDA]] = MemberOrgsData[CFDA]), 0)), "")</f>
        <v/>
      </c>
      <c r="E246" s="25" t="str">
        <f t="array" ref="E246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46" s="26" t="str">
        <f t="array" ref="F246">IFERROR(INDEX(BudgetAppropData[President % Change], MATCH(1, (Table11[[#This Row],[Unique CFDA]] = BudgetAppropData[CFDA])*(SelectBudgetYear = BudgetAppropData[Fiscal Year]), 0)), "")</f>
        <v/>
      </c>
      <c r="G246" s="25" t="str">
        <f>IF(Table11[[#This Row],[Unique CFDA]] = "", "", IFERROR(Table11[[#This Row],[FY 2018 Total]]*Table11[[#This Row],[President % Change]], ""))</f>
        <v/>
      </c>
      <c r="H246" s="26" t="str">
        <f t="array" ref="H246">IFERROR(INDEX(BudgetAppropData[House % Change], MATCH(1, (Table11[[#This Row],[Unique CFDA]] = BudgetAppropData[CFDA])*(SelectBudgetYear = BudgetAppropData[Fiscal Year]),0)), "")</f>
        <v/>
      </c>
      <c r="I246" s="25" t="str">
        <f>IF(Table11[[#This Row],[Unique CFDA]] = "", "", IFERROR(Table11[[#This Row],[FY 2018 Total]]*Table11[[#This Row],[House % Change]], ""))</f>
        <v/>
      </c>
      <c r="J246" s="6"/>
      <c r="K246" s="25" t="str">
        <f>IF(Table11[[#This Row],[Unique CFDA]] = "", "", IFERROR(Table11[[#This Row],[FY 2018 Total]]*Table11[[#This Row],[Senate Budget]], ""))</f>
        <v/>
      </c>
      <c r="L246" s="6" t="str">
        <f>IF(Table11[[#This Row],[Unique CFDA]] = "", "", IF(ISNUMBER(Table11[[#This Row],[President $ Change]]), RANK(Table11[[#This Row],[President $ Change]], Table11[President $ Change])+COUNTIF($G246:G246, G246)-1,0))</f>
        <v/>
      </c>
      <c r="N246">
        <v>243</v>
      </c>
      <c r="O246" t="str">
        <f>IFERROR(INDEX(Table11[Unique CFDA], MATCH(N246, Table11[Pres. Sort], 0)), "")</f>
        <v/>
      </c>
      <c r="P246" s="1" t="str">
        <f>IFERROR(INDEX(Table11[Grant Name], MATCH(MemberOrgFinalSort[[#This Row],[CFDA]], Table11[Unique CFDA], 0)), "")</f>
        <v/>
      </c>
      <c r="Q246" s="20" t="str">
        <f>IFERROR(INDEX(Table11[FY 2018 Total], MATCH(MemberOrgFinalSort[[#This Row],[CFDA]], Table11[Unique CFDA], 0)), "")</f>
        <v/>
      </c>
      <c r="R246" s="21" t="str">
        <f>IFERROR(INDEX(Table11[President % Change], MATCH(MemberOrgFinalSort[[#This Row],[CFDA]], Table11[Unique CFDA], 0)), "")</f>
        <v/>
      </c>
      <c r="S246" s="20" t="str">
        <f>IFERROR(INDEX(Table11[President $ Change], MATCH(MemberOrgFinalSort[[#This Row],[CFDA]], Table11[Unique CFDA], 0)), "")</f>
        <v/>
      </c>
      <c r="T246" s="32" t="str">
        <f>IFERROR(INDEX(Table11[House % Change], MATCH(MemberOrgFinalSort[[#This Row],[CFDA]], Table11[Unique CFDA], 0)), "")</f>
        <v/>
      </c>
      <c r="U246" s="32" t="str">
        <f>IFERROR(INDEX(Table11[House $ Change], MATCH(MemberOrgFinalSort[[#This Row],[CFDA]], Table11[Unique CFDA], 0)), "")</f>
        <v/>
      </c>
      <c r="V246" s="20"/>
      <c r="X246" s="6"/>
      <c r="Y246" s="6"/>
      <c r="Z246" s="6"/>
      <c r="AA246" s="6"/>
      <c r="AB246" s="6"/>
    </row>
    <row r="247" spans="1:28" x14ac:dyDescent="0.25">
      <c r="A247" t="str">
        <f>IF(MemberOrgControl!$C250 = "", "", INDEX(MemberOrgsData[CFDA], MemberOrgControl!$C250))</f>
        <v/>
      </c>
      <c r="C247" s="6" t="str">
        <f>IFERROR(INDEX(AllFilteredCFDAs[All CFDAs], MATCH(0, INDEX(COUNTIF($C$3:C246, AllFilteredCFDAs[All CFDAs]),),0)), "")</f>
        <v/>
      </c>
      <c r="D247" s="6" t="str">
        <f t="array" ref="D247">IFERROR(INDEX(MemberOrgsData[FEDERALPROGRAMNAME], MATCH(1, (SelectMemberOrgs = MemberOrgsData[Auditee Name])*(Table11[[#This Row],[Unique CFDA]] = MemberOrgsData[CFDA]), 0)), "")</f>
        <v/>
      </c>
      <c r="E247" s="25" t="str">
        <f t="array" ref="E247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47" s="26" t="str">
        <f t="array" ref="F247">IFERROR(INDEX(BudgetAppropData[President % Change], MATCH(1, (Table11[[#This Row],[Unique CFDA]] = BudgetAppropData[CFDA])*(SelectBudgetYear = BudgetAppropData[Fiscal Year]), 0)), "")</f>
        <v/>
      </c>
      <c r="G247" s="25" t="str">
        <f>IF(Table11[[#This Row],[Unique CFDA]] = "", "", IFERROR(Table11[[#This Row],[FY 2018 Total]]*Table11[[#This Row],[President % Change]], ""))</f>
        <v/>
      </c>
      <c r="H247" s="26" t="str">
        <f t="array" ref="H247">IFERROR(INDEX(BudgetAppropData[House % Change], MATCH(1, (Table11[[#This Row],[Unique CFDA]] = BudgetAppropData[CFDA])*(SelectBudgetYear = BudgetAppropData[Fiscal Year]),0)), "")</f>
        <v/>
      </c>
      <c r="I247" s="25" t="str">
        <f>IF(Table11[[#This Row],[Unique CFDA]] = "", "", IFERROR(Table11[[#This Row],[FY 2018 Total]]*Table11[[#This Row],[House % Change]], ""))</f>
        <v/>
      </c>
      <c r="J247" s="6"/>
      <c r="K247" s="25" t="str">
        <f>IF(Table11[[#This Row],[Unique CFDA]] = "", "", IFERROR(Table11[[#This Row],[FY 2018 Total]]*Table11[[#This Row],[Senate Budget]], ""))</f>
        <v/>
      </c>
      <c r="L247" s="6" t="str">
        <f>IF(Table11[[#This Row],[Unique CFDA]] = "", "", IF(ISNUMBER(Table11[[#This Row],[President $ Change]]), RANK(Table11[[#This Row],[President $ Change]], Table11[President $ Change])+COUNTIF($G247:G247, G247)-1,0))</f>
        <v/>
      </c>
      <c r="N247">
        <v>244</v>
      </c>
      <c r="O247" t="str">
        <f>IFERROR(INDEX(Table11[Unique CFDA], MATCH(N247, Table11[Pres. Sort], 0)), "")</f>
        <v/>
      </c>
      <c r="P247" s="1" t="str">
        <f>IFERROR(INDEX(Table11[Grant Name], MATCH(MemberOrgFinalSort[[#This Row],[CFDA]], Table11[Unique CFDA], 0)), "")</f>
        <v/>
      </c>
      <c r="Q247" s="20" t="str">
        <f>IFERROR(INDEX(Table11[FY 2018 Total], MATCH(MemberOrgFinalSort[[#This Row],[CFDA]], Table11[Unique CFDA], 0)), "")</f>
        <v/>
      </c>
      <c r="R247" s="21" t="str">
        <f>IFERROR(INDEX(Table11[President % Change], MATCH(MemberOrgFinalSort[[#This Row],[CFDA]], Table11[Unique CFDA], 0)), "")</f>
        <v/>
      </c>
      <c r="S247" s="20" t="str">
        <f>IFERROR(INDEX(Table11[President $ Change], MATCH(MemberOrgFinalSort[[#This Row],[CFDA]], Table11[Unique CFDA], 0)), "")</f>
        <v/>
      </c>
      <c r="T247" s="32" t="str">
        <f>IFERROR(INDEX(Table11[House % Change], MATCH(MemberOrgFinalSort[[#This Row],[CFDA]], Table11[Unique CFDA], 0)), "")</f>
        <v/>
      </c>
      <c r="U247" s="32" t="str">
        <f>IFERROR(INDEX(Table11[House $ Change], MATCH(MemberOrgFinalSort[[#This Row],[CFDA]], Table11[Unique CFDA], 0)), "")</f>
        <v/>
      </c>
      <c r="V247" s="20"/>
      <c r="X247" s="6"/>
      <c r="Y247" s="6"/>
      <c r="Z247" s="6"/>
      <c r="AA247" s="6"/>
      <c r="AB247" s="6"/>
    </row>
    <row r="248" spans="1:28" x14ac:dyDescent="0.25">
      <c r="A248" t="str">
        <f>IF(MemberOrgControl!$C251 = "", "", INDEX(MemberOrgsData[CFDA], MemberOrgControl!$C251))</f>
        <v/>
      </c>
      <c r="C248" s="6" t="str">
        <f>IFERROR(INDEX(AllFilteredCFDAs[All CFDAs], MATCH(0, INDEX(COUNTIF($C$3:C247, AllFilteredCFDAs[All CFDAs]),),0)), "")</f>
        <v/>
      </c>
      <c r="D248" s="6" t="str">
        <f t="array" ref="D248">IFERROR(INDEX(MemberOrgsData[FEDERALPROGRAMNAME], MATCH(1, (SelectMemberOrgs = MemberOrgsData[Auditee Name])*(Table11[[#This Row],[Unique CFDA]] = MemberOrgsData[CFDA]), 0)), "")</f>
        <v/>
      </c>
      <c r="E248" s="25" t="str">
        <f t="array" ref="E248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48" s="26" t="str">
        <f t="array" ref="F248">IFERROR(INDEX(BudgetAppropData[President % Change], MATCH(1, (Table11[[#This Row],[Unique CFDA]] = BudgetAppropData[CFDA])*(SelectBudgetYear = BudgetAppropData[Fiscal Year]), 0)), "")</f>
        <v/>
      </c>
      <c r="G248" s="25" t="str">
        <f>IF(Table11[[#This Row],[Unique CFDA]] = "", "", IFERROR(Table11[[#This Row],[FY 2018 Total]]*Table11[[#This Row],[President % Change]], ""))</f>
        <v/>
      </c>
      <c r="H248" s="26" t="str">
        <f t="array" ref="H248">IFERROR(INDEX(BudgetAppropData[House % Change], MATCH(1, (Table11[[#This Row],[Unique CFDA]] = BudgetAppropData[CFDA])*(SelectBudgetYear = BudgetAppropData[Fiscal Year]),0)), "")</f>
        <v/>
      </c>
      <c r="I248" s="25" t="str">
        <f>IF(Table11[[#This Row],[Unique CFDA]] = "", "", IFERROR(Table11[[#This Row],[FY 2018 Total]]*Table11[[#This Row],[House % Change]], ""))</f>
        <v/>
      </c>
      <c r="J248" s="6"/>
      <c r="K248" s="25" t="str">
        <f>IF(Table11[[#This Row],[Unique CFDA]] = "", "", IFERROR(Table11[[#This Row],[FY 2018 Total]]*Table11[[#This Row],[Senate Budget]], ""))</f>
        <v/>
      </c>
      <c r="L248" s="6" t="str">
        <f>IF(Table11[[#This Row],[Unique CFDA]] = "", "", IF(ISNUMBER(Table11[[#This Row],[President $ Change]]), RANK(Table11[[#This Row],[President $ Change]], Table11[President $ Change])+COUNTIF($G248:G248, G248)-1,0))</f>
        <v/>
      </c>
      <c r="N248">
        <v>245</v>
      </c>
      <c r="O248" t="str">
        <f>IFERROR(INDEX(Table11[Unique CFDA], MATCH(N248, Table11[Pres. Sort], 0)), "")</f>
        <v/>
      </c>
      <c r="P248" s="1" t="str">
        <f>IFERROR(INDEX(Table11[Grant Name], MATCH(MemberOrgFinalSort[[#This Row],[CFDA]], Table11[Unique CFDA], 0)), "")</f>
        <v/>
      </c>
      <c r="Q248" s="20" t="str">
        <f>IFERROR(INDEX(Table11[FY 2018 Total], MATCH(MemberOrgFinalSort[[#This Row],[CFDA]], Table11[Unique CFDA], 0)), "")</f>
        <v/>
      </c>
      <c r="R248" s="21" t="str">
        <f>IFERROR(INDEX(Table11[President % Change], MATCH(MemberOrgFinalSort[[#This Row],[CFDA]], Table11[Unique CFDA], 0)), "")</f>
        <v/>
      </c>
      <c r="S248" s="20" t="str">
        <f>IFERROR(INDEX(Table11[President $ Change], MATCH(MemberOrgFinalSort[[#This Row],[CFDA]], Table11[Unique CFDA], 0)), "")</f>
        <v/>
      </c>
      <c r="T248" s="32" t="str">
        <f>IFERROR(INDEX(Table11[House % Change], MATCH(MemberOrgFinalSort[[#This Row],[CFDA]], Table11[Unique CFDA], 0)), "")</f>
        <v/>
      </c>
      <c r="U248" s="32" t="str">
        <f>IFERROR(INDEX(Table11[House $ Change], MATCH(MemberOrgFinalSort[[#This Row],[CFDA]], Table11[Unique CFDA], 0)), "")</f>
        <v/>
      </c>
      <c r="V248" s="20"/>
      <c r="X248" s="6"/>
      <c r="Y248" s="6"/>
      <c r="Z248" s="6"/>
      <c r="AA248" s="6"/>
      <c r="AB248" s="6"/>
    </row>
    <row r="249" spans="1:28" x14ac:dyDescent="0.25">
      <c r="A249" t="str">
        <f>IF(MemberOrgControl!$C252 = "", "", INDEX(MemberOrgsData[CFDA], MemberOrgControl!$C252))</f>
        <v/>
      </c>
      <c r="C249" s="6" t="str">
        <f>IFERROR(INDEX(AllFilteredCFDAs[All CFDAs], MATCH(0, INDEX(COUNTIF($C$3:C248, AllFilteredCFDAs[All CFDAs]),),0)), "")</f>
        <v/>
      </c>
      <c r="D249" s="6" t="str">
        <f t="array" ref="D249">IFERROR(INDEX(MemberOrgsData[FEDERALPROGRAMNAME], MATCH(1, (SelectMemberOrgs = MemberOrgsData[Auditee Name])*(Table11[[#This Row],[Unique CFDA]] = MemberOrgsData[CFDA]), 0)), "")</f>
        <v/>
      </c>
      <c r="E249" s="25" t="str">
        <f t="array" ref="E249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49" s="26" t="str">
        <f t="array" ref="F249">IFERROR(INDEX(BudgetAppropData[President % Change], MATCH(1, (Table11[[#This Row],[Unique CFDA]] = BudgetAppropData[CFDA])*(SelectBudgetYear = BudgetAppropData[Fiscal Year]), 0)), "")</f>
        <v/>
      </c>
      <c r="G249" s="25" t="str">
        <f>IF(Table11[[#This Row],[Unique CFDA]] = "", "", IFERROR(Table11[[#This Row],[FY 2018 Total]]*Table11[[#This Row],[President % Change]], ""))</f>
        <v/>
      </c>
      <c r="H249" s="26" t="str">
        <f t="array" ref="H249">IFERROR(INDEX(BudgetAppropData[House % Change], MATCH(1, (Table11[[#This Row],[Unique CFDA]] = BudgetAppropData[CFDA])*(SelectBudgetYear = BudgetAppropData[Fiscal Year]),0)), "")</f>
        <v/>
      </c>
      <c r="I249" s="25" t="str">
        <f>IF(Table11[[#This Row],[Unique CFDA]] = "", "", IFERROR(Table11[[#This Row],[FY 2018 Total]]*Table11[[#This Row],[House % Change]], ""))</f>
        <v/>
      </c>
      <c r="J249" s="6"/>
      <c r="K249" s="25" t="str">
        <f>IF(Table11[[#This Row],[Unique CFDA]] = "", "", IFERROR(Table11[[#This Row],[FY 2018 Total]]*Table11[[#This Row],[Senate Budget]], ""))</f>
        <v/>
      </c>
      <c r="L249" s="6" t="str">
        <f>IF(Table11[[#This Row],[Unique CFDA]] = "", "", IF(ISNUMBER(Table11[[#This Row],[President $ Change]]), RANK(Table11[[#This Row],[President $ Change]], Table11[President $ Change])+COUNTIF($G249:G249, G249)-1,0))</f>
        <v/>
      </c>
      <c r="N249">
        <v>246</v>
      </c>
      <c r="O249" t="str">
        <f>IFERROR(INDEX(Table11[Unique CFDA], MATCH(N249, Table11[Pres. Sort], 0)), "")</f>
        <v/>
      </c>
      <c r="P249" s="1" t="str">
        <f>IFERROR(INDEX(Table11[Grant Name], MATCH(MemberOrgFinalSort[[#This Row],[CFDA]], Table11[Unique CFDA], 0)), "")</f>
        <v/>
      </c>
      <c r="Q249" s="20" t="str">
        <f>IFERROR(INDEX(Table11[FY 2018 Total], MATCH(MemberOrgFinalSort[[#This Row],[CFDA]], Table11[Unique CFDA], 0)), "")</f>
        <v/>
      </c>
      <c r="R249" s="21" t="str">
        <f>IFERROR(INDEX(Table11[President % Change], MATCH(MemberOrgFinalSort[[#This Row],[CFDA]], Table11[Unique CFDA], 0)), "")</f>
        <v/>
      </c>
      <c r="S249" s="20" t="str">
        <f>IFERROR(INDEX(Table11[President $ Change], MATCH(MemberOrgFinalSort[[#This Row],[CFDA]], Table11[Unique CFDA], 0)), "")</f>
        <v/>
      </c>
      <c r="T249" s="32" t="str">
        <f>IFERROR(INDEX(Table11[House % Change], MATCH(MemberOrgFinalSort[[#This Row],[CFDA]], Table11[Unique CFDA], 0)), "")</f>
        <v/>
      </c>
      <c r="U249" s="32" t="str">
        <f>IFERROR(INDEX(Table11[House $ Change], MATCH(MemberOrgFinalSort[[#This Row],[CFDA]], Table11[Unique CFDA], 0)), "")</f>
        <v/>
      </c>
      <c r="V249" s="20"/>
      <c r="X249" s="6"/>
      <c r="Y249" s="6"/>
      <c r="Z249" s="6"/>
      <c r="AA249" s="6"/>
      <c r="AB249" s="6"/>
    </row>
    <row r="250" spans="1:28" x14ac:dyDescent="0.25">
      <c r="A250" t="str">
        <f>IF(MemberOrgControl!$C253 = "", "", INDEX(MemberOrgsData[CFDA], MemberOrgControl!$C253))</f>
        <v/>
      </c>
      <c r="C250" s="6" t="str">
        <f>IFERROR(INDEX(AllFilteredCFDAs[All CFDAs], MATCH(0, INDEX(COUNTIF($C$3:C249, AllFilteredCFDAs[All CFDAs]),),0)), "")</f>
        <v/>
      </c>
      <c r="D250" s="6" t="str">
        <f t="array" ref="D250">IFERROR(INDEX(MemberOrgsData[FEDERALPROGRAMNAME], MATCH(1, (SelectMemberOrgs = MemberOrgsData[Auditee Name])*(Table11[[#This Row],[Unique CFDA]] = MemberOrgsData[CFDA]), 0)), "")</f>
        <v/>
      </c>
      <c r="E250" s="25" t="str">
        <f t="array" ref="E250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50" s="26" t="str">
        <f t="array" ref="F250">IFERROR(INDEX(BudgetAppropData[President % Change], MATCH(1, (Table11[[#This Row],[Unique CFDA]] = BudgetAppropData[CFDA])*(SelectBudgetYear = BudgetAppropData[Fiscal Year]), 0)), "")</f>
        <v/>
      </c>
      <c r="G250" s="25" t="str">
        <f>IF(Table11[[#This Row],[Unique CFDA]] = "", "", IFERROR(Table11[[#This Row],[FY 2018 Total]]*Table11[[#This Row],[President % Change]], ""))</f>
        <v/>
      </c>
      <c r="H250" s="26" t="str">
        <f t="array" ref="H250">IFERROR(INDEX(BudgetAppropData[House % Change], MATCH(1, (Table11[[#This Row],[Unique CFDA]] = BudgetAppropData[CFDA])*(SelectBudgetYear = BudgetAppropData[Fiscal Year]),0)), "")</f>
        <v/>
      </c>
      <c r="I250" s="25" t="str">
        <f>IF(Table11[[#This Row],[Unique CFDA]] = "", "", IFERROR(Table11[[#This Row],[FY 2018 Total]]*Table11[[#This Row],[House % Change]], ""))</f>
        <v/>
      </c>
      <c r="J250" s="6"/>
      <c r="K250" s="25" t="str">
        <f>IF(Table11[[#This Row],[Unique CFDA]] = "", "", IFERROR(Table11[[#This Row],[FY 2018 Total]]*Table11[[#This Row],[Senate Budget]], ""))</f>
        <v/>
      </c>
      <c r="L250" s="6" t="str">
        <f>IF(Table11[[#This Row],[Unique CFDA]] = "", "", IF(ISNUMBER(Table11[[#This Row],[President $ Change]]), RANK(Table11[[#This Row],[President $ Change]], Table11[President $ Change])+COUNTIF($G250:G250, G250)-1,0))</f>
        <v/>
      </c>
      <c r="N250">
        <v>247</v>
      </c>
      <c r="O250" t="str">
        <f>IFERROR(INDEX(Table11[Unique CFDA], MATCH(N250, Table11[Pres. Sort], 0)), "")</f>
        <v/>
      </c>
      <c r="P250" s="1" t="str">
        <f>IFERROR(INDEX(Table11[Grant Name], MATCH(MemberOrgFinalSort[[#This Row],[CFDA]], Table11[Unique CFDA], 0)), "")</f>
        <v/>
      </c>
      <c r="Q250" s="20" t="str">
        <f>IFERROR(INDEX(Table11[FY 2018 Total], MATCH(MemberOrgFinalSort[[#This Row],[CFDA]], Table11[Unique CFDA], 0)), "")</f>
        <v/>
      </c>
      <c r="R250" s="21" t="str">
        <f>IFERROR(INDEX(Table11[President % Change], MATCH(MemberOrgFinalSort[[#This Row],[CFDA]], Table11[Unique CFDA], 0)), "")</f>
        <v/>
      </c>
      <c r="S250" s="20" t="str">
        <f>IFERROR(INDEX(Table11[President $ Change], MATCH(MemberOrgFinalSort[[#This Row],[CFDA]], Table11[Unique CFDA], 0)), "")</f>
        <v/>
      </c>
      <c r="T250" s="32" t="str">
        <f>IFERROR(INDEX(Table11[House % Change], MATCH(MemberOrgFinalSort[[#This Row],[CFDA]], Table11[Unique CFDA], 0)), "")</f>
        <v/>
      </c>
      <c r="U250" s="32" t="str">
        <f>IFERROR(INDEX(Table11[House $ Change], MATCH(MemberOrgFinalSort[[#This Row],[CFDA]], Table11[Unique CFDA], 0)), "")</f>
        <v/>
      </c>
      <c r="V250" s="20"/>
      <c r="X250" s="6"/>
      <c r="Y250" s="6"/>
      <c r="Z250" s="6"/>
      <c r="AA250" s="6"/>
      <c r="AB250" s="6"/>
    </row>
    <row r="251" spans="1:28" x14ac:dyDescent="0.25">
      <c r="A251" t="str">
        <f>IF(MemberOrgControl!$C254 = "", "", INDEX(MemberOrgsData[CFDA], MemberOrgControl!$C254))</f>
        <v/>
      </c>
      <c r="C251" s="6" t="str">
        <f>IFERROR(INDEX(AllFilteredCFDAs[All CFDAs], MATCH(0, INDEX(COUNTIF($C$3:C250, AllFilteredCFDAs[All CFDAs]),),0)), "")</f>
        <v/>
      </c>
      <c r="D251" s="6" t="str">
        <f t="array" ref="D251">IFERROR(INDEX(MemberOrgsData[FEDERALPROGRAMNAME], MATCH(1, (SelectMemberOrgs = MemberOrgsData[Auditee Name])*(Table11[[#This Row],[Unique CFDA]] = MemberOrgsData[CFDA]), 0)), "")</f>
        <v/>
      </c>
      <c r="E251" s="25" t="str">
        <f t="array" ref="E251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51" s="26" t="str">
        <f t="array" ref="F251">IFERROR(INDEX(BudgetAppropData[President % Change], MATCH(1, (Table11[[#This Row],[Unique CFDA]] = BudgetAppropData[CFDA])*(SelectBudgetYear = BudgetAppropData[Fiscal Year]), 0)), "")</f>
        <v/>
      </c>
      <c r="G251" s="25" t="str">
        <f>IF(Table11[[#This Row],[Unique CFDA]] = "", "", IFERROR(Table11[[#This Row],[FY 2018 Total]]*Table11[[#This Row],[President % Change]], ""))</f>
        <v/>
      </c>
      <c r="H251" s="26" t="str">
        <f t="array" ref="H251">IFERROR(INDEX(BudgetAppropData[House % Change], MATCH(1, (Table11[[#This Row],[Unique CFDA]] = BudgetAppropData[CFDA])*(SelectBudgetYear = BudgetAppropData[Fiscal Year]),0)), "")</f>
        <v/>
      </c>
      <c r="I251" s="25" t="str">
        <f>IF(Table11[[#This Row],[Unique CFDA]] = "", "", IFERROR(Table11[[#This Row],[FY 2018 Total]]*Table11[[#This Row],[House % Change]], ""))</f>
        <v/>
      </c>
      <c r="J251" s="6"/>
      <c r="K251" s="25" t="str">
        <f>IF(Table11[[#This Row],[Unique CFDA]] = "", "", IFERROR(Table11[[#This Row],[FY 2018 Total]]*Table11[[#This Row],[Senate Budget]], ""))</f>
        <v/>
      </c>
      <c r="L251" s="6" t="str">
        <f>IF(Table11[[#This Row],[Unique CFDA]] = "", "", IF(ISNUMBER(Table11[[#This Row],[President $ Change]]), RANK(Table11[[#This Row],[President $ Change]], Table11[President $ Change])+COUNTIF($G251:G251, G251)-1,0))</f>
        <v/>
      </c>
      <c r="N251">
        <v>248</v>
      </c>
      <c r="O251" t="str">
        <f>IFERROR(INDEX(Table11[Unique CFDA], MATCH(N251, Table11[Pres. Sort], 0)), "")</f>
        <v/>
      </c>
      <c r="P251" s="1" t="str">
        <f>IFERROR(INDEX(Table11[Grant Name], MATCH(MemberOrgFinalSort[[#This Row],[CFDA]], Table11[Unique CFDA], 0)), "")</f>
        <v/>
      </c>
      <c r="Q251" s="20" t="str">
        <f>IFERROR(INDEX(Table11[FY 2018 Total], MATCH(MemberOrgFinalSort[[#This Row],[CFDA]], Table11[Unique CFDA], 0)), "")</f>
        <v/>
      </c>
      <c r="R251" s="21" t="str">
        <f>IFERROR(INDEX(Table11[President % Change], MATCH(MemberOrgFinalSort[[#This Row],[CFDA]], Table11[Unique CFDA], 0)), "")</f>
        <v/>
      </c>
      <c r="S251" s="20" t="str">
        <f>IFERROR(INDEX(Table11[President $ Change], MATCH(MemberOrgFinalSort[[#This Row],[CFDA]], Table11[Unique CFDA], 0)), "")</f>
        <v/>
      </c>
      <c r="T251" s="32" t="str">
        <f>IFERROR(INDEX(Table11[House % Change], MATCH(MemberOrgFinalSort[[#This Row],[CFDA]], Table11[Unique CFDA], 0)), "")</f>
        <v/>
      </c>
      <c r="U251" s="32" t="str">
        <f>IFERROR(INDEX(Table11[House $ Change], MATCH(MemberOrgFinalSort[[#This Row],[CFDA]], Table11[Unique CFDA], 0)), "")</f>
        <v/>
      </c>
      <c r="V251" s="20"/>
      <c r="X251" s="6"/>
      <c r="Y251" s="6"/>
      <c r="Z251" s="6"/>
      <c r="AA251" s="6"/>
      <c r="AB251" s="6"/>
    </row>
    <row r="252" spans="1:28" x14ac:dyDescent="0.25">
      <c r="A252" t="str">
        <f>IF(MemberOrgControl!$C255 = "", "", INDEX(MemberOrgsData[CFDA], MemberOrgControl!$C255))</f>
        <v/>
      </c>
      <c r="C252" s="6" t="str">
        <f>IFERROR(INDEX(AllFilteredCFDAs[All CFDAs], MATCH(0, INDEX(COUNTIF($C$3:C251, AllFilteredCFDAs[All CFDAs]),),0)), "")</f>
        <v/>
      </c>
      <c r="D252" s="6" t="str">
        <f t="array" ref="D252">IFERROR(INDEX(MemberOrgsData[FEDERALPROGRAMNAME], MATCH(1, (SelectMemberOrgs = MemberOrgsData[Auditee Name])*(Table11[[#This Row],[Unique CFDA]] = MemberOrgsData[CFDA]), 0)), "")</f>
        <v/>
      </c>
      <c r="E252" s="25" t="str">
        <f t="array" ref="E252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52" s="26" t="str">
        <f t="array" ref="F252">IFERROR(INDEX(BudgetAppropData[President % Change], MATCH(1, (Table11[[#This Row],[Unique CFDA]] = BudgetAppropData[CFDA])*(SelectBudgetYear = BudgetAppropData[Fiscal Year]), 0)), "")</f>
        <v/>
      </c>
      <c r="G252" s="25" t="str">
        <f>IF(Table11[[#This Row],[Unique CFDA]] = "", "", IFERROR(Table11[[#This Row],[FY 2018 Total]]*Table11[[#This Row],[President % Change]], ""))</f>
        <v/>
      </c>
      <c r="H252" s="26" t="str">
        <f t="array" ref="H252">IFERROR(INDEX(BudgetAppropData[House % Change], MATCH(1, (Table11[[#This Row],[Unique CFDA]] = BudgetAppropData[CFDA])*(SelectBudgetYear = BudgetAppropData[Fiscal Year]),0)), "")</f>
        <v/>
      </c>
      <c r="I252" s="25" t="str">
        <f>IF(Table11[[#This Row],[Unique CFDA]] = "", "", IFERROR(Table11[[#This Row],[FY 2018 Total]]*Table11[[#This Row],[House % Change]], ""))</f>
        <v/>
      </c>
      <c r="J252" s="6"/>
      <c r="K252" s="25" t="str">
        <f>IF(Table11[[#This Row],[Unique CFDA]] = "", "", IFERROR(Table11[[#This Row],[FY 2018 Total]]*Table11[[#This Row],[Senate Budget]], ""))</f>
        <v/>
      </c>
      <c r="L252" s="6" t="str">
        <f>IF(Table11[[#This Row],[Unique CFDA]] = "", "", IF(ISNUMBER(Table11[[#This Row],[President $ Change]]), RANK(Table11[[#This Row],[President $ Change]], Table11[President $ Change])+COUNTIF($G252:G252, G252)-1,0))</f>
        <v/>
      </c>
      <c r="N252">
        <v>249</v>
      </c>
      <c r="O252" t="str">
        <f>IFERROR(INDEX(Table11[Unique CFDA], MATCH(N252, Table11[Pres. Sort], 0)), "")</f>
        <v/>
      </c>
      <c r="P252" s="1" t="str">
        <f>IFERROR(INDEX(Table11[Grant Name], MATCH(MemberOrgFinalSort[[#This Row],[CFDA]], Table11[Unique CFDA], 0)), "")</f>
        <v/>
      </c>
      <c r="Q252" s="20" t="str">
        <f>IFERROR(INDEX(Table11[FY 2018 Total], MATCH(MemberOrgFinalSort[[#This Row],[CFDA]], Table11[Unique CFDA], 0)), "")</f>
        <v/>
      </c>
      <c r="R252" s="21" t="str">
        <f>IFERROR(INDEX(Table11[President % Change], MATCH(MemberOrgFinalSort[[#This Row],[CFDA]], Table11[Unique CFDA], 0)), "")</f>
        <v/>
      </c>
      <c r="S252" s="20" t="str">
        <f>IFERROR(INDEX(Table11[President $ Change], MATCH(MemberOrgFinalSort[[#This Row],[CFDA]], Table11[Unique CFDA], 0)), "")</f>
        <v/>
      </c>
      <c r="T252" s="32" t="str">
        <f>IFERROR(INDEX(Table11[House % Change], MATCH(MemberOrgFinalSort[[#This Row],[CFDA]], Table11[Unique CFDA], 0)), "")</f>
        <v/>
      </c>
      <c r="U252" s="32" t="str">
        <f>IFERROR(INDEX(Table11[House $ Change], MATCH(MemberOrgFinalSort[[#This Row],[CFDA]], Table11[Unique CFDA], 0)), "")</f>
        <v/>
      </c>
      <c r="V252" s="20"/>
      <c r="X252" s="6"/>
      <c r="Y252" s="6"/>
      <c r="Z252" s="6"/>
      <c r="AA252" s="6"/>
      <c r="AB252" s="6"/>
    </row>
    <row r="253" spans="1:28" x14ac:dyDescent="0.25">
      <c r="A253" t="str">
        <f>IF(MemberOrgControl!$C256 = "", "", INDEX(MemberOrgsData[CFDA], MemberOrgControl!$C256))</f>
        <v/>
      </c>
      <c r="C253" s="6" t="str">
        <f>IFERROR(INDEX(AllFilteredCFDAs[All CFDAs], MATCH(0, INDEX(COUNTIF($C$3:C252, AllFilteredCFDAs[All CFDAs]),),0)), "")</f>
        <v/>
      </c>
      <c r="D253" s="6" t="str">
        <f t="array" ref="D253">IFERROR(INDEX(MemberOrgsData[FEDERALPROGRAMNAME], MATCH(1, (SelectMemberOrgs = MemberOrgsData[Auditee Name])*(Table11[[#This Row],[Unique CFDA]] = MemberOrgsData[CFDA]), 0)), "")</f>
        <v/>
      </c>
      <c r="E253" s="25" t="str">
        <f t="array" ref="E253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53" s="26" t="str">
        <f t="array" ref="F253">IFERROR(INDEX(BudgetAppropData[President % Change], MATCH(1, (Table11[[#This Row],[Unique CFDA]] = BudgetAppropData[CFDA])*(SelectBudgetYear = BudgetAppropData[Fiscal Year]), 0)), "")</f>
        <v/>
      </c>
      <c r="G253" s="25" t="str">
        <f>IF(Table11[[#This Row],[Unique CFDA]] = "", "", IFERROR(Table11[[#This Row],[FY 2018 Total]]*Table11[[#This Row],[President % Change]], ""))</f>
        <v/>
      </c>
      <c r="H253" s="26" t="str">
        <f t="array" ref="H253">IFERROR(INDEX(BudgetAppropData[House % Change], MATCH(1, (Table11[[#This Row],[Unique CFDA]] = BudgetAppropData[CFDA])*(SelectBudgetYear = BudgetAppropData[Fiscal Year]),0)), "")</f>
        <v/>
      </c>
      <c r="I253" s="25" t="str">
        <f>IF(Table11[[#This Row],[Unique CFDA]] = "", "", IFERROR(Table11[[#This Row],[FY 2018 Total]]*Table11[[#This Row],[House % Change]], ""))</f>
        <v/>
      </c>
      <c r="J253" s="6"/>
      <c r="K253" s="25" t="str">
        <f>IF(Table11[[#This Row],[Unique CFDA]] = "", "", IFERROR(Table11[[#This Row],[FY 2018 Total]]*Table11[[#This Row],[Senate Budget]], ""))</f>
        <v/>
      </c>
      <c r="L253" s="6" t="str">
        <f>IF(Table11[[#This Row],[Unique CFDA]] = "", "", IF(ISNUMBER(Table11[[#This Row],[President $ Change]]), RANK(Table11[[#This Row],[President $ Change]], Table11[President $ Change])+COUNTIF($G253:G253, G253)-1,0))</f>
        <v/>
      </c>
      <c r="N253">
        <v>250</v>
      </c>
      <c r="O253" t="str">
        <f>IFERROR(INDEX(Table11[Unique CFDA], MATCH(N253, Table11[Pres. Sort], 0)), "")</f>
        <v/>
      </c>
      <c r="P253" s="1" t="str">
        <f>IFERROR(INDEX(Table11[Grant Name], MATCH(MemberOrgFinalSort[[#This Row],[CFDA]], Table11[Unique CFDA], 0)), "")</f>
        <v/>
      </c>
      <c r="Q253" s="20" t="str">
        <f>IFERROR(INDEX(Table11[FY 2018 Total], MATCH(MemberOrgFinalSort[[#This Row],[CFDA]], Table11[Unique CFDA], 0)), "")</f>
        <v/>
      </c>
      <c r="R253" s="21" t="str">
        <f>IFERROR(INDEX(Table11[President % Change], MATCH(MemberOrgFinalSort[[#This Row],[CFDA]], Table11[Unique CFDA], 0)), "")</f>
        <v/>
      </c>
      <c r="S253" s="20" t="str">
        <f>IFERROR(INDEX(Table11[President $ Change], MATCH(MemberOrgFinalSort[[#This Row],[CFDA]], Table11[Unique CFDA], 0)), "")</f>
        <v/>
      </c>
      <c r="T253" s="32" t="str">
        <f>IFERROR(INDEX(Table11[House % Change], MATCH(MemberOrgFinalSort[[#This Row],[CFDA]], Table11[Unique CFDA], 0)), "")</f>
        <v/>
      </c>
      <c r="U253" s="32" t="str">
        <f>IFERROR(INDEX(Table11[House $ Change], MATCH(MemberOrgFinalSort[[#This Row],[CFDA]], Table11[Unique CFDA], 0)), "")</f>
        <v/>
      </c>
      <c r="V253" s="20"/>
      <c r="X253" s="6"/>
      <c r="Y253" s="6"/>
      <c r="Z253" s="6"/>
      <c r="AA253" s="6"/>
      <c r="AB253" s="6"/>
    </row>
    <row r="254" spans="1:28" x14ac:dyDescent="0.25">
      <c r="A254" t="str">
        <f>IF(MemberOrgControl!$C257 = "", "", INDEX(MemberOrgsData[CFDA], MemberOrgControl!$C257))</f>
        <v/>
      </c>
      <c r="C254" s="6" t="str">
        <f>IFERROR(INDEX(AllFilteredCFDAs[All CFDAs], MATCH(0, INDEX(COUNTIF($C$3:C253, AllFilteredCFDAs[All CFDAs]),),0)), "")</f>
        <v/>
      </c>
      <c r="D254" s="6" t="str">
        <f t="array" ref="D254">IFERROR(INDEX(MemberOrgsData[FEDERALPROGRAMNAME], MATCH(1, (SelectMemberOrgs = MemberOrgsData[Auditee Name])*(Table11[[#This Row],[Unique CFDA]] = MemberOrgsData[CFDA]), 0)), "")</f>
        <v/>
      </c>
      <c r="E254" s="25" t="str">
        <f t="array" ref="E254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54" s="26" t="str">
        <f t="array" ref="F254">IFERROR(INDEX(BudgetAppropData[President % Change], MATCH(1, (Table11[[#This Row],[Unique CFDA]] = BudgetAppropData[CFDA])*(SelectBudgetYear = BudgetAppropData[Fiscal Year]), 0)), "")</f>
        <v/>
      </c>
      <c r="G254" s="25" t="str">
        <f>IF(Table11[[#This Row],[Unique CFDA]] = "", "", IFERROR(Table11[[#This Row],[FY 2018 Total]]*Table11[[#This Row],[President % Change]], ""))</f>
        <v/>
      </c>
      <c r="H254" s="26" t="str">
        <f t="array" ref="H254">IFERROR(INDEX(BudgetAppropData[House % Change], MATCH(1, (Table11[[#This Row],[Unique CFDA]] = BudgetAppropData[CFDA])*(SelectBudgetYear = BudgetAppropData[Fiscal Year]),0)), "")</f>
        <v/>
      </c>
      <c r="I254" s="25" t="str">
        <f>IF(Table11[[#This Row],[Unique CFDA]] = "", "", IFERROR(Table11[[#This Row],[FY 2018 Total]]*Table11[[#This Row],[House % Change]], ""))</f>
        <v/>
      </c>
      <c r="J254" s="6"/>
      <c r="K254" s="25" t="str">
        <f>IF(Table11[[#This Row],[Unique CFDA]] = "", "", IFERROR(Table11[[#This Row],[FY 2018 Total]]*Table11[[#This Row],[Senate Budget]], ""))</f>
        <v/>
      </c>
      <c r="L254" s="6" t="str">
        <f>IF(Table11[[#This Row],[Unique CFDA]] = "", "", IF(ISNUMBER(Table11[[#This Row],[President $ Change]]), RANK(Table11[[#This Row],[President $ Change]], Table11[President $ Change])+COUNTIF($G254:G254, G254)-1,0))</f>
        <v/>
      </c>
      <c r="N254">
        <v>251</v>
      </c>
      <c r="O254" t="str">
        <f>IFERROR(INDEX(Table11[Unique CFDA], MATCH(N254, Table11[Pres. Sort], 0)), "")</f>
        <v/>
      </c>
      <c r="P254" s="1" t="str">
        <f>IFERROR(INDEX(Table11[Grant Name], MATCH(MemberOrgFinalSort[[#This Row],[CFDA]], Table11[Unique CFDA], 0)), "")</f>
        <v/>
      </c>
      <c r="Q254" s="20" t="str">
        <f>IFERROR(INDEX(Table11[FY 2018 Total], MATCH(MemberOrgFinalSort[[#This Row],[CFDA]], Table11[Unique CFDA], 0)), "")</f>
        <v/>
      </c>
      <c r="R254" s="21" t="str">
        <f>IFERROR(INDEX(Table11[President % Change], MATCH(MemberOrgFinalSort[[#This Row],[CFDA]], Table11[Unique CFDA], 0)), "")</f>
        <v/>
      </c>
      <c r="S254" s="20" t="str">
        <f>IFERROR(INDEX(Table11[President $ Change], MATCH(MemberOrgFinalSort[[#This Row],[CFDA]], Table11[Unique CFDA], 0)), "")</f>
        <v/>
      </c>
      <c r="T254" s="32" t="str">
        <f>IFERROR(INDEX(Table11[House % Change], MATCH(MemberOrgFinalSort[[#This Row],[CFDA]], Table11[Unique CFDA], 0)), "")</f>
        <v/>
      </c>
      <c r="U254" s="32" t="str">
        <f>IFERROR(INDEX(Table11[House $ Change], MATCH(MemberOrgFinalSort[[#This Row],[CFDA]], Table11[Unique CFDA], 0)), "")</f>
        <v/>
      </c>
      <c r="V254" s="20"/>
      <c r="X254" s="6"/>
      <c r="Y254" s="6"/>
      <c r="Z254" s="6"/>
      <c r="AA254" s="6"/>
      <c r="AB254" s="6"/>
    </row>
    <row r="255" spans="1:28" x14ac:dyDescent="0.25">
      <c r="A255" t="str">
        <f>IF(MemberOrgControl!$C258 = "", "", INDEX(MemberOrgsData[CFDA], MemberOrgControl!$C258))</f>
        <v/>
      </c>
      <c r="C255" s="6" t="str">
        <f>IFERROR(INDEX(AllFilteredCFDAs[All CFDAs], MATCH(0, INDEX(COUNTIF($C$3:C254, AllFilteredCFDAs[All CFDAs]),),0)), "")</f>
        <v/>
      </c>
      <c r="D255" s="6" t="str">
        <f t="array" ref="D255">IFERROR(INDEX(MemberOrgsData[FEDERALPROGRAMNAME], MATCH(1, (SelectMemberOrgs = MemberOrgsData[Auditee Name])*(Table11[[#This Row],[Unique CFDA]] = MemberOrgsData[CFDA]), 0)), "")</f>
        <v/>
      </c>
      <c r="E255" s="25" t="str">
        <f t="array" ref="E255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55" s="26" t="str">
        <f t="array" ref="F255">IFERROR(INDEX(BudgetAppropData[President % Change], MATCH(1, (Table11[[#This Row],[Unique CFDA]] = BudgetAppropData[CFDA])*(SelectBudgetYear = BudgetAppropData[Fiscal Year]), 0)), "")</f>
        <v/>
      </c>
      <c r="G255" s="25" t="str">
        <f>IF(Table11[[#This Row],[Unique CFDA]] = "", "", IFERROR(Table11[[#This Row],[FY 2018 Total]]*Table11[[#This Row],[President % Change]], ""))</f>
        <v/>
      </c>
      <c r="H255" s="26" t="str">
        <f t="array" ref="H255">IFERROR(INDEX(BudgetAppropData[House % Change], MATCH(1, (Table11[[#This Row],[Unique CFDA]] = BudgetAppropData[CFDA])*(SelectBudgetYear = BudgetAppropData[Fiscal Year]),0)), "")</f>
        <v/>
      </c>
      <c r="I255" s="25" t="str">
        <f>IF(Table11[[#This Row],[Unique CFDA]] = "", "", IFERROR(Table11[[#This Row],[FY 2018 Total]]*Table11[[#This Row],[House % Change]], ""))</f>
        <v/>
      </c>
      <c r="J255" s="6"/>
      <c r="K255" s="25" t="str">
        <f>IF(Table11[[#This Row],[Unique CFDA]] = "", "", IFERROR(Table11[[#This Row],[FY 2018 Total]]*Table11[[#This Row],[Senate Budget]], ""))</f>
        <v/>
      </c>
      <c r="L255" s="6" t="str">
        <f>IF(Table11[[#This Row],[Unique CFDA]] = "", "", IF(ISNUMBER(Table11[[#This Row],[President $ Change]]), RANK(Table11[[#This Row],[President $ Change]], Table11[President $ Change])+COUNTIF($G255:G255, G255)-1,0))</f>
        <v/>
      </c>
      <c r="N255">
        <v>252</v>
      </c>
      <c r="O255" t="str">
        <f>IFERROR(INDEX(Table11[Unique CFDA], MATCH(N255, Table11[Pres. Sort], 0)), "")</f>
        <v/>
      </c>
      <c r="P255" s="1" t="str">
        <f>IFERROR(INDEX(Table11[Grant Name], MATCH(MemberOrgFinalSort[[#This Row],[CFDA]], Table11[Unique CFDA], 0)), "")</f>
        <v/>
      </c>
      <c r="Q255" s="20" t="str">
        <f>IFERROR(INDEX(Table11[FY 2018 Total], MATCH(MemberOrgFinalSort[[#This Row],[CFDA]], Table11[Unique CFDA], 0)), "")</f>
        <v/>
      </c>
      <c r="R255" s="21" t="str">
        <f>IFERROR(INDEX(Table11[President % Change], MATCH(MemberOrgFinalSort[[#This Row],[CFDA]], Table11[Unique CFDA], 0)), "")</f>
        <v/>
      </c>
      <c r="S255" s="20" t="str">
        <f>IFERROR(INDEX(Table11[President $ Change], MATCH(MemberOrgFinalSort[[#This Row],[CFDA]], Table11[Unique CFDA], 0)), "")</f>
        <v/>
      </c>
      <c r="T255" s="32" t="str">
        <f>IFERROR(INDEX(Table11[House % Change], MATCH(MemberOrgFinalSort[[#This Row],[CFDA]], Table11[Unique CFDA], 0)), "")</f>
        <v/>
      </c>
      <c r="U255" s="32" t="str">
        <f>IFERROR(INDEX(Table11[House $ Change], MATCH(MemberOrgFinalSort[[#This Row],[CFDA]], Table11[Unique CFDA], 0)), "")</f>
        <v/>
      </c>
      <c r="V255" s="20"/>
      <c r="X255" s="6"/>
      <c r="Y255" s="6"/>
      <c r="Z255" s="6"/>
      <c r="AA255" s="6"/>
      <c r="AB255" s="6"/>
    </row>
    <row r="256" spans="1:28" x14ac:dyDescent="0.25">
      <c r="A256" t="str">
        <f>IF(MemberOrgControl!$C259 = "", "", INDEX(MemberOrgsData[CFDA], MemberOrgControl!$C259))</f>
        <v/>
      </c>
      <c r="C256" s="6" t="str">
        <f>IFERROR(INDEX(AllFilteredCFDAs[All CFDAs], MATCH(0, INDEX(COUNTIF($C$3:C255, AllFilteredCFDAs[All CFDAs]),),0)), "")</f>
        <v/>
      </c>
      <c r="D256" s="6" t="str">
        <f t="array" ref="D256">IFERROR(INDEX(MemberOrgsData[FEDERALPROGRAMNAME], MATCH(1, (SelectMemberOrgs = MemberOrgsData[Auditee Name])*(Table11[[#This Row],[Unique CFDA]] = MemberOrgsData[CFDA]), 0)), "")</f>
        <v/>
      </c>
      <c r="E256" s="25" t="str">
        <f t="array" ref="E256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56" s="26" t="str">
        <f t="array" ref="F256">IFERROR(INDEX(BudgetAppropData[President % Change], MATCH(1, (Table11[[#This Row],[Unique CFDA]] = BudgetAppropData[CFDA])*(SelectBudgetYear = BudgetAppropData[Fiscal Year]), 0)), "")</f>
        <v/>
      </c>
      <c r="G256" s="25" t="str">
        <f>IF(Table11[[#This Row],[Unique CFDA]] = "", "", IFERROR(Table11[[#This Row],[FY 2018 Total]]*Table11[[#This Row],[President % Change]], ""))</f>
        <v/>
      </c>
      <c r="H256" s="26" t="str">
        <f t="array" ref="H256">IFERROR(INDEX(BudgetAppropData[House % Change], MATCH(1, (Table11[[#This Row],[Unique CFDA]] = BudgetAppropData[CFDA])*(SelectBudgetYear = BudgetAppropData[Fiscal Year]),0)), "")</f>
        <v/>
      </c>
      <c r="I256" s="25" t="str">
        <f>IF(Table11[[#This Row],[Unique CFDA]] = "", "", IFERROR(Table11[[#This Row],[FY 2018 Total]]*Table11[[#This Row],[House % Change]], ""))</f>
        <v/>
      </c>
      <c r="J256" s="6"/>
      <c r="K256" s="25" t="str">
        <f>IF(Table11[[#This Row],[Unique CFDA]] = "", "", IFERROR(Table11[[#This Row],[FY 2018 Total]]*Table11[[#This Row],[Senate Budget]], ""))</f>
        <v/>
      </c>
      <c r="L256" s="6" t="str">
        <f>IF(Table11[[#This Row],[Unique CFDA]] = "", "", IF(ISNUMBER(Table11[[#This Row],[President $ Change]]), RANK(Table11[[#This Row],[President $ Change]], Table11[President $ Change])+COUNTIF($G256:G256, G256)-1,0))</f>
        <v/>
      </c>
      <c r="N256">
        <v>253</v>
      </c>
      <c r="O256" t="str">
        <f>IFERROR(INDEX(Table11[Unique CFDA], MATCH(N256, Table11[Pres. Sort], 0)), "")</f>
        <v/>
      </c>
      <c r="P256" s="1" t="str">
        <f>IFERROR(INDEX(Table11[Grant Name], MATCH(MemberOrgFinalSort[[#This Row],[CFDA]], Table11[Unique CFDA], 0)), "")</f>
        <v/>
      </c>
      <c r="Q256" s="20" t="str">
        <f>IFERROR(INDEX(Table11[FY 2018 Total], MATCH(MemberOrgFinalSort[[#This Row],[CFDA]], Table11[Unique CFDA], 0)), "")</f>
        <v/>
      </c>
      <c r="R256" s="21" t="str">
        <f>IFERROR(INDEX(Table11[President % Change], MATCH(MemberOrgFinalSort[[#This Row],[CFDA]], Table11[Unique CFDA], 0)), "")</f>
        <v/>
      </c>
      <c r="S256" s="20" t="str">
        <f>IFERROR(INDEX(Table11[President $ Change], MATCH(MemberOrgFinalSort[[#This Row],[CFDA]], Table11[Unique CFDA], 0)), "")</f>
        <v/>
      </c>
      <c r="T256" s="32" t="str">
        <f>IFERROR(INDEX(Table11[House % Change], MATCH(MemberOrgFinalSort[[#This Row],[CFDA]], Table11[Unique CFDA], 0)), "")</f>
        <v/>
      </c>
      <c r="U256" s="32" t="str">
        <f>IFERROR(INDEX(Table11[House $ Change], MATCH(MemberOrgFinalSort[[#This Row],[CFDA]], Table11[Unique CFDA], 0)), "")</f>
        <v/>
      </c>
      <c r="V256" s="20"/>
      <c r="X256" s="6"/>
      <c r="Y256" s="6"/>
      <c r="Z256" s="6"/>
      <c r="AA256" s="6"/>
      <c r="AB256" s="6"/>
    </row>
    <row r="257" spans="1:28" x14ac:dyDescent="0.25">
      <c r="A257" t="str">
        <f>IF(MemberOrgControl!$C260 = "", "", INDEX(MemberOrgsData[CFDA], MemberOrgControl!$C260))</f>
        <v/>
      </c>
      <c r="C257" s="6" t="str">
        <f>IFERROR(INDEX(AllFilteredCFDAs[All CFDAs], MATCH(0, INDEX(COUNTIF($C$3:C256, AllFilteredCFDAs[All CFDAs]),),0)), "")</f>
        <v/>
      </c>
      <c r="D257" s="6" t="str">
        <f t="array" ref="D257">IFERROR(INDEX(MemberOrgsData[FEDERALPROGRAMNAME], MATCH(1, (SelectMemberOrgs = MemberOrgsData[Auditee Name])*(Table11[[#This Row],[Unique CFDA]] = MemberOrgsData[CFDA]), 0)), "")</f>
        <v/>
      </c>
      <c r="E257" s="25" t="str">
        <f t="array" ref="E257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57" s="26" t="str">
        <f t="array" ref="F257">IFERROR(INDEX(BudgetAppropData[President % Change], MATCH(1, (Table11[[#This Row],[Unique CFDA]] = BudgetAppropData[CFDA])*(SelectBudgetYear = BudgetAppropData[Fiscal Year]), 0)), "")</f>
        <v/>
      </c>
      <c r="G257" s="25" t="str">
        <f>IF(Table11[[#This Row],[Unique CFDA]] = "", "", IFERROR(Table11[[#This Row],[FY 2018 Total]]*Table11[[#This Row],[President % Change]], ""))</f>
        <v/>
      </c>
      <c r="H257" s="26" t="str">
        <f t="array" ref="H257">IFERROR(INDEX(BudgetAppropData[House % Change], MATCH(1, (Table11[[#This Row],[Unique CFDA]] = BudgetAppropData[CFDA])*(SelectBudgetYear = BudgetAppropData[Fiscal Year]),0)), "")</f>
        <v/>
      </c>
      <c r="I257" s="25" t="str">
        <f>IF(Table11[[#This Row],[Unique CFDA]] = "", "", IFERROR(Table11[[#This Row],[FY 2018 Total]]*Table11[[#This Row],[House % Change]], ""))</f>
        <v/>
      </c>
      <c r="J257" s="6"/>
      <c r="K257" s="25" t="str">
        <f>IF(Table11[[#This Row],[Unique CFDA]] = "", "", IFERROR(Table11[[#This Row],[FY 2018 Total]]*Table11[[#This Row],[Senate Budget]], ""))</f>
        <v/>
      </c>
      <c r="L257" s="6" t="str">
        <f>IF(Table11[[#This Row],[Unique CFDA]] = "", "", IF(ISNUMBER(Table11[[#This Row],[President $ Change]]), RANK(Table11[[#This Row],[President $ Change]], Table11[President $ Change])+COUNTIF($G257:G257, G257)-1,0))</f>
        <v/>
      </c>
      <c r="N257">
        <v>254</v>
      </c>
      <c r="O257" t="str">
        <f>IFERROR(INDEX(Table11[Unique CFDA], MATCH(N257, Table11[Pres. Sort], 0)), "")</f>
        <v/>
      </c>
      <c r="P257" s="1" t="str">
        <f>IFERROR(INDEX(Table11[Grant Name], MATCH(MemberOrgFinalSort[[#This Row],[CFDA]], Table11[Unique CFDA], 0)), "")</f>
        <v/>
      </c>
      <c r="Q257" s="20" t="str">
        <f>IFERROR(INDEX(Table11[FY 2018 Total], MATCH(MemberOrgFinalSort[[#This Row],[CFDA]], Table11[Unique CFDA], 0)), "")</f>
        <v/>
      </c>
      <c r="R257" s="21" t="str">
        <f>IFERROR(INDEX(Table11[President % Change], MATCH(MemberOrgFinalSort[[#This Row],[CFDA]], Table11[Unique CFDA], 0)), "")</f>
        <v/>
      </c>
      <c r="S257" s="20" t="str">
        <f>IFERROR(INDEX(Table11[President $ Change], MATCH(MemberOrgFinalSort[[#This Row],[CFDA]], Table11[Unique CFDA], 0)), "")</f>
        <v/>
      </c>
      <c r="T257" s="32" t="str">
        <f>IFERROR(INDEX(Table11[House % Change], MATCH(MemberOrgFinalSort[[#This Row],[CFDA]], Table11[Unique CFDA], 0)), "")</f>
        <v/>
      </c>
      <c r="U257" s="32" t="str">
        <f>IFERROR(INDEX(Table11[House $ Change], MATCH(MemberOrgFinalSort[[#This Row],[CFDA]], Table11[Unique CFDA], 0)), "")</f>
        <v/>
      </c>
      <c r="V257" s="20"/>
      <c r="X257" s="6"/>
      <c r="Y257" s="6"/>
      <c r="Z257" s="6"/>
      <c r="AA257" s="6"/>
      <c r="AB257" s="6"/>
    </row>
    <row r="258" spans="1:28" x14ac:dyDescent="0.25">
      <c r="A258" t="str">
        <f>IF(MemberOrgControl!$C261 = "", "", INDEX(MemberOrgsData[CFDA], MemberOrgControl!$C261))</f>
        <v/>
      </c>
      <c r="C258" s="6" t="str">
        <f>IFERROR(INDEX(AllFilteredCFDAs[All CFDAs], MATCH(0, INDEX(COUNTIF($C$3:C257, AllFilteredCFDAs[All CFDAs]),),0)), "")</f>
        <v/>
      </c>
      <c r="D258" s="6" t="str">
        <f t="array" ref="D258">IFERROR(INDEX(MemberOrgsData[FEDERALPROGRAMNAME], MATCH(1, (SelectMemberOrgs = MemberOrgsData[Auditee Name])*(Table11[[#This Row],[Unique CFDA]] = MemberOrgsData[CFDA]), 0)), "")</f>
        <v/>
      </c>
      <c r="E258" s="25" t="str">
        <f t="array" ref="E258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58" s="26" t="str">
        <f t="array" ref="F258">IFERROR(INDEX(BudgetAppropData[President % Change], MATCH(1, (Table11[[#This Row],[Unique CFDA]] = BudgetAppropData[CFDA])*(SelectBudgetYear = BudgetAppropData[Fiscal Year]), 0)), "")</f>
        <v/>
      </c>
      <c r="G258" s="25" t="str">
        <f>IF(Table11[[#This Row],[Unique CFDA]] = "", "", IFERROR(Table11[[#This Row],[FY 2018 Total]]*Table11[[#This Row],[President % Change]], ""))</f>
        <v/>
      </c>
      <c r="H258" s="26" t="str">
        <f t="array" ref="H258">IFERROR(INDEX(BudgetAppropData[House % Change], MATCH(1, (Table11[[#This Row],[Unique CFDA]] = BudgetAppropData[CFDA])*(SelectBudgetYear = BudgetAppropData[Fiscal Year]),0)), "")</f>
        <v/>
      </c>
      <c r="I258" s="25" t="str">
        <f>IF(Table11[[#This Row],[Unique CFDA]] = "", "", IFERROR(Table11[[#This Row],[FY 2018 Total]]*Table11[[#This Row],[House % Change]], ""))</f>
        <v/>
      </c>
      <c r="J258" s="6"/>
      <c r="K258" s="25" t="str">
        <f>IF(Table11[[#This Row],[Unique CFDA]] = "", "", IFERROR(Table11[[#This Row],[FY 2018 Total]]*Table11[[#This Row],[Senate Budget]], ""))</f>
        <v/>
      </c>
      <c r="L258" s="6" t="str">
        <f>IF(Table11[[#This Row],[Unique CFDA]] = "", "", IF(ISNUMBER(Table11[[#This Row],[President $ Change]]), RANK(Table11[[#This Row],[President $ Change]], Table11[President $ Change])+COUNTIF($G258:G258, G258)-1,0))</f>
        <v/>
      </c>
      <c r="N258">
        <v>255</v>
      </c>
      <c r="O258" t="str">
        <f>IFERROR(INDEX(Table11[Unique CFDA], MATCH(N258, Table11[Pres. Sort], 0)), "")</f>
        <v/>
      </c>
      <c r="P258" s="1" t="str">
        <f>IFERROR(INDEX(Table11[Grant Name], MATCH(MemberOrgFinalSort[[#This Row],[CFDA]], Table11[Unique CFDA], 0)), "")</f>
        <v/>
      </c>
      <c r="Q258" s="20" t="str">
        <f>IFERROR(INDEX(Table11[FY 2018 Total], MATCH(MemberOrgFinalSort[[#This Row],[CFDA]], Table11[Unique CFDA], 0)), "")</f>
        <v/>
      </c>
      <c r="R258" s="21" t="str">
        <f>IFERROR(INDEX(Table11[President % Change], MATCH(MemberOrgFinalSort[[#This Row],[CFDA]], Table11[Unique CFDA], 0)), "")</f>
        <v/>
      </c>
      <c r="S258" s="20" t="str">
        <f>IFERROR(INDEX(Table11[President $ Change], MATCH(MemberOrgFinalSort[[#This Row],[CFDA]], Table11[Unique CFDA], 0)), "")</f>
        <v/>
      </c>
      <c r="T258" s="32" t="str">
        <f>IFERROR(INDEX(Table11[House % Change], MATCH(MemberOrgFinalSort[[#This Row],[CFDA]], Table11[Unique CFDA], 0)), "")</f>
        <v/>
      </c>
      <c r="U258" s="32" t="str">
        <f>IFERROR(INDEX(Table11[House $ Change], MATCH(MemberOrgFinalSort[[#This Row],[CFDA]], Table11[Unique CFDA], 0)), "")</f>
        <v/>
      </c>
      <c r="V258" s="20"/>
      <c r="X258" s="6"/>
      <c r="Y258" s="6"/>
      <c r="Z258" s="6"/>
      <c r="AA258" s="6"/>
      <c r="AB258" s="6"/>
    </row>
    <row r="259" spans="1:28" x14ac:dyDescent="0.25">
      <c r="A259" t="str">
        <f>IF(MemberOrgControl!$C262 = "", "", INDEX(MemberOrgsData[CFDA], MemberOrgControl!$C262))</f>
        <v/>
      </c>
      <c r="C259" s="6" t="str">
        <f>IFERROR(INDEX(AllFilteredCFDAs[All CFDAs], MATCH(0, INDEX(COUNTIF($C$3:C258, AllFilteredCFDAs[All CFDAs]),),0)), "")</f>
        <v/>
      </c>
      <c r="D259" s="6" t="str">
        <f t="array" ref="D259">IFERROR(INDEX(MemberOrgsData[FEDERALPROGRAMNAME], MATCH(1, (SelectMemberOrgs = MemberOrgsData[Auditee Name])*(Table11[[#This Row],[Unique CFDA]] = MemberOrgsData[CFDA]), 0)), "")</f>
        <v/>
      </c>
      <c r="E259" s="25" t="str">
        <f t="array" ref="E259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59" s="26" t="str">
        <f t="array" ref="F259">IFERROR(INDEX(BudgetAppropData[President % Change], MATCH(1, (Table11[[#This Row],[Unique CFDA]] = BudgetAppropData[CFDA])*(SelectBudgetYear = BudgetAppropData[Fiscal Year]), 0)), "")</f>
        <v/>
      </c>
      <c r="G259" s="25" t="str">
        <f>IF(Table11[[#This Row],[Unique CFDA]] = "", "", IFERROR(Table11[[#This Row],[FY 2018 Total]]*Table11[[#This Row],[President % Change]], ""))</f>
        <v/>
      </c>
      <c r="H259" s="26" t="str">
        <f t="array" ref="H259">IFERROR(INDEX(BudgetAppropData[House % Change], MATCH(1, (Table11[[#This Row],[Unique CFDA]] = BudgetAppropData[CFDA])*(SelectBudgetYear = BudgetAppropData[Fiscal Year]),0)), "")</f>
        <v/>
      </c>
      <c r="I259" s="25" t="str">
        <f>IF(Table11[[#This Row],[Unique CFDA]] = "", "", IFERROR(Table11[[#This Row],[FY 2018 Total]]*Table11[[#This Row],[House % Change]], ""))</f>
        <v/>
      </c>
      <c r="J259" s="6"/>
      <c r="K259" s="25" t="str">
        <f>IF(Table11[[#This Row],[Unique CFDA]] = "", "", IFERROR(Table11[[#This Row],[FY 2018 Total]]*Table11[[#This Row],[Senate Budget]], ""))</f>
        <v/>
      </c>
      <c r="L259" s="6" t="str">
        <f>IF(Table11[[#This Row],[Unique CFDA]] = "", "", IF(ISNUMBER(Table11[[#This Row],[President $ Change]]), RANK(Table11[[#This Row],[President $ Change]], Table11[President $ Change])+COUNTIF($G259:G259, G259)-1,0))</f>
        <v/>
      </c>
      <c r="N259">
        <v>256</v>
      </c>
      <c r="O259" t="str">
        <f>IFERROR(INDEX(Table11[Unique CFDA], MATCH(N259, Table11[Pres. Sort], 0)), "")</f>
        <v/>
      </c>
      <c r="P259" s="1" t="str">
        <f>IFERROR(INDEX(Table11[Grant Name], MATCH(MemberOrgFinalSort[[#This Row],[CFDA]], Table11[Unique CFDA], 0)), "")</f>
        <v/>
      </c>
      <c r="Q259" s="20" t="str">
        <f>IFERROR(INDEX(Table11[FY 2018 Total], MATCH(MemberOrgFinalSort[[#This Row],[CFDA]], Table11[Unique CFDA], 0)), "")</f>
        <v/>
      </c>
      <c r="R259" s="21" t="str">
        <f>IFERROR(INDEX(Table11[President % Change], MATCH(MemberOrgFinalSort[[#This Row],[CFDA]], Table11[Unique CFDA], 0)), "")</f>
        <v/>
      </c>
      <c r="S259" s="20" t="str">
        <f>IFERROR(INDEX(Table11[President $ Change], MATCH(MemberOrgFinalSort[[#This Row],[CFDA]], Table11[Unique CFDA], 0)), "")</f>
        <v/>
      </c>
      <c r="T259" s="32" t="str">
        <f>IFERROR(INDEX(Table11[House % Change], MATCH(MemberOrgFinalSort[[#This Row],[CFDA]], Table11[Unique CFDA], 0)), "")</f>
        <v/>
      </c>
      <c r="U259" s="32" t="str">
        <f>IFERROR(INDEX(Table11[House $ Change], MATCH(MemberOrgFinalSort[[#This Row],[CFDA]], Table11[Unique CFDA], 0)), "")</f>
        <v/>
      </c>
      <c r="V259" s="20"/>
      <c r="X259" s="6"/>
      <c r="Y259" s="6"/>
      <c r="Z259" s="6"/>
      <c r="AA259" s="6"/>
      <c r="AB259" s="6"/>
    </row>
    <row r="260" spans="1:28" x14ac:dyDescent="0.25">
      <c r="A260" t="str">
        <f>IF(MemberOrgControl!$C263 = "", "", INDEX(MemberOrgsData[CFDA], MemberOrgControl!$C263))</f>
        <v/>
      </c>
      <c r="C260" s="6" t="str">
        <f>IFERROR(INDEX(AllFilteredCFDAs[All CFDAs], MATCH(0, INDEX(COUNTIF($C$3:C259, AllFilteredCFDAs[All CFDAs]),),0)), "")</f>
        <v/>
      </c>
      <c r="D260" s="6" t="str">
        <f t="array" ref="D260">IFERROR(INDEX(MemberOrgsData[FEDERALPROGRAMNAME], MATCH(1, (SelectMemberOrgs = MemberOrgsData[Auditee Name])*(Table11[[#This Row],[Unique CFDA]] = MemberOrgsData[CFDA]), 0)), "")</f>
        <v/>
      </c>
      <c r="E260" s="25" t="str">
        <f t="array" ref="E260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60" s="26" t="str">
        <f t="array" ref="F260">IFERROR(INDEX(BudgetAppropData[President % Change], MATCH(1, (Table11[[#This Row],[Unique CFDA]] = BudgetAppropData[CFDA])*(SelectBudgetYear = BudgetAppropData[Fiscal Year]), 0)), "")</f>
        <v/>
      </c>
      <c r="G260" s="25" t="str">
        <f>IF(Table11[[#This Row],[Unique CFDA]] = "", "", IFERROR(Table11[[#This Row],[FY 2018 Total]]*Table11[[#This Row],[President % Change]], ""))</f>
        <v/>
      </c>
      <c r="H260" s="26" t="str">
        <f t="array" ref="H260">IFERROR(INDEX(BudgetAppropData[House % Change], MATCH(1, (Table11[[#This Row],[Unique CFDA]] = BudgetAppropData[CFDA])*(SelectBudgetYear = BudgetAppropData[Fiscal Year]),0)), "")</f>
        <v/>
      </c>
      <c r="I260" s="25" t="str">
        <f>IF(Table11[[#This Row],[Unique CFDA]] = "", "", IFERROR(Table11[[#This Row],[FY 2018 Total]]*Table11[[#This Row],[House % Change]], ""))</f>
        <v/>
      </c>
      <c r="J260" s="6"/>
      <c r="K260" s="25" t="str">
        <f>IF(Table11[[#This Row],[Unique CFDA]] = "", "", IFERROR(Table11[[#This Row],[FY 2018 Total]]*Table11[[#This Row],[Senate Budget]], ""))</f>
        <v/>
      </c>
      <c r="L260" s="6" t="str">
        <f>IF(Table11[[#This Row],[Unique CFDA]] = "", "", IF(ISNUMBER(Table11[[#This Row],[President $ Change]]), RANK(Table11[[#This Row],[President $ Change]], Table11[President $ Change])+COUNTIF($G260:G260, G260)-1,0))</f>
        <v/>
      </c>
      <c r="N260">
        <v>257</v>
      </c>
      <c r="O260" t="str">
        <f>IFERROR(INDEX(Table11[Unique CFDA], MATCH(N260, Table11[Pres. Sort], 0)), "")</f>
        <v/>
      </c>
      <c r="P260" s="1" t="str">
        <f>IFERROR(INDEX(Table11[Grant Name], MATCH(MemberOrgFinalSort[[#This Row],[CFDA]], Table11[Unique CFDA], 0)), "")</f>
        <v/>
      </c>
      <c r="Q260" s="20" t="str">
        <f>IFERROR(INDEX(Table11[FY 2018 Total], MATCH(MemberOrgFinalSort[[#This Row],[CFDA]], Table11[Unique CFDA], 0)), "")</f>
        <v/>
      </c>
      <c r="R260" s="21" t="str">
        <f>IFERROR(INDEX(Table11[President % Change], MATCH(MemberOrgFinalSort[[#This Row],[CFDA]], Table11[Unique CFDA], 0)), "")</f>
        <v/>
      </c>
      <c r="S260" s="20" t="str">
        <f>IFERROR(INDEX(Table11[President $ Change], MATCH(MemberOrgFinalSort[[#This Row],[CFDA]], Table11[Unique CFDA], 0)), "")</f>
        <v/>
      </c>
      <c r="T260" s="32" t="str">
        <f>IFERROR(INDEX(Table11[House % Change], MATCH(MemberOrgFinalSort[[#This Row],[CFDA]], Table11[Unique CFDA], 0)), "")</f>
        <v/>
      </c>
      <c r="U260" s="32" t="str">
        <f>IFERROR(INDEX(Table11[House $ Change], MATCH(MemberOrgFinalSort[[#This Row],[CFDA]], Table11[Unique CFDA], 0)), "")</f>
        <v/>
      </c>
      <c r="V260" s="20"/>
      <c r="X260" s="6"/>
      <c r="Y260" s="6"/>
      <c r="Z260" s="6"/>
      <c r="AA260" s="6"/>
      <c r="AB260" s="6"/>
    </row>
    <row r="261" spans="1:28" x14ac:dyDescent="0.25">
      <c r="A261" t="str">
        <f>IF(MemberOrgControl!$C264 = "", "", INDEX(MemberOrgsData[CFDA], MemberOrgControl!$C264))</f>
        <v/>
      </c>
      <c r="C261" s="6" t="str">
        <f>IFERROR(INDEX(AllFilteredCFDAs[All CFDAs], MATCH(0, INDEX(COUNTIF($C$3:C260, AllFilteredCFDAs[All CFDAs]),),0)), "")</f>
        <v/>
      </c>
      <c r="D261" s="6" t="str">
        <f t="array" ref="D261">IFERROR(INDEX(MemberOrgsData[FEDERALPROGRAMNAME], MATCH(1, (SelectMemberOrgs = MemberOrgsData[Auditee Name])*(Table11[[#This Row],[Unique CFDA]] = MemberOrgsData[CFDA]), 0)), "")</f>
        <v/>
      </c>
      <c r="E261" s="25" t="str">
        <f t="array" ref="E261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61" s="26" t="str">
        <f t="array" ref="F261">IFERROR(INDEX(BudgetAppropData[President % Change], MATCH(1, (Table11[[#This Row],[Unique CFDA]] = BudgetAppropData[CFDA])*(SelectBudgetYear = BudgetAppropData[Fiscal Year]), 0)), "")</f>
        <v/>
      </c>
      <c r="G261" s="25" t="str">
        <f>IF(Table11[[#This Row],[Unique CFDA]] = "", "", IFERROR(Table11[[#This Row],[FY 2018 Total]]*Table11[[#This Row],[President % Change]], ""))</f>
        <v/>
      </c>
      <c r="H261" s="26" t="str">
        <f t="array" ref="H261">IFERROR(INDEX(BudgetAppropData[House % Change], MATCH(1, (Table11[[#This Row],[Unique CFDA]] = BudgetAppropData[CFDA])*(SelectBudgetYear = BudgetAppropData[Fiscal Year]),0)), "")</f>
        <v/>
      </c>
      <c r="I261" s="25" t="str">
        <f>IF(Table11[[#This Row],[Unique CFDA]] = "", "", IFERROR(Table11[[#This Row],[FY 2018 Total]]*Table11[[#This Row],[House % Change]], ""))</f>
        <v/>
      </c>
      <c r="J261" s="6"/>
      <c r="K261" s="25" t="str">
        <f>IF(Table11[[#This Row],[Unique CFDA]] = "", "", IFERROR(Table11[[#This Row],[FY 2018 Total]]*Table11[[#This Row],[Senate Budget]], ""))</f>
        <v/>
      </c>
      <c r="L261" s="6" t="str">
        <f>IF(Table11[[#This Row],[Unique CFDA]] = "", "", IF(ISNUMBER(Table11[[#This Row],[President $ Change]]), RANK(Table11[[#This Row],[President $ Change]], Table11[President $ Change])+COUNTIF($G261:G261, G261)-1,0))</f>
        <v/>
      </c>
      <c r="N261">
        <v>258</v>
      </c>
      <c r="O261" t="str">
        <f>IFERROR(INDEX(Table11[Unique CFDA], MATCH(N261, Table11[Pres. Sort], 0)), "")</f>
        <v/>
      </c>
      <c r="P261" s="1" t="str">
        <f>IFERROR(INDEX(Table11[Grant Name], MATCH(MemberOrgFinalSort[[#This Row],[CFDA]], Table11[Unique CFDA], 0)), "")</f>
        <v/>
      </c>
      <c r="Q261" s="20" t="str">
        <f>IFERROR(INDEX(Table11[FY 2018 Total], MATCH(MemberOrgFinalSort[[#This Row],[CFDA]], Table11[Unique CFDA], 0)), "")</f>
        <v/>
      </c>
      <c r="R261" s="21" t="str">
        <f>IFERROR(INDEX(Table11[President % Change], MATCH(MemberOrgFinalSort[[#This Row],[CFDA]], Table11[Unique CFDA], 0)), "")</f>
        <v/>
      </c>
      <c r="S261" s="20" t="str">
        <f>IFERROR(INDEX(Table11[President $ Change], MATCH(MemberOrgFinalSort[[#This Row],[CFDA]], Table11[Unique CFDA], 0)), "")</f>
        <v/>
      </c>
      <c r="T261" s="32" t="str">
        <f>IFERROR(INDEX(Table11[House % Change], MATCH(MemberOrgFinalSort[[#This Row],[CFDA]], Table11[Unique CFDA], 0)), "")</f>
        <v/>
      </c>
      <c r="U261" s="32" t="str">
        <f>IFERROR(INDEX(Table11[House $ Change], MATCH(MemberOrgFinalSort[[#This Row],[CFDA]], Table11[Unique CFDA], 0)), "")</f>
        <v/>
      </c>
      <c r="V261" s="20"/>
      <c r="X261" s="6"/>
      <c r="Y261" s="6"/>
      <c r="Z261" s="6"/>
      <c r="AA261" s="6"/>
      <c r="AB261" s="6"/>
    </row>
    <row r="262" spans="1:28" x14ac:dyDescent="0.25">
      <c r="A262" t="str">
        <f>IF(MemberOrgControl!$C265 = "", "", INDEX(MemberOrgsData[CFDA], MemberOrgControl!$C265))</f>
        <v/>
      </c>
      <c r="C262" s="6" t="str">
        <f>IFERROR(INDEX(AllFilteredCFDAs[All CFDAs], MATCH(0, INDEX(COUNTIF($C$3:C261, AllFilteredCFDAs[All CFDAs]),),0)), "")</f>
        <v/>
      </c>
      <c r="D262" s="6" t="str">
        <f t="array" ref="D262">IFERROR(INDEX(MemberOrgsData[FEDERALPROGRAMNAME], MATCH(1, (SelectMemberOrgs = MemberOrgsData[Auditee Name])*(Table11[[#This Row],[Unique CFDA]] = MemberOrgsData[CFDA]), 0)), "")</f>
        <v/>
      </c>
      <c r="E262" s="25" t="str">
        <f t="array" ref="E262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62" s="26" t="str">
        <f t="array" ref="F262">IFERROR(INDEX(BudgetAppropData[President % Change], MATCH(1, (Table11[[#This Row],[Unique CFDA]] = BudgetAppropData[CFDA])*(SelectBudgetYear = BudgetAppropData[Fiscal Year]), 0)), "")</f>
        <v/>
      </c>
      <c r="G262" s="25" t="str">
        <f>IF(Table11[[#This Row],[Unique CFDA]] = "", "", IFERROR(Table11[[#This Row],[FY 2018 Total]]*Table11[[#This Row],[President % Change]], ""))</f>
        <v/>
      </c>
      <c r="H262" s="26" t="str">
        <f t="array" ref="H262">IFERROR(INDEX(BudgetAppropData[House % Change], MATCH(1, (Table11[[#This Row],[Unique CFDA]] = BudgetAppropData[CFDA])*(SelectBudgetYear = BudgetAppropData[Fiscal Year]),0)), "")</f>
        <v/>
      </c>
      <c r="I262" s="25" t="str">
        <f>IF(Table11[[#This Row],[Unique CFDA]] = "", "", IFERROR(Table11[[#This Row],[FY 2018 Total]]*Table11[[#This Row],[House % Change]], ""))</f>
        <v/>
      </c>
      <c r="J262" s="6"/>
      <c r="K262" s="25" t="str">
        <f>IF(Table11[[#This Row],[Unique CFDA]] = "", "", IFERROR(Table11[[#This Row],[FY 2018 Total]]*Table11[[#This Row],[Senate Budget]], ""))</f>
        <v/>
      </c>
      <c r="L262" s="6" t="str">
        <f>IF(Table11[[#This Row],[Unique CFDA]] = "", "", IF(ISNUMBER(Table11[[#This Row],[President $ Change]]), RANK(Table11[[#This Row],[President $ Change]], Table11[President $ Change])+COUNTIF($G262:G262, G262)-1,0))</f>
        <v/>
      </c>
      <c r="N262">
        <v>259</v>
      </c>
      <c r="O262" t="str">
        <f>IFERROR(INDEX(Table11[Unique CFDA], MATCH(N262, Table11[Pres. Sort], 0)), "")</f>
        <v/>
      </c>
      <c r="P262" s="1" t="str">
        <f>IFERROR(INDEX(Table11[Grant Name], MATCH(MemberOrgFinalSort[[#This Row],[CFDA]], Table11[Unique CFDA], 0)), "")</f>
        <v/>
      </c>
      <c r="Q262" s="20" t="str">
        <f>IFERROR(INDEX(Table11[FY 2018 Total], MATCH(MemberOrgFinalSort[[#This Row],[CFDA]], Table11[Unique CFDA], 0)), "")</f>
        <v/>
      </c>
      <c r="R262" s="21" t="str">
        <f>IFERROR(INDEX(Table11[President % Change], MATCH(MemberOrgFinalSort[[#This Row],[CFDA]], Table11[Unique CFDA], 0)), "")</f>
        <v/>
      </c>
      <c r="S262" s="20" t="str">
        <f>IFERROR(INDEX(Table11[President $ Change], MATCH(MemberOrgFinalSort[[#This Row],[CFDA]], Table11[Unique CFDA], 0)), "")</f>
        <v/>
      </c>
      <c r="T262" s="32" t="str">
        <f>IFERROR(INDEX(Table11[House % Change], MATCH(MemberOrgFinalSort[[#This Row],[CFDA]], Table11[Unique CFDA], 0)), "")</f>
        <v/>
      </c>
      <c r="U262" s="32" t="str">
        <f>IFERROR(INDEX(Table11[House $ Change], MATCH(MemberOrgFinalSort[[#This Row],[CFDA]], Table11[Unique CFDA], 0)), "")</f>
        <v/>
      </c>
      <c r="V262" s="20"/>
      <c r="X262" s="6"/>
      <c r="Y262" s="6"/>
      <c r="Z262" s="6"/>
      <c r="AA262" s="6"/>
      <c r="AB262" s="6"/>
    </row>
    <row r="263" spans="1:28" x14ac:dyDescent="0.25">
      <c r="A263" t="str">
        <f>IF(MemberOrgControl!$C266 = "", "", INDEX(MemberOrgsData[CFDA], MemberOrgControl!$C266))</f>
        <v/>
      </c>
      <c r="C263" s="6" t="str">
        <f>IFERROR(INDEX(AllFilteredCFDAs[All CFDAs], MATCH(0, INDEX(COUNTIF($C$3:C262, AllFilteredCFDAs[All CFDAs]),),0)), "")</f>
        <v/>
      </c>
      <c r="D263" s="6" t="str">
        <f t="array" ref="D263">IFERROR(INDEX(MemberOrgsData[FEDERALPROGRAMNAME], MATCH(1, (SelectMemberOrgs = MemberOrgsData[Auditee Name])*(Table11[[#This Row],[Unique CFDA]] = MemberOrgsData[CFDA]), 0)), "")</f>
        <v/>
      </c>
      <c r="E263" s="25" t="str">
        <f t="array" ref="E263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63" s="26" t="str">
        <f t="array" ref="F263">IFERROR(INDEX(BudgetAppropData[President % Change], MATCH(1, (Table11[[#This Row],[Unique CFDA]] = BudgetAppropData[CFDA])*(SelectBudgetYear = BudgetAppropData[Fiscal Year]), 0)), "")</f>
        <v/>
      </c>
      <c r="G263" s="25" t="str">
        <f>IF(Table11[[#This Row],[Unique CFDA]] = "", "", IFERROR(Table11[[#This Row],[FY 2018 Total]]*Table11[[#This Row],[President % Change]], ""))</f>
        <v/>
      </c>
      <c r="H263" s="26" t="str">
        <f t="array" ref="H263">IFERROR(INDEX(BudgetAppropData[House % Change], MATCH(1, (Table11[[#This Row],[Unique CFDA]] = BudgetAppropData[CFDA])*(SelectBudgetYear = BudgetAppropData[Fiscal Year]),0)), "")</f>
        <v/>
      </c>
      <c r="I263" s="25" t="str">
        <f>IF(Table11[[#This Row],[Unique CFDA]] = "", "", IFERROR(Table11[[#This Row],[FY 2018 Total]]*Table11[[#This Row],[House % Change]], ""))</f>
        <v/>
      </c>
      <c r="J263" s="6"/>
      <c r="K263" s="25" t="str">
        <f>IF(Table11[[#This Row],[Unique CFDA]] = "", "", IFERROR(Table11[[#This Row],[FY 2018 Total]]*Table11[[#This Row],[Senate Budget]], ""))</f>
        <v/>
      </c>
      <c r="L263" s="6" t="str">
        <f>IF(Table11[[#This Row],[Unique CFDA]] = "", "", IF(ISNUMBER(Table11[[#This Row],[President $ Change]]), RANK(Table11[[#This Row],[President $ Change]], Table11[President $ Change])+COUNTIF($G263:G263, G263)-1,0))</f>
        <v/>
      </c>
      <c r="N263">
        <v>260</v>
      </c>
      <c r="O263" t="str">
        <f>IFERROR(INDEX(Table11[Unique CFDA], MATCH(N263, Table11[Pres. Sort], 0)), "")</f>
        <v/>
      </c>
      <c r="P263" s="1" t="str">
        <f>IFERROR(INDEX(Table11[Grant Name], MATCH(MemberOrgFinalSort[[#This Row],[CFDA]], Table11[Unique CFDA], 0)), "")</f>
        <v/>
      </c>
      <c r="Q263" s="20" t="str">
        <f>IFERROR(INDEX(Table11[FY 2018 Total], MATCH(MemberOrgFinalSort[[#This Row],[CFDA]], Table11[Unique CFDA], 0)), "")</f>
        <v/>
      </c>
      <c r="R263" s="21" t="str">
        <f>IFERROR(INDEX(Table11[President % Change], MATCH(MemberOrgFinalSort[[#This Row],[CFDA]], Table11[Unique CFDA], 0)), "")</f>
        <v/>
      </c>
      <c r="S263" s="20" t="str">
        <f>IFERROR(INDEX(Table11[President $ Change], MATCH(MemberOrgFinalSort[[#This Row],[CFDA]], Table11[Unique CFDA], 0)), "")</f>
        <v/>
      </c>
      <c r="T263" s="32" t="str">
        <f>IFERROR(INDEX(Table11[House % Change], MATCH(MemberOrgFinalSort[[#This Row],[CFDA]], Table11[Unique CFDA], 0)), "")</f>
        <v/>
      </c>
      <c r="U263" s="32" t="str">
        <f>IFERROR(INDEX(Table11[House $ Change], MATCH(MemberOrgFinalSort[[#This Row],[CFDA]], Table11[Unique CFDA], 0)), "")</f>
        <v/>
      </c>
      <c r="V263" s="20"/>
      <c r="X263" s="6"/>
      <c r="Y263" s="6"/>
      <c r="Z263" s="6"/>
      <c r="AA263" s="6"/>
      <c r="AB263" s="6"/>
    </row>
    <row r="264" spans="1:28" x14ac:dyDescent="0.25">
      <c r="A264" t="str">
        <f>IF(MemberOrgControl!$C267 = "", "", INDEX(MemberOrgsData[CFDA], MemberOrgControl!$C267))</f>
        <v/>
      </c>
      <c r="C264" s="6" t="str">
        <f>IFERROR(INDEX(AllFilteredCFDAs[All CFDAs], MATCH(0, INDEX(COUNTIF($C$3:C263, AllFilteredCFDAs[All CFDAs]),),0)), "")</f>
        <v/>
      </c>
      <c r="D264" s="6" t="str">
        <f t="array" ref="D264">IFERROR(INDEX(MemberOrgsData[FEDERALPROGRAMNAME], MATCH(1, (SelectMemberOrgs = MemberOrgsData[Auditee Name])*(Table11[[#This Row],[Unique CFDA]] = MemberOrgsData[CFDA]), 0)), "")</f>
        <v/>
      </c>
      <c r="E264" s="25" t="str">
        <f t="array" ref="E264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64" s="26" t="str">
        <f t="array" ref="F264">IFERROR(INDEX(BudgetAppropData[President % Change], MATCH(1, (Table11[[#This Row],[Unique CFDA]] = BudgetAppropData[CFDA])*(SelectBudgetYear = BudgetAppropData[Fiscal Year]), 0)), "")</f>
        <v/>
      </c>
      <c r="G264" s="25" t="str">
        <f>IF(Table11[[#This Row],[Unique CFDA]] = "", "", IFERROR(Table11[[#This Row],[FY 2018 Total]]*Table11[[#This Row],[President % Change]], ""))</f>
        <v/>
      </c>
      <c r="H264" s="26" t="str">
        <f t="array" ref="H264">IFERROR(INDEX(BudgetAppropData[House % Change], MATCH(1, (Table11[[#This Row],[Unique CFDA]] = BudgetAppropData[CFDA])*(SelectBudgetYear = BudgetAppropData[Fiscal Year]),0)), "")</f>
        <v/>
      </c>
      <c r="I264" s="25" t="str">
        <f>IF(Table11[[#This Row],[Unique CFDA]] = "", "", IFERROR(Table11[[#This Row],[FY 2018 Total]]*Table11[[#This Row],[House % Change]], ""))</f>
        <v/>
      </c>
      <c r="J264" s="6"/>
      <c r="K264" s="25" t="str">
        <f>IF(Table11[[#This Row],[Unique CFDA]] = "", "", IFERROR(Table11[[#This Row],[FY 2018 Total]]*Table11[[#This Row],[Senate Budget]], ""))</f>
        <v/>
      </c>
      <c r="L264" s="6" t="str">
        <f>IF(Table11[[#This Row],[Unique CFDA]] = "", "", IF(ISNUMBER(Table11[[#This Row],[President $ Change]]), RANK(Table11[[#This Row],[President $ Change]], Table11[President $ Change])+COUNTIF($G264:G264, G264)-1,0))</f>
        <v/>
      </c>
      <c r="N264">
        <v>261</v>
      </c>
      <c r="O264" t="str">
        <f>IFERROR(INDEX(Table11[Unique CFDA], MATCH(N264, Table11[Pres. Sort], 0)), "")</f>
        <v/>
      </c>
      <c r="P264" s="1" t="str">
        <f>IFERROR(INDEX(Table11[Grant Name], MATCH(MemberOrgFinalSort[[#This Row],[CFDA]], Table11[Unique CFDA], 0)), "")</f>
        <v/>
      </c>
      <c r="Q264" s="20" t="str">
        <f>IFERROR(INDEX(Table11[FY 2018 Total], MATCH(MemberOrgFinalSort[[#This Row],[CFDA]], Table11[Unique CFDA], 0)), "")</f>
        <v/>
      </c>
      <c r="R264" s="21" t="str">
        <f>IFERROR(INDEX(Table11[President % Change], MATCH(MemberOrgFinalSort[[#This Row],[CFDA]], Table11[Unique CFDA], 0)), "")</f>
        <v/>
      </c>
      <c r="S264" s="20" t="str">
        <f>IFERROR(INDEX(Table11[President $ Change], MATCH(MemberOrgFinalSort[[#This Row],[CFDA]], Table11[Unique CFDA], 0)), "")</f>
        <v/>
      </c>
      <c r="T264" s="32" t="str">
        <f>IFERROR(INDEX(Table11[House % Change], MATCH(MemberOrgFinalSort[[#This Row],[CFDA]], Table11[Unique CFDA], 0)), "")</f>
        <v/>
      </c>
      <c r="U264" s="32" t="str">
        <f>IFERROR(INDEX(Table11[House $ Change], MATCH(MemberOrgFinalSort[[#This Row],[CFDA]], Table11[Unique CFDA], 0)), "")</f>
        <v/>
      </c>
      <c r="V264" s="20"/>
      <c r="X264" s="6"/>
      <c r="Y264" s="6"/>
      <c r="Z264" s="6"/>
      <c r="AA264" s="6"/>
      <c r="AB264" s="6"/>
    </row>
    <row r="265" spans="1:28" x14ac:dyDescent="0.25">
      <c r="A265" t="str">
        <f>IF(MemberOrgControl!$C268 = "", "", INDEX(MemberOrgsData[CFDA], MemberOrgControl!$C268))</f>
        <v/>
      </c>
      <c r="C265" s="6" t="str">
        <f>IFERROR(INDEX(AllFilteredCFDAs[All CFDAs], MATCH(0, INDEX(COUNTIF($C$3:C264, AllFilteredCFDAs[All CFDAs]),),0)), "")</f>
        <v/>
      </c>
      <c r="D265" s="6" t="str">
        <f t="array" ref="D265">IFERROR(INDEX(MemberOrgsData[FEDERALPROGRAMNAME], MATCH(1, (SelectMemberOrgs = MemberOrgsData[Auditee Name])*(Table11[[#This Row],[Unique CFDA]] = MemberOrgsData[CFDA]), 0)), "")</f>
        <v/>
      </c>
      <c r="E265" s="25" t="str">
        <f t="array" ref="E265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65" s="26" t="str">
        <f t="array" ref="F265">IFERROR(INDEX(BudgetAppropData[President % Change], MATCH(1, (Table11[[#This Row],[Unique CFDA]] = BudgetAppropData[CFDA])*(SelectBudgetYear = BudgetAppropData[Fiscal Year]), 0)), "")</f>
        <v/>
      </c>
      <c r="G265" s="25" t="str">
        <f>IF(Table11[[#This Row],[Unique CFDA]] = "", "", IFERROR(Table11[[#This Row],[FY 2018 Total]]*Table11[[#This Row],[President % Change]], ""))</f>
        <v/>
      </c>
      <c r="H265" s="26" t="str">
        <f t="array" ref="H265">IFERROR(INDEX(BudgetAppropData[House % Change], MATCH(1, (Table11[[#This Row],[Unique CFDA]] = BudgetAppropData[CFDA])*(SelectBudgetYear = BudgetAppropData[Fiscal Year]),0)), "")</f>
        <v/>
      </c>
      <c r="I265" s="25" t="str">
        <f>IF(Table11[[#This Row],[Unique CFDA]] = "", "", IFERROR(Table11[[#This Row],[FY 2018 Total]]*Table11[[#This Row],[House % Change]], ""))</f>
        <v/>
      </c>
      <c r="J265" s="6"/>
      <c r="K265" s="25" t="str">
        <f>IF(Table11[[#This Row],[Unique CFDA]] = "", "", IFERROR(Table11[[#This Row],[FY 2018 Total]]*Table11[[#This Row],[Senate Budget]], ""))</f>
        <v/>
      </c>
      <c r="L265" s="6" t="str">
        <f>IF(Table11[[#This Row],[Unique CFDA]] = "", "", IF(ISNUMBER(Table11[[#This Row],[President $ Change]]), RANK(Table11[[#This Row],[President $ Change]], Table11[President $ Change])+COUNTIF($G265:G265, G265)-1,0))</f>
        <v/>
      </c>
      <c r="N265">
        <v>262</v>
      </c>
      <c r="O265" t="str">
        <f>IFERROR(INDEX(Table11[Unique CFDA], MATCH(N265, Table11[Pres. Sort], 0)), "")</f>
        <v/>
      </c>
      <c r="P265" s="1" t="str">
        <f>IFERROR(INDEX(Table11[Grant Name], MATCH(MemberOrgFinalSort[[#This Row],[CFDA]], Table11[Unique CFDA], 0)), "")</f>
        <v/>
      </c>
      <c r="Q265" s="20" t="str">
        <f>IFERROR(INDEX(Table11[FY 2018 Total], MATCH(MemberOrgFinalSort[[#This Row],[CFDA]], Table11[Unique CFDA], 0)), "")</f>
        <v/>
      </c>
      <c r="R265" s="21" t="str">
        <f>IFERROR(INDEX(Table11[President % Change], MATCH(MemberOrgFinalSort[[#This Row],[CFDA]], Table11[Unique CFDA], 0)), "")</f>
        <v/>
      </c>
      <c r="S265" s="20" t="str">
        <f>IFERROR(INDEX(Table11[President $ Change], MATCH(MemberOrgFinalSort[[#This Row],[CFDA]], Table11[Unique CFDA], 0)), "")</f>
        <v/>
      </c>
      <c r="T265" s="32" t="str">
        <f>IFERROR(INDEX(Table11[House % Change], MATCH(MemberOrgFinalSort[[#This Row],[CFDA]], Table11[Unique CFDA], 0)), "")</f>
        <v/>
      </c>
      <c r="U265" s="32" t="str">
        <f>IFERROR(INDEX(Table11[House $ Change], MATCH(MemberOrgFinalSort[[#This Row],[CFDA]], Table11[Unique CFDA], 0)), "")</f>
        <v/>
      </c>
      <c r="V265" s="20"/>
      <c r="X265" s="6"/>
      <c r="Y265" s="6"/>
      <c r="Z265" s="6"/>
      <c r="AA265" s="6"/>
      <c r="AB265" s="6"/>
    </row>
    <row r="266" spans="1:28" x14ac:dyDescent="0.25">
      <c r="A266" t="str">
        <f>IF(MemberOrgControl!$C269 = "", "", INDEX(MemberOrgsData[CFDA], MemberOrgControl!$C269))</f>
        <v/>
      </c>
      <c r="C266" s="6" t="str">
        <f>IFERROR(INDEX(AllFilteredCFDAs[All CFDAs], MATCH(0, INDEX(COUNTIF($C$3:C265, AllFilteredCFDAs[All CFDAs]),),0)), "")</f>
        <v/>
      </c>
      <c r="D266" s="6" t="str">
        <f t="array" ref="D266">IFERROR(INDEX(MemberOrgsData[FEDERALPROGRAMNAME], MATCH(1, (SelectMemberOrgs = MemberOrgsData[Auditee Name])*(Table11[[#This Row],[Unique CFDA]] = MemberOrgsData[CFDA]), 0)), "")</f>
        <v/>
      </c>
      <c r="E266" s="25" t="str">
        <f t="array" ref="E266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66" s="26" t="str">
        <f t="array" ref="F266">IFERROR(INDEX(BudgetAppropData[President % Change], MATCH(1, (Table11[[#This Row],[Unique CFDA]] = BudgetAppropData[CFDA])*(SelectBudgetYear = BudgetAppropData[Fiscal Year]), 0)), "")</f>
        <v/>
      </c>
      <c r="G266" s="25" t="str">
        <f>IF(Table11[[#This Row],[Unique CFDA]] = "", "", IFERROR(Table11[[#This Row],[FY 2018 Total]]*Table11[[#This Row],[President % Change]], ""))</f>
        <v/>
      </c>
      <c r="H266" s="26" t="str">
        <f t="array" ref="H266">IFERROR(INDEX(BudgetAppropData[House % Change], MATCH(1, (Table11[[#This Row],[Unique CFDA]] = BudgetAppropData[CFDA])*(SelectBudgetYear = BudgetAppropData[Fiscal Year]),0)), "")</f>
        <v/>
      </c>
      <c r="I266" s="25" t="str">
        <f>IF(Table11[[#This Row],[Unique CFDA]] = "", "", IFERROR(Table11[[#This Row],[FY 2018 Total]]*Table11[[#This Row],[House % Change]], ""))</f>
        <v/>
      </c>
      <c r="J266" s="6"/>
      <c r="K266" s="25" t="str">
        <f>IF(Table11[[#This Row],[Unique CFDA]] = "", "", IFERROR(Table11[[#This Row],[FY 2018 Total]]*Table11[[#This Row],[Senate Budget]], ""))</f>
        <v/>
      </c>
      <c r="L266" s="6" t="str">
        <f>IF(Table11[[#This Row],[Unique CFDA]] = "", "", IF(ISNUMBER(Table11[[#This Row],[President $ Change]]), RANK(Table11[[#This Row],[President $ Change]], Table11[President $ Change])+COUNTIF($G266:G266, G266)-1,0))</f>
        <v/>
      </c>
      <c r="N266">
        <v>263</v>
      </c>
      <c r="O266" t="str">
        <f>IFERROR(INDEX(Table11[Unique CFDA], MATCH(N266, Table11[Pres. Sort], 0)), "")</f>
        <v/>
      </c>
      <c r="P266" s="1" t="str">
        <f>IFERROR(INDEX(Table11[Grant Name], MATCH(MemberOrgFinalSort[[#This Row],[CFDA]], Table11[Unique CFDA], 0)), "")</f>
        <v/>
      </c>
      <c r="Q266" s="20" t="str">
        <f>IFERROR(INDEX(Table11[FY 2018 Total], MATCH(MemberOrgFinalSort[[#This Row],[CFDA]], Table11[Unique CFDA], 0)), "")</f>
        <v/>
      </c>
      <c r="R266" s="21" t="str">
        <f>IFERROR(INDEX(Table11[President % Change], MATCH(MemberOrgFinalSort[[#This Row],[CFDA]], Table11[Unique CFDA], 0)), "")</f>
        <v/>
      </c>
      <c r="S266" s="20" t="str">
        <f>IFERROR(INDEX(Table11[President $ Change], MATCH(MemberOrgFinalSort[[#This Row],[CFDA]], Table11[Unique CFDA], 0)), "")</f>
        <v/>
      </c>
      <c r="T266" s="32" t="str">
        <f>IFERROR(INDEX(Table11[House % Change], MATCH(MemberOrgFinalSort[[#This Row],[CFDA]], Table11[Unique CFDA], 0)), "")</f>
        <v/>
      </c>
      <c r="U266" s="32" t="str">
        <f>IFERROR(INDEX(Table11[House $ Change], MATCH(MemberOrgFinalSort[[#This Row],[CFDA]], Table11[Unique CFDA], 0)), "")</f>
        <v/>
      </c>
      <c r="V266" s="20"/>
      <c r="X266" s="6"/>
      <c r="Y266" s="6"/>
      <c r="Z266" s="6"/>
      <c r="AA266" s="6"/>
      <c r="AB266" s="6"/>
    </row>
    <row r="267" spans="1:28" x14ac:dyDescent="0.25">
      <c r="A267" t="str">
        <f>IF(MemberOrgControl!$C270 = "", "", INDEX(MemberOrgsData[CFDA], MemberOrgControl!$C270))</f>
        <v/>
      </c>
      <c r="C267" s="6" t="str">
        <f>IFERROR(INDEX(AllFilteredCFDAs[All CFDAs], MATCH(0, INDEX(COUNTIF($C$3:C266, AllFilteredCFDAs[All CFDAs]),),0)), "")</f>
        <v/>
      </c>
      <c r="D267" s="6" t="str">
        <f t="array" ref="D267">IFERROR(INDEX(MemberOrgsData[FEDERALPROGRAMNAME], MATCH(1, (SelectMemberOrgs = MemberOrgsData[Auditee Name])*(Table11[[#This Row],[Unique CFDA]] = MemberOrgsData[CFDA]), 0)), "")</f>
        <v/>
      </c>
      <c r="E267" s="25" t="str">
        <f t="array" ref="E267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67" s="26" t="str">
        <f t="array" ref="F267">IFERROR(INDEX(BudgetAppropData[President % Change], MATCH(1, (Table11[[#This Row],[Unique CFDA]] = BudgetAppropData[CFDA])*(SelectBudgetYear = BudgetAppropData[Fiscal Year]), 0)), "")</f>
        <v/>
      </c>
      <c r="G267" s="25" t="str">
        <f>IF(Table11[[#This Row],[Unique CFDA]] = "", "", IFERROR(Table11[[#This Row],[FY 2018 Total]]*Table11[[#This Row],[President % Change]], ""))</f>
        <v/>
      </c>
      <c r="H267" s="26" t="str">
        <f t="array" ref="H267">IFERROR(INDEX(BudgetAppropData[House % Change], MATCH(1, (Table11[[#This Row],[Unique CFDA]] = BudgetAppropData[CFDA])*(SelectBudgetYear = BudgetAppropData[Fiscal Year]),0)), "")</f>
        <v/>
      </c>
      <c r="I267" s="25" t="str">
        <f>IF(Table11[[#This Row],[Unique CFDA]] = "", "", IFERROR(Table11[[#This Row],[FY 2018 Total]]*Table11[[#This Row],[House % Change]], ""))</f>
        <v/>
      </c>
      <c r="J267" s="6"/>
      <c r="K267" s="25" t="str">
        <f>IF(Table11[[#This Row],[Unique CFDA]] = "", "", IFERROR(Table11[[#This Row],[FY 2018 Total]]*Table11[[#This Row],[Senate Budget]], ""))</f>
        <v/>
      </c>
      <c r="L267" s="6" t="str">
        <f>IF(Table11[[#This Row],[Unique CFDA]] = "", "", IF(ISNUMBER(Table11[[#This Row],[President $ Change]]), RANK(Table11[[#This Row],[President $ Change]], Table11[President $ Change])+COUNTIF($G267:G267, G267)-1,0))</f>
        <v/>
      </c>
      <c r="N267">
        <v>264</v>
      </c>
      <c r="O267" t="str">
        <f>IFERROR(INDEX(Table11[Unique CFDA], MATCH(N267, Table11[Pres. Sort], 0)), "")</f>
        <v/>
      </c>
      <c r="P267" s="1" t="str">
        <f>IFERROR(INDEX(Table11[Grant Name], MATCH(MemberOrgFinalSort[[#This Row],[CFDA]], Table11[Unique CFDA], 0)), "")</f>
        <v/>
      </c>
      <c r="Q267" s="20" t="str">
        <f>IFERROR(INDEX(Table11[FY 2018 Total], MATCH(MemberOrgFinalSort[[#This Row],[CFDA]], Table11[Unique CFDA], 0)), "")</f>
        <v/>
      </c>
      <c r="R267" s="21" t="str">
        <f>IFERROR(INDEX(Table11[President % Change], MATCH(MemberOrgFinalSort[[#This Row],[CFDA]], Table11[Unique CFDA], 0)), "")</f>
        <v/>
      </c>
      <c r="S267" s="20" t="str">
        <f>IFERROR(INDEX(Table11[President $ Change], MATCH(MemberOrgFinalSort[[#This Row],[CFDA]], Table11[Unique CFDA], 0)), "")</f>
        <v/>
      </c>
      <c r="T267" s="32" t="str">
        <f>IFERROR(INDEX(Table11[House % Change], MATCH(MemberOrgFinalSort[[#This Row],[CFDA]], Table11[Unique CFDA], 0)), "")</f>
        <v/>
      </c>
      <c r="U267" s="32" t="str">
        <f>IFERROR(INDEX(Table11[House $ Change], MATCH(MemberOrgFinalSort[[#This Row],[CFDA]], Table11[Unique CFDA], 0)), "")</f>
        <v/>
      </c>
      <c r="V267" s="20"/>
      <c r="X267" s="6"/>
      <c r="Y267" s="6"/>
      <c r="Z267" s="6"/>
      <c r="AA267" s="6"/>
      <c r="AB267" s="6"/>
    </row>
    <row r="268" spans="1:28" x14ac:dyDescent="0.25">
      <c r="A268" t="str">
        <f>IF(MemberOrgControl!$C271 = "", "", INDEX(MemberOrgsData[CFDA], MemberOrgControl!$C271))</f>
        <v/>
      </c>
      <c r="C268" s="6" t="str">
        <f>IFERROR(INDEX(AllFilteredCFDAs[All CFDAs], MATCH(0, INDEX(COUNTIF($C$3:C267, AllFilteredCFDAs[All CFDAs]),),0)), "")</f>
        <v/>
      </c>
      <c r="D268" s="6" t="str">
        <f t="array" ref="D268">IFERROR(INDEX(MemberOrgsData[FEDERALPROGRAMNAME], MATCH(1, (SelectMemberOrgs = MemberOrgsData[Auditee Name])*(Table11[[#This Row],[Unique CFDA]] = MemberOrgsData[CFDA]), 0)), "")</f>
        <v/>
      </c>
      <c r="E268" s="25" t="str">
        <f t="array" ref="E268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68" s="26" t="str">
        <f t="array" ref="F268">IFERROR(INDEX(BudgetAppropData[President % Change], MATCH(1, (Table11[[#This Row],[Unique CFDA]] = BudgetAppropData[CFDA])*(SelectBudgetYear = BudgetAppropData[Fiscal Year]), 0)), "")</f>
        <v/>
      </c>
      <c r="G268" s="25" t="str">
        <f>IF(Table11[[#This Row],[Unique CFDA]] = "", "", IFERROR(Table11[[#This Row],[FY 2018 Total]]*Table11[[#This Row],[President % Change]], ""))</f>
        <v/>
      </c>
      <c r="H268" s="26" t="str">
        <f t="array" ref="H268">IFERROR(INDEX(BudgetAppropData[House % Change], MATCH(1, (Table11[[#This Row],[Unique CFDA]] = BudgetAppropData[CFDA])*(SelectBudgetYear = BudgetAppropData[Fiscal Year]),0)), "")</f>
        <v/>
      </c>
      <c r="I268" s="25" t="str">
        <f>IF(Table11[[#This Row],[Unique CFDA]] = "", "", IFERROR(Table11[[#This Row],[FY 2018 Total]]*Table11[[#This Row],[House % Change]], ""))</f>
        <v/>
      </c>
      <c r="J268" s="6"/>
      <c r="K268" s="25" t="str">
        <f>IF(Table11[[#This Row],[Unique CFDA]] = "", "", IFERROR(Table11[[#This Row],[FY 2018 Total]]*Table11[[#This Row],[Senate Budget]], ""))</f>
        <v/>
      </c>
      <c r="L268" s="6" t="str">
        <f>IF(Table11[[#This Row],[Unique CFDA]] = "", "", IF(ISNUMBER(Table11[[#This Row],[President $ Change]]), RANK(Table11[[#This Row],[President $ Change]], Table11[President $ Change])+COUNTIF($G268:G268, G268)-1,0))</f>
        <v/>
      </c>
      <c r="N268">
        <v>265</v>
      </c>
      <c r="O268" t="str">
        <f>IFERROR(INDEX(Table11[Unique CFDA], MATCH(N268, Table11[Pres. Sort], 0)), "")</f>
        <v/>
      </c>
      <c r="P268" s="1" t="str">
        <f>IFERROR(INDEX(Table11[Grant Name], MATCH(MemberOrgFinalSort[[#This Row],[CFDA]], Table11[Unique CFDA], 0)), "")</f>
        <v/>
      </c>
      <c r="Q268" s="20" t="str">
        <f>IFERROR(INDEX(Table11[FY 2018 Total], MATCH(MemberOrgFinalSort[[#This Row],[CFDA]], Table11[Unique CFDA], 0)), "")</f>
        <v/>
      </c>
      <c r="R268" s="21" t="str">
        <f>IFERROR(INDEX(Table11[President % Change], MATCH(MemberOrgFinalSort[[#This Row],[CFDA]], Table11[Unique CFDA], 0)), "")</f>
        <v/>
      </c>
      <c r="S268" s="20" t="str">
        <f>IFERROR(INDEX(Table11[President $ Change], MATCH(MemberOrgFinalSort[[#This Row],[CFDA]], Table11[Unique CFDA], 0)), "")</f>
        <v/>
      </c>
      <c r="T268" s="32" t="str">
        <f>IFERROR(INDEX(Table11[House % Change], MATCH(MemberOrgFinalSort[[#This Row],[CFDA]], Table11[Unique CFDA], 0)), "")</f>
        <v/>
      </c>
      <c r="U268" s="32" t="str">
        <f>IFERROR(INDEX(Table11[House $ Change], MATCH(MemberOrgFinalSort[[#This Row],[CFDA]], Table11[Unique CFDA], 0)), "")</f>
        <v/>
      </c>
      <c r="V268" s="20"/>
      <c r="X268" s="6"/>
      <c r="Y268" s="6"/>
      <c r="Z268" s="6"/>
      <c r="AA268" s="6"/>
      <c r="AB268" s="6"/>
    </row>
    <row r="269" spans="1:28" x14ac:dyDescent="0.25">
      <c r="A269" t="str">
        <f>IF(MemberOrgControl!$C272 = "", "", INDEX(MemberOrgsData[CFDA], MemberOrgControl!$C272))</f>
        <v/>
      </c>
      <c r="C269" s="6" t="str">
        <f>IFERROR(INDEX(AllFilteredCFDAs[All CFDAs], MATCH(0, INDEX(COUNTIF($C$3:C268, AllFilteredCFDAs[All CFDAs]),),0)), "")</f>
        <v/>
      </c>
      <c r="D269" s="6" t="str">
        <f t="array" ref="D269">IFERROR(INDEX(MemberOrgsData[FEDERALPROGRAMNAME], MATCH(1, (SelectMemberOrgs = MemberOrgsData[Auditee Name])*(Table11[[#This Row],[Unique CFDA]] = MemberOrgsData[CFDA]), 0)), "")</f>
        <v/>
      </c>
      <c r="E269" s="25" t="str">
        <f t="array" ref="E269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69" s="26" t="str">
        <f t="array" ref="F269">IFERROR(INDEX(BudgetAppropData[President % Change], MATCH(1, (Table11[[#This Row],[Unique CFDA]] = BudgetAppropData[CFDA])*(SelectBudgetYear = BudgetAppropData[Fiscal Year]), 0)), "")</f>
        <v/>
      </c>
      <c r="G269" s="25" t="str">
        <f>IF(Table11[[#This Row],[Unique CFDA]] = "", "", IFERROR(Table11[[#This Row],[FY 2018 Total]]*Table11[[#This Row],[President % Change]], ""))</f>
        <v/>
      </c>
      <c r="H269" s="26" t="str">
        <f t="array" ref="H269">IFERROR(INDEX(BudgetAppropData[House % Change], MATCH(1, (Table11[[#This Row],[Unique CFDA]] = BudgetAppropData[CFDA])*(SelectBudgetYear = BudgetAppropData[Fiscal Year]),0)), "")</f>
        <v/>
      </c>
      <c r="I269" s="25" t="str">
        <f>IF(Table11[[#This Row],[Unique CFDA]] = "", "", IFERROR(Table11[[#This Row],[FY 2018 Total]]*Table11[[#This Row],[House % Change]], ""))</f>
        <v/>
      </c>
      <c r="J269" s="6"/>
      <c r="K269" s="25" t="str">
        <f>IF(Table11[[#This Row],[Unique CFDA]] = "", "", IFERROR(Table11[[#This Row],[FY 2018 Total]]*Table11[[#This Row],[Senate Budget]], ""))</f>
        <v/>
      </c>
      <c r="L269" s="6" t="str">
        <f>IF(Table11[[#This Row],[Unique CFDA]] = "", "", IF(ISNUMBER(Table11[[#This Row],[President $ Change]]), RANK(Table11[[#This Row],[President $ Change]], Table11[President $ Change])+COUNTIF($G269:G269, G269)-1,0))</f>
        <v/>
      </c>
      <c r="N269">
        <v>266</v>
      </c>
      <c r="O269" t="str">
        <f>IFERROR(INDEX(Table11[Unique CFDA], MATCH(N269, Table11[Pres. Sort], 0)), "")</f>
        <v/>
      </c>
      <c r="P269" s="1" t="str">
        <f>IFERROR(INDEX(Table11[Grant Name], MATCH(MemberOrgFinalSort[[#This Row],[CFDA]], Table11[Unique CFDA], 0)), "")</f>
        <v/>
      </c>
      <c r="Q269" s="20" t="str">
        <f>IFERROR(INDEX(Table11[FY 2018 Total], MATCH(MemberOrgFinalSort[[#This Row],[CFDA]], Table11[Unique CFDA], 0)), "")</f>
        <v/>
      </c>
      <c r="R269" s="21" t="str">
        <f>IFERROR(INDEX(Table11[President % Change], MATCH(MemberOrgFinalSort[[#This Row],[CFDA]], Table11[Unique CFDA], 0)), "")</f>
        <v/>
      </c>
      <c r="S269" s="20" t="str">
        <f>IFERROR(INDEX(Table11[President $ Change], MATCH(MemberOrgFinalSort[[#This Row],[CFDA]], Table11[Unique CFDA], 0)), "")</f>
        <v/>
      </c>
      <c r="T269" s="32" t="str">
        <f>IFERROR(INDEX(Table11[House % Change], MATCH(MemberOrgFinalSort[[#This Row],[CFDA]], Table11[Unique CFDA], 0)), "")</f>
        <v/>
      </c>
      <c r="U269" s="32" t="str">
        <f>IFERROR(INDEX(Table11[House $ Change], MATCH(MemberOrgFinalSort[[#This Row],[CFDA]], Table11[Unique CFDA], 0)), "")</f>
        <v/>
      </c>
      <c r="V269" s="20"/>
      <c r="X269" s="6"/>
      <c r="Y269" s="6"/>
      <c r="Z269" s="6"/>
      <c r="AA269" s="6"/>
      <c r="AB269" s="6"/>
    </row>
    <row r="270" spans="1:28" x14ac:dyDescent="0.25">
      <c r="A270" t="str">
        <f>IF(MemberOrgControl!$C273 = "", "", INDEX(MemberOrgsData[CFDA], MemberOrgControl!$C273))</f>
        <v/>
      </c>
      <c r="C270" s="6" t="str">
        <f>IFERROR(INDEX(AllFilteredCFDAs[All CFDAs], MATCH(0, INDEX(COUNTIF($C$3:C269, AllFilteredCFDAs[All CFDAs]),),0)), "")</f>
        <v/>
      </c>
      <c r="D270" s="6" t="str">
        <f t="array" ref="D270">IFERROR(INDEX(MemberOrgsData[FEDERALPROGRAMNAME], MATCH(1, (SelectMemberOrgs = MemberOrgsData[Auditee Name])*(Table11[[#This Row],[Unique CFDA]] = MemberOrgsData[CFDA]), 0)), "")</f>
        <v/>
      </c>
      <c r="E270" s="25" t="str">
        <f t="array" ref="E270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70" s="26" t="str">
        <f t="array" ref="F270">IFERROR(INDEX(BudgetAppropData[President % Change], MATCH(1, (Table11[[#This Row],[Unique CFDA]] = BudgetAppropData[CFDA])*(SelectBudgetYear = BudgetAppropData[Fiscal Year]), 0)), "")</f>
        <v/>
      </c>
      <c r="G270" s="25" t="str">
        <f>IF(Table11[[#This Row],[Unique CFDA]] = "", "", IFERROR(Table11[[#This Row],[FY 2018 Total]]*Table11[[#This Row],[President % Change]], ""))</f>
        <v/>
      </c>
      <c r="H270" s="26" t="str">
        <f t="array" ref="H270">IFERROR(INDEX(BudgetAppropData[House % Change], MATCH(1, (Table11[[#This Row],[Unique CFDA]] = BudgetAppropData[CFDA])*(SelectBudgetYear = BudgetAppropData[Fiscal Year]),0)), "")</f>
        <v/>
      </c>
      <c r="I270" s="25" t="str">
        <f>IF(Table11[[#This Row],[Unique CFDA]] = "", "", IFERROR(Table11[[#This Row],[FY 2018 Total]]*Table11[[#This Row],[House % Change]], ""))</f>
        <v/>
      </c>
      <c r="J270" s="6"/>
      <c r="K270" s="25" t="str">
        <f>IF(Table11[[#This Row],[Unique CFDA]] = "", "", IFERROR(Table11[[#This Row],[FY 2018 Total]]*Table11[[#This Row],[Senate Budget]], ""))</f>
        <v/>
      </c>
      <c r="L270" s="6" t="str">
        <f>IF(Table11[[#This Row],[Unique CFDA]] = "", "", IF(ISNUMBER(Table11[[#This Row],[President $ Change]]), RANK(Table11[[#This Row],[President $ Change]], Table11[President $ Change])+COUNTIF($G270:G270, G270)-1,0))</f>
        <v/>
      </c>
      <c r="N270">
        <v>267</v>
      </c>
      <c r="O270" t="str">
        <f>IFERROR(INDEX(Table11[Unique CFDA], MATCH(N270, Table11[Pres. Sort], 0)), "")</f>
        <v/>
      </c>
      <c r="P270" s="1" t="str">
        <f>IFERROR(INDEX(Table11[Grant Name], MATCH(MemberOrgFinalSort[[#This Row],[CFDA]], Table11[Unique CFDA], 0)), "")</f>
        <v/>
      </c>
      <c r="Q270" s="20" t="str">
        <f>IFERROR(INDEX(Table11[FY 2018 Total], MATCH(MemberOrgFinalSort[[#This Row],[CFDA]], Table11[Unique CFDA], 0)), "")</f>
        <v/>
      </c>
      <c r="R270" s="21" t="str">
        <f>IFERROR(INDEX(Table11[President % Change], MATCH(MemberOrgFinalSort[[#This Row],[CFDA]], Table11[Unique CFDA], 0)), "")</f>
        <v/>
      </c>
      <c r="S270" s="20" t="str">
        <f>IFERROR(INDEX(Table11[President $ Change], MATCH(MemberOrgFinalSort[[#This Row],[CFDA]], Table11[Unique CFDA], 0)), "")</f>
        <v/>
      </c>
      <c r="T270" s="32" t="str">
        <f>IFERROR(INDEX(Table11[House % Change], MATCH(MemberOrgFinalSort[[#This Row],[CFDA]], Table11[Unique CFDA], 0)), "")</f>
        <v/>
      </c>
      <c r="U270" s="32" t="str">
        <f>IFERROR(INDEX(Table11[House $ Change], MATCH(MemberOrgFinalSort[[#This Row],[CFDA]], Table11[Unique CFDA], 0)), "")</f>
        <v/>
      </c>
      <c r="V270" s="20"/>
      <c r="X270" s="6"/>
      <c r="Y270" s="6"/>
      <c r="Z270" s="6"/>
      <c r="AA270" s="6"/>
      <c r="AB270" s="6"/>
    </row>
    <row r="271" spans="1:28" x14ac:dyDescent="0.25">
      <c r="A271" t="str">
        <f>IF(MemberOrgControl!$C274 = "", "", INDEX(MemberOrgsData[CFDA], MemberOrgControl!$C274))</f>
        <v/>
      </c>
      <c r="C271" s="6" t="str">
        <f>IFERROR(INDEX(AllFilteredCFDAs[All CFDAs], MATCH(0, INDEX(COUNTIF($C$3:C270, AllFilteredCFDAs[All CFDAs]),),0)), "")</f>
        <v/>
      </c>
      <c r="D271" s="6" t="str">
        <f t="array" ref="D271">IFERROR(INDEX(MemberOrgsData[FEDERALPROGRAMNAME], MATCH(1, (SelectMemberOrgs = MemberOrgsData[Auditee Name])*(Table11[[#This Row],[Unique CFDA]] = MemberOrgsData[CFDA]), 0)), "")</f>
        <v/>
      </c>
      <c r="E271" s="25" t="str">
        <f t="array" ref="E271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71" s="26" t="str">
        <f t="array" ref="F271">IFERROR(INDEX(BudgetAppropData[President % Change], MATCH(1, (Table11[[#This Row],[Unique CFDA]] = BudgetAppropData[CFDA])*(SelectBudgetYear = BudgetAppropData[Fiscal Year]), 0)), "")</f>
        <v/>
      </c>
      <c r="G271" s="25" t="str">
        <f>IF(Table11[[#This Row],[Unique CFDA]] = "", "", IFERROR(Table11[[#This Row],[FY 2018 Total]]*Table11[[#This Row],[President % Change]], ""))</f>
        <v/>
      </c>
      <c r="H271" s="26" t="str">
        <f t="array" ref="H271">IFERROR(INDEX(BudgetAppropData[House % Change], MATCH(1, (Table11[[#This Row],[Unique CFDA]] = BudgetAppropData[CFDA])*(SelectBudgetYear = BudgetAppropData[Fiscal Year]),0)), "")</f>
        <v/>
      </c>
      <c r="I271" s="25" t="str">
        <f>IF(Table11[[#This Row],[Unique CFDA]] = "", "", IFERROR(Table11[[#This Row],[FY 2018 Total]]*Table11[[#This Row],[House % Change]], ""))</f>
        <v/>
      </c>
      <c r="J271" s="6"/>
      <c r="K271" s="25" t="str">
        <f>IF(Table11[[#This Row],[Unique CFDA]] = "", "", IFERROR(Table11[[#This Row],[FY 2018 Total]]*Table11[[#This Row],[Senate Budget]], ""))</f>
        <v/>
      </c>
      <c r="L271" s="6" t="str">
        <f>IF(Table11[[#This Row],[Unique CFDA]] = "", "", IF(ISNUMBER(Table11[[#This Row],[President $ Change]]), RANK(Table11[[#This Row],[President $ Change]], Table11[President $ Change])+COUNTIF($G271:G271, G271)-1,0))</f>
        <v/>
      </c>
      <c r="N271">
        <v>268</v>
      </c>
      <c r="O271" t="str">
        <f>IFERROR(INDEX(Table11[Unique CFDA], MATCH(N271, Table11[Pres. Sort], 0)), "")</f>
        <v/>
      </c>
      <c r="P271" s="1" t="str">
        <f>IFERROR(INDEX(Table11[Grant Name], MATCH(MemberOrgFinalSort[[#This Row],[CFDA]], Table11[Unique CFDA], 0)), "")</f>
        <v/>
      </c>
      <c r="Q271" s="20" t="str">
        <f>IFERROR(INDEX(Table11[FY 2018 Total], MATCH(MemberOrgFinalSort[[#This Row],[CFDA]], Table11[Unique CFDA], 0)), "")</f>
        <v/>
      </c>
      <c r="R271" s="21" t="str">
        <f>IFERROR(INDEX(Table11[President % Change], MATCH(MemberOrgFinalSort[[#This Row],[CFDA]], Table11[Unique CFDA], 0)), "")</f>
        <v/>
      </c>
      <c r="S271" s="20" t="str">
        <f>IFERROR(INDEX(Table11[President $ Change], MATCH(MemberOrgFinalSort[[#This Row],[CFDA]], Table11[Unique CFDA], 0)), "")</f>
        <v/>
      </c>
      <c r="T271" s="32" t="str">
        <f>IFERROR(INDEX(Table11[House % Change], MATCH(MemberOrgFinalSort[[#This Row],[CFDA]], Table11[Unique CFDA], 0)), "")</f>
        <v/>
      </c>
      <c r="U271" s="32" t="str">
        <f>IFERROR(INDEX(Table11[House $ Change], MATCH(MemberOrgFinalSort[[#This Row],[CFDA]], Table11[Unique CFDA], 0)), "")</f>
        <v/>
      </c>
      <c r="V271" s="20"/>
      <c r="X271" s="6"/>
      <c r="Y271" s="6"/>
      <c r="Z271" s="6"/>
      <c r="AA271" s="6"/>
      <c r="AB271" s="6"/>
    </row>
    <row r="272" spans="1:28" x14ac:dyDescent="0.25">
      <c r="A272" t="str">
        <f>IF(MemberOrgControl!$C275 = "", "", INDEX(MemberOrgsData[CFDA], MemberOrgControl!$C275))</f>
        <v/>
      </c>
      <c r="C272" s="6" t="str">
        <f>IFERROR(INDEX(AllFilteredCFDAs[All CFDAs], MATCH(0, INDEX(COUNTIF($C$3:C271, AllFilteredCFDAs[All CFDAs]),),0)), "")</f>
        <v/>
      </c>
      <c r="D272" s="6" t="str">
        <f t="array" ref="D272">IFERROR(INDEX(MemberOrgsData[FEDERALPROGRAMNAME], MATCH(1, (SelectMemberOrgs = MemberOrgsData[Auditee Name])*(Table11[[#This Row],[Unique CFDA]] = MemberOrgsData[CFDA]), 0)), "")</f>
        <v/>
      </c>
      <c r="E272" s="25" t="str">
        <f t="array" ref="E272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72" s="26" t="str">
        <f t="array" ref="F272">IFERROR(INDEX(BudgetAppropData[President % Change], MATCH(1, (Table11[[#This Row],[Unique CFDA]] = BudgetAppropData[CFDA])*(SelectBudgetYear = BudgetAppropData[Fiscal Year]), 0)), "")</f>
        <v/>
      </c>
      <c r="G272" s="25" t="str">
        <f>IF(Table11[[#This Row],[Unique CFDA]] = "", "", IFERROR(Table11[[#This Row],[FY 2018 Total]]*Table11[[#This Row],[President % Change]], ""))</f>
        <v/>
      </c>
      <c r="H272" s="26" t="str">
        <f t="array" ref="H272">IFERROR(INDEX(BudgetAppropData[House % Change], MATCH(1, (Table11[[#This Row],[Unique CFDA]] = BudgetAppropData[CFDA])*(SelectBudgetYear = BudgetAppropData[Fiscal Year]),0)), "")</f>
        <v/>
      </c>
      <c r="I272" s="25" t="str">
        <f>IF(Table11[[#This Row],[Unique CFDA]] = "", "", IFERROR(Table11[[#This Row],[FY 2018 Total]]*Table11[[#This Row],[House % Change]], ""))</f>
        <v/>
      </c>
      <c r="J272" s="6"/>
      <c r="K272" s="25" t="str">
        <f>IF(Table11[[#This Row],[Unique CFDA]] = "", "", IFERROR(Table11[[#This Row],[FY 2018 Total]]*Table11[[#This Row],[Senate Budget]], ""))</f>
        <v/>
      </c>
      <c r="L272" s="6" t="str">
        <f>IF(Table11[[#This Row],[Unique CFDA]] = "", "", IF(ISNUMBER(Table11[[#This Row],[President $ Change]]), RANK(Table11[[#This Row],[President $ Change]], Table11[President $ Change])+COUNTIF($G272:G272, G272)-1,0))</f>
        <v/>
      </c>
      <c r="N272">
        <v>269</v>
      </c>
      <c r="O272" t="str">
        <f>IFERROR(INDEX(Table11[Unique CFDA], MATCH(N272, Table11[Pres. Sort], 0)), "")</f>
        <v/>
      </c>
      <c r="P272" s="1" t="str">
        <f>IFERROR(INDEX(Table11[Grant Name], MATCH(MemberOrgFinalSort[[#This Row],[CFDA]], Table11[Unique CFDA], 0)), "")</f>
        <v/>
      </c>
      <c r="Q272" s="20" t="str">
        <f>IFERROR(INDEX(Table11[FY 2018 Total], MATCH(MemberOrgFinalSort[[#This Row],[CFDA]], Table11[Unique CFDA], 0)), "")</f>
        <v/>
      </c>
      <c r="R272" s="21" t="str">
        <f>IFERROR(INDEX(Table11[President % Change], MATCH(MemberOrgFinalSort[[#This Row],[CFDA]], Table11[Unique CFDA], 0)), "")</f>
        <v/>
      </c>
      <c r="S272" s="20" t="str">
        <f>IFERROR(INDEX(Table11[President $ Change], MATCH(MemberOrgFinalSort[[#This Row],[CFDA]], Table11[Unique CFDA], 0)), "")</f>
        <v/>
      </c>
      <c r="T272" s="32" t="str">
        <f>IFERROR(INDEX(Table11[House % Change], MATCH(MemberOrgFinalSort[[#This Row],[CFDA]], Table11[Unique CFDA], 0)), "")</f>
        <v/>
      </c>
      <c r="U272" s="32" t="str">
        <f>IFERROR(INDEX(Table11[House $ Change], MATCH(MemberOrgFinalSort[[#This Row],[CFDA]], Table11[Unique CFDA], 0)), "")</f>
        <v/>
      </c>
      <c r="V272" s="20"/>
      <c r="X272" s="6"/>
      <c r="Y272" s="6"/>
      <c r="Z272" s="6"/>
      <c r="AA272" s="6"/>
      <c r="AB272" s="6"/>
    </row>
    <row r="273" spans="1:1" x14ac:dyDescent="0.25">
      <c r="A273" t="str">
        <f>IF(MemberOrgControl!$C276 = "", "", INDEX(MemberOrgsData[CFDA], MemberOrgControl!$C276))</f>
        <v/>
      </c>
    </row>
    <row r="274" spans="1:1" x14ac:dyDescent="0.25">
      <c r="A274" t="str">
        <f>IF(MemberOrgControl!$C277 = "", "", INDEX(MemberOrgsData[CFDA], MemberOrgControl!$C277))</f>
        <v/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48AE6-24BD-4A09-8806-47D008B87D57}">
  <sheetPr codeName="Sheet1">
    <tabColor theme="9" tint="-0.499984740745262"/>
  </sheetPr>
  <dimension ref="B1:I211"/>
  <sheetViews>
    <sheetView showGridLines="0" tabSelected="1" zoomScale="80" zoomScaleNormal="80" workbookViewId="0">
      <selection activeCell="C32" sqref="C32"/>
    </sheetView>
  </sheetViews>
  <sheetFormatPr defaultRowHeight="18" x14ac:dyDescent="0.35"/>
  <cols>
    <col min="1" max="1" width="9.140625" style="35"/>
    <col min="2" max="2" width="47.140625" style="35" bestFit="1" customWidth="1"/>
    <col min="3" max="3" width="59.85546875" style="35" customWidth="1"/>
    <col min="4" max="4" width="19.42578125" style="35" customWidth="1"/>
    <col min="5" max="5" width="34.85546875" style="35" customWidth="1"/>
    <col min="6" max="6" width="32.140625" style="35" customWidth="1"/>
    <col min="7" max="7" width="31.5703125" style="35" customWidth="1"/>
    <col min="8" max="8" width="47.5703125" style="35" bestFit="1" customWidth="1"/>
    <col min="9" max="9" width="17.42578125" style="35" bestFit="1" customWidth="1"/>
    <col min="10" max="16384" width="9.140625" style="35"/>
  </cols>
  <sheetData>
    <row r="1" spans="2:9" ht="18.75" thickBot="1" x14ac:dyDescent="0.4"/>
    <row r="2" spans="2:9" ht="42.75" customHeight="1" thickBot="1" x14ac:dyDescent="0.4">
      <c r="E2" s="74" t="s">
        <v>269</v>
      </c>
      <c r="F2" s="36"/>
      <c r="G2" s="74" t="s">
        <v>298</v>
      </c>
    </row>
    <row r="3" spans="2:9" x14ac:dyDescent="0.35">
      <c r="B3" s="48" t="s">
        <v>251</v>
      </c>
      <c r="C3" s="51">
        <v>2018</v>
      </c>
      <c r="E3" s="36"/>
      <c r="F3" s="36"/>
      <c r="G3" s="36"/>
    </row>
    <row r="4" spans="2:9" x14ac:dyDescent="0.35">
      <c r="B4" s="49" t="s">
        <v>256</v>
      </c>
      <c r="C4" s="52">
        <f>IF(SelectFiscalYear = 2018, 2020, 2021)</f>
        <v>2020</v>
      </c>
      <c r="E4" s="36"/>
      <c r="F4" s="36"/>
      <c r="G4" s="36"/>
    </row>
    <row r="5" spans="2:9" ht="18.75" thickBot="1" x14ac:dyDescent="0.4">
      <c r="B5" s="50" t="s">
        <v>151</v>
      </c>
      <c r="C5" s="53" t="s">
        <v>69</v>
      </c>
      <c r="E5" s="36"/>
      <c r="F5" s="36"/>
      <c r="G5" s="36"/>
    </row>
    <row r="6" spans="2:9" ht="6.75" customHeight="1" thickTop="1" x14ac:dyDescent="0.35">
      <c r="E6" s="36"/>
      <c r="F6" s="36"/>
    </row>
    <row r="7" spans="2:9" ht="25.5" customHeight="1" thickBot="1" x14ac:dyDescent="0.4">
      <c r="B7" s="77" t="s">
        <v>248</v>
      </c>
      <c r="C7" s="77"/>
      <c r="D7" s="77"/>
      <c r="E7" s="77"/>
      <c r="F7" s="77"/>
      <c r="H7" s="77" t="s">
        <v>262</v>
      </c>
      <c r="I7" s="77"/>
    </row>
    <row r="8" spans="2:9" x14ac:dyDescent="0.35">
      <c r="B8" s="37" t="s">
        <v>4</v>
      </c>
      <c r="C8" s="37" t="s">
        <v>226</v>
      </c>
      <c r="D8" s="37" t="s">
        <v>227</v>
      </c>
      <c r="E8" s="37" t="s">
        <v>242</v>
      </c>
      <c r="F8" s="37" t="s">
        <v>243</v>
      </c>
      <c r="H8" s="27" t="s">
        <v>263</v>
      </c>
      <c r="I8" s="27" t="s">
        <v>264</v>
      </c>
    </row>
    <row r="9" spans="2:9" x14ac:dyDescent="0.35">
      <c r="B9" s="38">
        <f>IFERROR(INDEX(MemberOrgs_SortedTable[Unique CFDA], MATCH(MemberOrgs_SortedTbl!P4, MemberOrgs_SortedTable[Final Pres. Sort], 0)), "")</f>
        <v>10.558</v>
      </c>
      <c r="C9" s="35" t="str">
        <f>IFERROR(INDEX(MemberOrgs_SortedTable[Grant Name], MATCH(B9, MemberOrgs_SortedTable[Unique CFDA], 0)), "")</f>
        <v>CHILD AND ADULT CARE FOOD PROGRAM</v>
      </c>
      <c r="D9" s="39">
        <f>IFERROR(INDEX(MemberOrgs_SortedTable[FY 2018 Total], MATCH(B9, MemberOrgs_SortedTable[Unique CFDA], 0)), "")</f>
        <v>813939</v>
      </c>
      <c r="E9" s="40">
        <f>IFERROR(INDEX(MemberOrgs_SortedTable[President % Change], MATCH(B9, MemberOrgs_SortedTable[Unique CFDA], 0)), "")</f>
        <v>6.0000000000000001E-3</v>
      </c>
      <c r="F9" s="39">
        <f>IFERROR(INDEX(MemberOrgs_SortedTable[President $ Change], MATCH(B9, MemberOrgs_SortedTable[Unique CFDA], 0)), "")</f>
        <v>4883.634</v>
      </c>
      <c r="H9" s="41" t="s">
        <v>265</v>
      </c>
      <c r="I9" s="42">
        <f>SUBTOTAL(9,ImpactTable[FY 2018 Total])</f>
        <v>8093670</v>
      </c>
    </row>
    <row r="10" spans="2:9" x14ac:dyDescent="0.35">
      <c r="B10" s="38">
        <f>IFERROR(INDEX(MemberOrgs_SortedTable[Unique CFDA], MATCH(MemberOrgs_SortedTbl!P5, MemberOrgs_SortedTable[Final Pres. Sort], 0)), "")</f>
        <v>93.6</v>
      </c>
      <c r="C10" s="35" t="str">
        <f>IFERROR(INDEX(MemberOrgs_SortedTable[Grant Name], MATCH(B10, MemberOrgs_SortedTable[Unique CFDA], 0)), "")</f>
        <v>HEAD START</v>
      </c>
      <c r="D10" s="39">
        <f>IFERROR(INDEX(MemberOrgs_SortedTable[FY 2018 Total], MATCH(B10, MemberOrgs_SortedTable[Unique CFDA], 0)), "")</f>
        <v>5043590</v>
      </c>
      <c r="E10" s="40">
        <f>IFERROR(INDEX(MemberOrgs_SortedTable[President % Change], MATCH(B10, MemberOrgs_SortedTable[Unique CFDA], 0)), "")</f>
        <v>0</v>
      </c>
      <c r="F10" s="39">
        <f>IFERROR(INDEX(MemberOrgs_SortedTable[President $ Change], MATCH(B10, MemberOrgs_SortedTable[Unique CFDA], 0)), "")</f>
        <v>0</v>
      </c>
      <c r="H10" s="43" t="s">
        <v>243</v>
      </c>
      <c r="I10" s="44">
        <f>SUBTOTAL(9, ImpactTable[President Budget $ Change])</f>
        <v>-620902.92542052979</v>
      </c>
    </row>
    <row r="11" spans="2:9" x14ac:dyDescent="0.35">
      <c r="B11" s="38">
        <f>IFERROR(INDEX(MemberOrgs_SortedTable[Unique CFDA], MATCH(MemberOrgs_SortedTbl!P6, MemberOrgs_SortedTable[Final Pres. Sort], 0)), "")</f>
        <v>93.052999999999997</v>
      </c>
      <c r="C11" s="35" t="str">
        <f>IFERROR(INDEX(MemberOrgs_SortedTable[Grant Name], MATCH(B11, MemberOrgs_SortedTable[Unique CFDA], 0)), "")</f>
        <v>NUTRITION SERVICES INCENTIVE PROGRAM</v>
      </c>
      <c r="D11" s="39">
        <f>IFERROR(INDEX(MemberOrgs_SortedTable[FY 2018 Total], MATCH(B11, MemberOrgs_SortedTable[Unique CFDA], 0)), "")</f>
        <v>27481</v>
      </c>
      <c r="E11" s="40">
        <f>IFERROR(INDEX(MemberOrgs_SortedTable[President % Change], MATCH(B11, MemberOrgs_SortedTable[Unique CFDA], 0)), "")</f>
        <v>-6.2473058493524672E-6</v>
      </c>
      <c r="F11" s="39">
        <f>IFERROR(INDEX(MemberOrgs_SortedTable[President $ Change], MATCH(B11, MemberOrgs_SortedTable[Unique CFDA], 0)), "")</f>
        <v>-0.17168221204605516</v>
      </c>
      <c r="H11" s="45" t="s">
        <v>242</v>
      </c>
      <c r="I11" s="46">
        <f>I10/I9</f>
        <v>-7.6714633215899566E-2</v>
      </c>
    </row>
    <row r="12" spans="2:9" x14ac:dyDescent="0.35">
      <c r="B12" s="38">
        <f>IFERROR(INDEX(MemberOrgs_SortedTable[Unique CFDA], MATCH(MemberOrgs_SortedTbl!P7, MemberOrgs_SortedTable[Final Pres. Sort], 0)), "")</f>
        <v>93.045000000000002</v>
      </c>
      <c r="C12" s="35" t="str">
        <f>IFERROR(INDEX(MemberOrgs_SortedTable[Grant Name], MATCH(B12, MemberOrgs_SortedTable[Unique CFDA], 0)), "")</f>
        <v>SPECIAL PROGRAMS FOR THE AGING_TITLE III, PART C_NUTRITION SERVICES</v>
      </c>
      <c r="D12" s="39">
        <f>IFERROR(INDEX(MemberOrgs_SortedTable[FY 2018 Total], MATCH(B12, MemberOrgs_SortedTable[Unique CFDA], 0)), "")</f>
        <v>38752</v>
      </c>
      <c r="E12" s="40">
        <f>IFERROR(INDEX(MemberOrgs_SortedTable[President % Change], MATCH(B12, MemberOrgs_SortedTable[Unique CFDA], 0)), "")</f>
        <v>-2.1999999999999999E-2</v>
      </c>
      <c r="F12" s="39">
        <f>IFERROR(INDEX(MemberOrgs_SortedTable[President $ Change], MATCH(B12, MemberOrgs_SortedTable[Unique CFDA], 0)), "")</f>
        <v>-852.54399999999998</v>
      </c>
    </row>
    <row r="13" spans="2:9" x14ac:dyDescent="0.35">
      <c r="B13" s="38">
        <f>IFERROR(INDEX(MemberOrgs_SortedTable[Unique CFDA], MATCH(MemberOrgs_SortedTbl!P8, MemberOrgs_SortedTable[Final Pres. Sort], 0)), "")</f>
        <v>93.558000000000007</v>
      </c>
      <c r="C13" s="35" t="str">
        <f>IFERROR(INDEX(MemberOrgs_SortedTable[Grant Name], MATCH(B13, MemberOrgs_SortedTable[Unique CFDA], 0)), "")</f>
        <v>TEMPORARY ASSISTANCE FOR NEEDY FAMILIES</v>
      </c>
      <c r="D13" s="39">
        <f>IFERROR(INDEX(MemberOrgs_SortedTable[FY 2018 Total], MATCH(B13, MemberOrgs_SortedTable[Unique CFDA], 0)), "")</f>
        <v>64769</v>
      </c>
      <c r="E13" s="40">
        <f>IFERROR(INDEX(MemberOrgs_SortedTable[President % Change], MATCH(B13, MemberOrgs_SortedTable[Unique CFDA], 0)), "")</f>
        <v>-0.16</v>
      </c>
      <c r="F13" s="39">
        <f>IFERROR(INDEX(MemberOrgs_SortedTable[President $ Change], MATCH(B13, MemberOrgs_SortedTable[Unique CFDA], 0)), "")</f>
        <v>-10363.040000000001</v>
      </c>
    </row>
    <row r="14" spans="2:9" x14ac:dyDescent="0.35">
      <c r="B14" s="38">
        <f>IFERROR(INDEX(MemberOrgs_SortedTable[Unique CFDA], MATCH(MemberOrgs_SortedTbl!P9, MemberOrgs_SortedTable[Final Pres. Sort], 0)), "")</f>
        <v>97.024000000000001</v>
      </c>
      <c r="C14" s="35" t="str">
        <f>IFERROR(INDEX(MemberOrgs_SortedTable[Grant Name], MATCH(B14, MemberOrgs_SortedTable[Unique CFDA], 0)), "")</f>
        <v>EMERGENCY FOOD AND SHELTER NATIONAL BOARD PROGRAM</v>
      </c>
      <c r="D14" s="39">
        <f>IFERROR(INDEX(MemberOrgs_SortedTable[FY 2018 Total], MATCH(B14, MemberOrgs_SortedTable[Unique CFDA], 0)), "")</f>
        <v>29394</v>
      </c>
      <c r="E14" s="40">
        <f>IFERROR(INDEX(MemberOrgs_SortedTable[President % Change], MATCH(B14, MemberOrgs_SortedTable[Unique CFDA], 0)), "")</f>
        <v>-1</v>
      </c>
      <c r="F14" s="39">
        <f>IFERROR(INDEX(MemberOrgs_SortedTable[President $ Change], MATCH(B14, MemberOrgs_SortedTable[Unique CFDA], 0)), "")</f>
        <v>-29394</v>
      </c>
    </row>
    <row r="15" spans="2:9" x14ac:dyDescent="0.35">
      <c r="B15" s="38">
        <f>IFERROR(INDEX(MemberOrgs_SortedTable[Unique CFDA], MATCH(MemberOrgs_SortedTbl!P10, MemberOrgs_SortedTable[Final Pres. Sort], 0)), "")</f>
        <v>93.667000000000002</v>
      </c>
      <c r="C15" s="35" t="str">
        <f>IFERROR(INDEX(MemberOrgs_SortedTable[Grant Name], MATCH(B15, MemberOrgs_SortedTable[Unique CFDA], 0)), "")</f>
        <v>SOCIAL SERVICES BLOCK GRANT</v>
      </c>
      <c r="D15" s="39">
        <f>IFERROR(INDEX(MemberOrgs_SortedTable[FY 2018 Total], MATCH(B15, MemberOrgs_SortedTable[Unique CFDA], 0)), "")</f>
        <v>64519</v>
      </c>
      <c r="E15" s="40">
        <f>IFERROR(INDEX(MemberOrgs_SortedTable[President % Change], MATCH(B15, MemberOrgs_SortedTable[Unique CFDA], 0)), "")</f>
        <v>-1</v>
      </c>
      <c r="F15" s="39">
        <f>IFERROR(INDEX(MemberOrgs_SortedTable[President $ Change], MATCH(B15, MemberOrgs_SortedTable[Unique CFDA], 0)), "")</f>
        <v>-64519</v>
      </c>
    </row>
    <row r="16" spans="2:9" x14ac:dyDescent="0.35">
      <c r="B16" s="38">
        <f>IFERROR(INDEX(MemberOrgs_SortedTable[Unique CFDA], MATCH(MemberOrgs_SortedTbl!P11, MemberOrgs_SortedTable[Final Pres. Sort], 0)), "")</f>
        <v>93.569000000000003</v>
      </c>
      <c r="C16" s="35" t="str">
        <f>IFERROR(INDEX(MemberOrgs_SortedTable[Grant Name], MATCH(B16, MemberOrgs_SortedTable[Unique CFDA], 0)), "")</f>
        <v>COMMUNITY SERVICES BLOCK GRANT</v>
      </c>
      <c r="D16" s="39">
        <f>IFERROR(INDEX(MemberOrgs_SortedTable[FY 2018 Total], MATCH(B16, MemberOrgs_SortedTable[Unique CFDA], 0)), "")</f>
        <v>130300</v>
      </c>
      <c r="E16" s="40">
        <f>IFERROR(INDEX(MemberOrgs_SortedTable[President % Change], MATCH(B16, MemberOrgs_SortedTable[Unique CFDA], 0)), "")</f>
        <v>-1</v>
      </c>
      <c r="F16" s="39">
        <f>IFERROR(INDEX(MemberOrgs_SortedTable[President $ Change], MATCH(B16, MemberOrgs_SortedTable[Unique CFDA], 0)), "")</f>
        <v>-130300</v>
      </c>
    </row>
    <row r="17" spans="2:6" x14ac:dyDescent="0.35">
      <c r="B17" s="38">
        <f>IFERROR(INDEX(MemberOrgs_SortedTable[Unique CFDA], MATCH(MemberOrgs_SortedTbl!P12, MemberOrgs_SortedTable[Final Pres. Sort], 0)), "")</f>
        <v>84.001999999999995</v>
      </c>
      <c r="C17" s="35" t="str">
        <f>IFERROR(INDEX(MemberOrgs_SortedTable[Grant Name], MATCH(B17, MemberOrgs_SortedTable[Unique CFDA], 0)), "")</f>
        <v>ADULT EDUCATION - BASIC GRANTS TO STATES</v>
      </c>
      <c r="D17" s="39">
        <f>IFERROR(INDEX(MemberOrgs_SortedTable[FY 2018 Total], MATCH(B17, MemberOrgs_SortedTable[Unique CFDA], 0)), "")</f>
        <v>549687</v>
      </c>
      <c r="E17" s="40">
        <f>IFERROR(INDEX(MemberOrgs_SortedTable[President % Change], MATCH(B17, MemberOrgs_SortedTable[Unique CFDA], 0)), "")</f>
        <v>-0.24299065420560748</v>
      </c>
      <c r="F17" s="39">
        <f>IFERROR(INDEX(MemberOrgs_SortedTable[President $ Change], MATCH(B17, MemberOrgs_SortedTable[Unique CFDA], 0)), "")</f>
        <v>-133568.80373831774</v>
      </c>
    </row>
    <row r="18" spans="2:6" x14ac:dyDescent="0.35">
      <c r="B18" s="38">
        <f>IFERROR(INDEX(MemberOrgs_SortedTable[Unique CFDA], MATCH(MemberOrgs_SortedTbl!P13, MemberOrgs_SortedTable[Final Pres. Sort], 0)), "")</f>
        <v>14.228</v>
      </c>
      <c r="C18" s="35" t="str">
        <f>IFERROR(INDEX(MemberOrgs_SortedTable[Grant Name], MATCH(B18, MemberOrgs_SortedTable[Unique CFDA], 0)), "")</f>
        <v>COMMUNITY DEVELOPMENT BLOCK GRANT</v>
      </c>
      <c r="D18" s="39">
        <f>IFERROR(INDEX(MemberOrgs_SortedTable[FY 2018 Total], MATCH(B18, MemberOrgs_SortedTable[Unique CFDA], 0)), "")</f>
        <v>256789</v>
      </c>
      <c r="E18" s="40">
        <f>IFERROR(INDEX(MemberOrgs_SortedTable[President % Change], MATCH(B18, MemberOrgs_SortedTable[Unique CFDA], 0)), "")</f>
        <v>-1</v>
      </c>
      <c r="F18" s="39">
        <f>IFERROR(INDEX(MemberOrgs_SortedTable[President $ Change], MATCH(B18, MemberOrgs_SortedTable[Unique CFDA], 0)), "")</f>
        <v>-256789</v>
      </c>
    </row>
    <row r="19" spans="2:6" x14ac:dyDescent="0.35">
      <c r="B19" s="38">
        <f>IFERROR(INDEX(MemberOrgs_SortedTable[Unique CFDA], MATCH(MemberOrgs_SortedTbl!P14, MemberOrgs_SortedTable[Final Pres. Sort], 0)), "")</f>
        <v>14.269</v>
      </c>
      <c r="C19" s="35" t="str">
        <f>IFERROR(INDEX(MemberOrgs_SortedTable[Grant Name], MATCH(B19, MemberOrgs_SortedTable[Unique CFDA], 0)), "")</f>
        <v>HURRICANE SANDY COMMUNITY DEVELOPMENT BLOCK GRANT DISASTER RECOVERY GRANTS (CDBG-DR)</v>
      </c>
      <c r="D19" s="39">
        <f>IFERROR(INDEX(MemberOrgs_SortedTable[FY 2018 Total], MATCH(B19, MemberOrgs_SortedTable[Unique CFDA], 0)), "")</f>
        <v>464484</v>
      </c>
      <c r="E19" s="40" t="str">
        <f>IFERROR(INDEX(MemberOrgs_SortedTable[President % Change], MATCH(B19, MemberOrgs_SortedTable[Unique CFDA], 0)), "")</f>
        <v>No Budget Data</v>
      </c>
      <c r="F19" s="39" t="str">
        <f>IFERROR(INDEX(MemberOrgs_SortedTable[President $ Change], MATCH(B19, MemberOrgs_SortedTable[Unique CFDA], 0)), "")</f>
        <v>No Budget Data</v>
      </c>
    </row>
    <row r="20" spans="2:6" x14ac:dyDescent="0.35">
      <c r="B20" s="38">
        <f>IFERROR(INDEX(MemberOrgs_SortedTable[Unique CFDA], MATCH(MemberOrgs_SortedTbl!P15, MemberOrgs_SortedTable[Final Pres. Sort], 0)), "")</f>
        <v>45.024000000000001</v>
      </c>
      <c r="C20" s="35" t="str">
        <f>IFERROR(INDEX(MemberOrgs_SortedTable[Grant Name], MATCH(B20, MemberOrgs_SortedTable[Unique CFDA], 0)), "")</f>
        <v>PROMOTION OF THE ARTS_GRANTS TO ORGANIZATIONS AND INDIVIDUALS</v>
      </c>
      <c r="D20" s="39">
        <f>IFERROR(INDEX(MemberOrgs_SortedTable[FY 2018 Total], MATCH(B20, MemberOrgs_SortedTable[Unique CFDA], 0)), "")</f>
        <v>15000</v>
      </c>
      <c r="E20" s="40" t="str">
        <f>IFERROR(INDEX(MemberOrgs_SortedTable[President % Change], MATCH(B20, MemberOrgs_SortedTable[Unique CFDA], 0)), "")</f>
        <v>No Budget Data</v>
      </c>
      <c r="F20" s="39" t="str">
        <f>IFERROR(INDEX(MemberOrgs_SortedTable[President $ Change], MATCH(B20, MemberOrgs_SortedTable[Unique CFDA], 0)), "")</f>
        <v>No Budget Data</v>
      </c>
    </row>
    <row r="21" spans="2:6" x14ac:dyDescent="0.35">
      <c r="B21" s="38">
        <f>IFERROR(INDEX(MemberOrgs_SortedTable[Unique CFDA], MATCH(MemberOrgs_SortedTbl!P16, MemberOrgs_SortedTable[Final Pres. Sort], 0)), "")</f>
        <v>84.043999999999997</v>
      </c>
      <c r="C21" s="35" t="str">
        <f>IFERROR(INDEX(MemberOrgs_SortedTable[Grant Name], MATCH(B21, MemberOrgs_SortedTable[Unique CFDA], 0)), "")</f>
        <v>TRIO_TALENT SEARCH</v>
      </c>
      <c r="D21" s="39">
        <f>IFERROR(INDEX(MemberOrgs_SortedTable[FY 2018 Total], MATCH(B21, MemberOrgs_SortedTable[Unique CFDA], 0)), "")</f>
        <v>570294</v>
      </c>
      <c r="E21" s="40" t="str">
        <f>IFERROR(INDEX(MemberOrgs_SortedTable[President % Change], MATCH(B21, MemberOrgs_SortedTable[Unique CFDA], 0)), "")</f>
        <v>No Budget Data</v>
      </c>
      <c r="F21" s="39" t="str">
        <f>IFERROR(INDEX(MemberOrgs_SortedTable[President $ Change], MATCH(B21, MemberOrgs_SortedTable[Unique CFDA], 0)), "")</f>
        <v>No Budget Data</v>
      </c>
    </row>
    <row r="22" spans="2:6" x14ac:dyDescent="0.35">
      <c r="B22" s="38">
        <f>IFERROR(INDEX(MemberOrgs_SortedTable[Unique CFDA], MATCH(MemberOrgs_SortedTbl!P17, MemberOrgs_SortedTable[Final Pres. Sort], 0)), "")</f>
        <v>94.019000000000005</v>
      </c>
      <c r="C22" s="35" t="str">
        <f>IFERROR(INDEX(MemberOrgs_SortedTable[Grant Name], MATCH(B22, MemberOrgs_SortedTable[Unique CFDA], 0)), "")</f>
        <v>SOCIAL INNOVATION FUND</v>
      </c>
      <c r="D22" s="39">
        <f>IFERROR(INDEX(MemberOrgs_SortedTable[FY 2018 Total], MATCH(B22, MemberOrgs_SortedTable[Unique CFDA], 0)), "")</f>
        <v>24672</v>
      </c>
      <c r="E22" s="40" t="str">
        <f>IFERROR(INDEX(MemberOrgs_SortedTable[President % Change], MATCH(B22, MemberOrgs_SortedTable[Unique CFDA], 0)), "")</f>
        <v>No Budget Data</v>
      </c>
      <c r="F22" s="39" t="str">
        <f>IFERROR(INDEX(MemberOrgs_SortedTable[President $ Change], MATCH(B22, MemberOrgs_SortedTable[Unique CFDA], 0)), "")</f>
        <v>No Budget Data</v>
      </c>
    </row>
    <row r="23" spans="2:6" x14ac:dyDescent="0.35">
      <c r="B23" s="47" t="str">
        <f>IFERROR(INDEX(MemberOrgs_SortedTable[Unique CFDA], MATCH(MemberOrgs_SortedTbl!P18, MemberOrgs_SortedTable[Final Pres. Sort], 0)), "")</f>
        <v/>
      </c>
      <c r="C23" s="35" t="str">
        <f>IFERROR(INDEX(MemberOrgs_SortedTable[Grant Name], MATCH(B23, MemberOrgs_SortedTable[Unique CFDA], 0)), "")</f>
        <v/>
      </c>
      <c r="D23" s="39" t="str">
        <f>IFERROR(INDEX(MemberOrgs_SortedTable[FY 2018 Total], MATCH(B23, MemberOrgs_SortedTable[Unique CFDA], 0)), "")</f>
        <v/>
      </c>
      <c r="E23" s="40" t="str">
        <f>IFERROR(INDEX(MemberOrgs_SortedTable[President % Change], MATCH(B23, MemberOrgs_SortedTable[Unique CFDA], 0)), "")</f>
        <v/>
      </c>
      <c r="F23" s="39" t="str">
        <f>IFERROR(INDEX(MemberOrgs_SortedTable[President $ Change], MATCH(B23, MemberOrgs_SortedTable[Unique CFDA], 0)), "")</f>
        <v/>
      </c>
    </row>
    <row r="24" spans="2:6" x14ac:dyDescent="0.35">
      <c r="B24" s="47" t="str">
        <f>IFERROR(INDEX(MemberOrgs_SortedTable[Unique CFDA], MATCH(MemberOrgs_SortedTbl!P19, MemberOrgs_SortedTable[Final Pres. Sort], 0)), "")</f>
        <v/>
      </c>
      <c r="C24" s="35" t="str">
        <f>IFERROR(INDEX(MemberOrgs_SortedTable[Grant Name], MATCH(B24, MemberOrgs_SortedTable[Unique CFDA], 0)), "")</f>
        <v/>
      </c>
      <c r="D24" s="39" t="str">
        <f>IFERROR(INDEX(MemberOrgs_SortedTable[FY 2018 Total], MATCH(B24, MemberOrgs_SortedTable[Unique CFDA], 0)), "")</f>
        <v/>
      </c>
      <c r="E24" s="40" t="str">
        <f>IFERROR(INDEX(MemberOrgs_SortedTable[President % Change], MATCH(B24, MemberOrgs_SortedTable[Unique CFDA], 0)), "")</f>
        <v/>
      </c>
      <c r="F24" s="39" t="str">
        <f>IFERROR(INDEX(MemberOrgs_SortedTable[President $ Change], MATCH(B24, MemberOrgs_SortedTable[Unique CFDA], 0)), "")</f>
        <v/>
      </c>
    </row>
    <row r="25" spans="2:6" x14ac:dyDescent="0.35">
      <c r="B25" s="47" t="str">
        <f>IFERROR(INDEX(MemberOrgs_SortedTable[Unique CFDA], MATCH(MemberOrgs_SortedTbl!P20, MemberOrgs_SortedTable[Final Pres. Sort], 0)), "")</f>
        <v/>
      </c>
      <c r="C25" s="35" t="str">
        <f>IFERROR(INDEX(MemberOrgs_SortedTable[Grant Name], MATCH(B25, MemberOrgs_SortedTable[Unique CFDA], 0)), "")</f>
        <v/>
      </c>
      <c r="D25" s="39" t="str">
        <f>IFERROR(INDEX(MemberOrgs_SortedTable[FY 2018 Total], MATCH(B25, MemberOrgs_SortedTable[Unique CFDA], 0)), "")</f>
        <v/>
      </c>
      <c r="E25" s="40" t="str">
        <f>IFERROR(INDEX(MemberOrgs_SortedTable[President % Change], MATCH(B25, MemberOrgs_SortedTable[Unique CFDA], 0)), "")</f>
        <v/>
      </c>
      <c r="F25" s="39" t="str">
        <f>IFERROR(INDEX(MemberOrgs_SortedTable[President $ Change], MATCH(B25, MemberOrgs_SortedTable[Unique CFDA], 0)), "")</f>
        <v/>
      </c>
    </row>
    <row r="26" spans="2:6" x14ac:dyDescent="0.35">
      <c r="B26" s="47" t="str">
        <f>IFERROR(INDEX(MemberOrgs_SortedTable[Unique CFDA], MATCH(MemberOrgs_SortedTbl!P21, MemberOrgs_SortedTable[Final Pres. Sort], 0)), "")</f>
        <v/>
      </c>
      <c r="C26" s="35" t="str">
        <f>IFERROR(INDEX(MemberOrgs_SortedTable[Grant Name], MATCH(B26, MemberOrgs_SortedTable[Unique CFDA], 0)), "")</f>
        <v/>
      </c>
      <c r="D26" s="39" t="str">
        <f>IFERROR(INDEX(MemberOrgs_SortedTable[FY 2018 Total], MATCH(B26, MemberOrgs_SortedTable[Unique CFDA], 0)), "")</f>
        <v/>
      </c>
      <c r="E26" s="40" t="str">
        <f>IFERROR(INDEX(MemberOrgs_SortedTable[President % Change], MATCH(B26, MemberOrgs_SortedTable[Unique CFDA], 0)), "")</f>
        <v/>
      </c>
      <c r="F26" s="39" t="str">
        <f>IFERROR(INDEX(MemberOrgs_SortedTable[President $ Change], MATCH(B26, MemberOrgs_SortedTable[Unique CFDA], 0)), "")</f>
        <v/>
      </c>
    </row>
    <row r="27" spans="2:6" x14ac:dyDescent="0.35">
      <c r="B27" s="47" t="str">
        <f>IFERROR(INDEX(MemberOrgs_SortedTable[Unique CFDA], MATCH(MemberOrgs_SortedTbl!P22, MemberOrgs_SortedTable[Final Pres. Sort], 0)), "")</f>
        <v/>
      </c>
      <c r="C27" s="35" t="str">
        <f>IFERROR(INDEX(MemberOrgs_SortedTable[Grant Name], MATCH(B27, MemberOrgs_SortedTable[Unique CFDA], 0)), "")</f>
        <v/>
      </c>
      <c r="D27" s="39" t="str">
        <f>IFERROR(INDEX(MemberOrgs_SortedTable[FY 2018 Total], MATCH(B27, MemberOrgs_SortedTable[Unique CFDA], 0)), "")</f>
        <v/>
      </c>
      <c r="E27" s="40" t="str">
        <f>IFERROR(INDEX(MemberOrgs_SortedTable[President % Change], MATCH(B27, MemberOrgs_SortedTable[Unique CFDA], 0)), "")</f>
        <v/>
      </c>
      <c r="F27" s="39" t="str">
        <f>IFERROR(INDEX(MemberOrgs_SortedTable[President $ Change], MATCH(B27, MemberOrgs_SortedTable[Unique CFDA], 0)), "")</f>
        <v/>
      </c>
    </row>
    <row r="28" spans="2:6" x14ac:dyDescent="0.35">
      <c r="B28" s="47" t="str">
        <f>IFERROR(INDEX(MemberOrgs_SortedTable[Unique CFDA], MATCH(MemberOrgs_SortedTbl!P23, MemberOrgs_SortedTable[Final Pres. Sort], 0)), "")</f>
        <v/>
      </c>
      <c r="C28" s="35" t="str">
        <f>IFERROR(INDEX(MemberOrgs_SortedTable[Grant Name], MATCH(B28, MemberOrgs_SortedTable[Unique CFDA], 0)), "")</f>
        <v/>
      </c>
      <c r="D28" s="39" t="str">
        <f>IFERROR(INDEX(MemberOrgs_SortedTable[FY 2018 Total], MATCH(B28, MemberOrgs_SortedTable[Unique CFDA], 0)), "")</f>
        <v/>
      </c>
      <c r="E28" s="40" t="str">
        <f>IFERROR(INDEX(MemberOrgs_SortedTable[President % Change], MATCH(B28, MemberOrgs_SortedTable[Unique CFDA], 0)), "")</f>
        <v/>
      </c>
      <c r="F28" s="39" t="str">
        <f>IFERROR(INDEX(MemberOrgs_SortedTable[President $ Change], MATCH(B28, MemberOrgs_SortedTable[Unique CFDA], 0)), "")</f>
        <v/>
      </c>
    </row>
    <row r="29" spans="2:6" x14ac:dyDescent="0.35">
      <c r="B29" s="47" t="str">
        <f>IFERROR(INDEX(MemberOrgs_SortedTable[Unique CFDA], MATCH(MemberOrgs_SortedTbl!P24, MemberOrgs_SortedTable[Final Pres. Sort], 0)), "")</f>
        <v/>
      </c>
      <c r="C29" s="35" t="str">
        <f>IFERROR(INDEX(MemberOrgs_SortedTable[Grant Name], MATCH(B29, MemberOrgs_SortedTable[Unique CFDA], 0)), "")</f>
        <v/>
      </c>
      <c r="D29" s="39" t="str">
        <f>IFERROR(INDEX(MemberOrgs_SortedTable[FY 2018 Total], MATCH(B29, MemberOrgs_SortedTable[Unique CFDA], 0)), "")</f>
        <v/>
      </c>
      <c r="E29" s="40" t="str">
        <f>IFERROR(INDEX(MemberOrgs_SortedTable[President % Change], MATCH(B29, MemberOrgs_SortedTable[Unique CFDA], 0)), "")</f>
        <v/>
      </c>
      <c r="F29" s="39" t="str">
        <f>IFERROR(INDEX(MemberOrgs_SortedTable[President $ Change], MATCH(B29, MemberOrgs_SortedTable[Unique CFDA], 0)), "")</f>
        <v/>
      </c>
    </row>
    <row r="30" spans="2:6" x14ac:dyDescent="0.35">
      <c r="B30" s="47" t="str">
        <f>IFERROR(INDEX(MemberOrgs_SortedTable[Unique CFDA], MATCH(MemberOrgs_SortedTbl!P25, MemberOrgs_SortedTable[Final Pres. Sort], 0)), "")</f>
        <v/>
      </c>
      <c r="C30" s="35" t="str">
        <f>IFERROR(INDEX(MemberOrgs_SortedTable[Grant Name], MATCH(B30, MemberOrgs_SortedTable[Unique CFDA], 0)), "")</f>
        <v/>
      </c>
      <c r="D30" s="39" t="str">
        <f>IFERROR(INDEX(MemberOrgs_SortedTable[FY 2018 Total], MATCH(B30, MemberOrgs_SortedTable[Unique CFDA], 0)), "")</f>
        <v/>
      </c>
      <c r="E30" s="40" t="str">
        <f>IFERROR(INDEX(MemberOrgs_SortedTable[President % Change], MATCH(B30, MemberOrgs_SortedTable[Unique CFDA], 0)), "")</f>
        <v/>
      </c>
      <c r="F30" s="39" t="str">
        <f>IFERROR(INDEX(MemberOrgs_SortedTable[President $ Change], MATCH(B30, MemberOrgs_SortedTable[Unique CFDA], 0)), "")</f>
        <v/>
      </c>
    </row>
    <row r="31" spans="2:6" x14ac:dyDescent="0.35">
      <c r="B31" s="47" t="str">
        <f>IFERROR(INDEX(MemberOrgs_SortedTable[Unique CFDA], MATCH(MemberOrgs_SortedTbl!P26, MemberOrgs_SortedTable[Final Pres. Sort], 0)), "")</f>
        <v/>
      </c>
      <c r="C31" s="35" t="str">
        <f>IFERROR(INDEX(MemberOrgs_SortedTable[Grant Name], MATCH(B31, MemberOrgs_SortedTable[Unique CFDA], 0)), "")</f>
        <v/>
      </c>
      <c r="D31" s="39" t="str">
        <f>IFERROR(INDEX(MemberOrgs_SortedTable[FY 2018 Total], MATCH(B31, MemberOrgs_SortedTable[Unique CFDA], 0)), "")</f>
        <v/>
      </c>
      <c r="E31" s="40" t="str">
        <f>IFERROR(INDEX(MemberOrgs_SortedTable[President % Change], MATCH(B31, MemberOrgs_SortedTable[Unique CFDA], 0)), "")</f>
        <v/>
      </c>
      <c r="F31" s="39" t="str">
        <f>IFERROR(INDEX(MemberOrgs_SortedTable[President $ Change], MATCH(B31, MemberOrgs_SortedTable[Unique CFDA], 0)), "")</f>
        <v/>
      </c>
    </row>
    <row r="32" spans="2:6" x14ac:dyDescent="0.35">
      <c r="B32" s="47" t="str">
        <f>IFERROR(INDEX(MemberOrgs_SortedTable[Unique CFDA], MATCH(MemberOrgs_SortedTbl!P27, MemberOrgs_SortedTable[Final Pres. Sort], 0)), "")</f>
        <v/>
      </c>
      <c r="C32" s="35" t="str">
        <f>IFERROR(INDEX(MemberOrgs_SortedTable[Grant Name], MATCH(B32, MemberOrgs_SortedTable[Unique CFDA], 0)), "")</f>
        <v/>
      </c>
      <c r="D32" s="39" t="str">
        <f>IFERROR(INDEX(MemberOrgs_SortedTable[FY 2018 Total], MATCH(B32, MemberOrgs_SortedTable[Unique CFDA], 0)), "")</f>
        <v/>
      </c>
      <c r="E32" s="40" t="str">
        <f>IFERROR(INDEX(MemberOrgs_SortedTable[President % Change], MATCH(B32, MemberOrgs_SortedTable[Unique CFDA], 0)), "")</f>
        <v/>
      </c>
      <c r="F32" s="39" t="str">
        <f>IFERROR(INDEX(MemberOrgs_SortedTable[President $ Change], MATCH(B32, MemberOrgs_SortedTable[Unique CFDA], 0)), "")</f>
        <v/>
      </c>
    </row>
    <row r="33" spans="2:6" x14ac:dyDescent="0.35">
      <c r="B33" s="47" t="str">
        <f>IFERROR(INDEX(MemberOrgs_SortedTable[Unique CFDA], MATCH(MemberOrgs_SortedTbl!P28, MemberOrgs_SortedTable[Final Pres. Sort], 0)), "")</f>
        <v/>
      </c>
      <c r="C33" s="35" t="str">
        <f>IFERROR(INDEX(MemberOrgs_SortedTable[Grant Name], MATCH(B33, MemberOrgs_SortedTable[Unique CFDA], 0)), "")</f>
        <v/>
      </c>
      <c r="D33" s="39" t="str">
        <f>IFERROR(INDEX(MemberOrgs_SortedTable[FY 2018 Total], MATCH(B33, MemberOrgs_SortedTable[Unique CFDA], 0)), "")</f>
        <v/>
      </c>
      <c r="E33" s="40" t="str">
        <f>IFERROR(INDEX(MemberOrgs_SortedTable[President % Change], MATCH(B33, MemberOrgs_SortedTable[Unique CFDA], 0)), "")</f>
        <v/>
      </c>
      <c r="F33" s="39" t="str">
        <f>IFERROR(INDEX(MemberOrgs_SortedTable[President $ Change], MATCH(B33, MemberOrgs_SortedTable[Unique CFDA], 0)), "")</f>
        <v/>
      </c>
    </row>
    <row r="34" spans="2:6" x14ac:dyDescent="0.35">
      <c r="B34" s="47" t="str">
        <f>IFERROR(INDEX(MemberOrgs_SortedTable[Unique CFDA], MATCH(MemberOrgs_SortedTbl!P29, MemberOrgs_SortedTable[Final Pres. Sort], 0)), "")</f>
        <v/>
      </c>
      <c r="C34" s="35" t="str">
        <f>IFERROR(INDEX(MemberOrgs_SortedTable[Grant Name], MATCH(B34, MemberOrgs_SortedTable[Unique CFDA], 0)), "")</f>
        <v/>
      </c>
      <c r="D34" s="39" t="str">
        <f>IFERROR(INDEX(MemberOrgs_SortedTable[FY 2018 Total], MATCH(B34, MemberOrgs_SortedTable[Unique CFDA], 0)), "")</f>
        <v/>
      </c>
      <c r="E34" s="40" t="str">
        <f>IFERROR(INDEX(MemberOrgs_SortedTable[President % Change], MATCH(B34, MemberOrgs_SortedTable[Unique CFDA], 0)), "")</f>
        <v/>
      </c>
      <c r="F34" s="39" t="str">
        <f>IFERROR(INDEX(MemberOrgs_SortedTable[President $ Change], MATCH(B34, MemberOrgs_SortedTable[Unique CFDA], 0)), "")</f>
        <v/>
      </c>
    </row>
    <row r="35" spans="2:6" x14ac:dyDescent="0.35">
      <c r="B35" s="47" t="str">
        <f>IFERROR(INDEX(MemberOrgs_SortedTable[Unique CFDA], MATCH(MemberOrgs_SortedTbl!P30, MemberOrgs_SortedTable[Final Pres. Sort], 0)), "")</f>
        <v/>
      </c>
      <c r="C35" s="35" t="str">
        <f>IFERROR(INDEX(MemberOrgs_SortedTable[Grant Name], MATCH(B35, MemberOrgs_SortedTable[Unique CFDA], 0)), "")</f>
        <v/>
      </c>
      <c r="D35" s="39" t="str">
        <f>IFERROR(INDEX(MemberOrgs_SortedTable[FY 2018 Total], MATCH(B35, MemberOrgs_SortedTable[Unique CFDA], 0)), "")</f>
        <v/>
      </c>
      <c r="E35" s="40" t="str">
        <f>IFERROR(INDEX(MemberOrgs_SortedTable[President % Change], MATCH(B35, MemberOrgs_SortedTable[Unique CFDA], 0)), "")</f>
        <v/>
      </c>
      <c r="F35" s="39" t="str">
        <f>IFERROR(INDEX(MemberOrgs_SortedTable[President $ Change], MATCH(B35, MemberOrgs_SortedTable[Unique CFDA], 0)), "")</f>
        <v/>
      </c>
    </row>
    <row r="36" spans="2:6" x14ac:dyDescent="0.35">
      <c r="B36" s="47" t="str">
        <f>IFERROR(INDEX(MemberOrgs_SortedTable[Unique CFDA], MATCH(MemberOrgs_SortedTbl!P31, MemberOrgs_SortedTable[Final Pres. Sort], 0)), "")</f>
        <v/>
      </c>
      <c r="C36" s="35" t="str">
        <f>IFERROR(INDEX(MemberOrgs_SortedTable[Grant Name], MATCH(B36, MemberOrgs_SortedTable[Unique CFDA], 0)), "")</f>
        <v/>
      </c>
      <c r="D36" s="39" t="str">
        <f>IFERROR(INDEX(MemberOrgs_SortedTable[FY 2018 Total], MATCH(B36, MemberOrgs_SortedTable[Unique CFDA], 0)), "")</f>
        <v/>
      </c>
      <c r="E36" s="40" t="str">
        <f>IFERROR(INDEX(MemberOrgs_SortedTable[President % Change], MATCH(B36, MemberOrgs_SortedTable[Unique CFDA], 0)), "")</f>
        <v/>
      </c>
      <c r="F36" s="39" t="str">
        <f>IFERROR(INDEX(MemberOrgs_SortedTable[President $ Change], MATCH(B36, MemberOrgs_SortedTable[Unique CFDA], 0)), "")</f>
        <v/>
      </c>
    </row>
    <row r="37" spans="2:6" x14ac:dyDescent="0.35">
      <c r="B37" s="47" t="str">
        <f>IFERROR(INDEX(MemberOrgs_SortedTable[Unique CFDA], MATCH(MemberOrgs_SortedTbl!P32, MemberOrgs_SortedTable[Final Pres. Sort], 0)), "")</f>
        <v/>
      </c>
      <c r="C37" s="35" t="str">
        <f>IFERROR(INDEX(MemberOrgs_SortedTable[Grant Name], MATCH(B37, MemberOrgs_SortedTable[Unique CFDA], 0)), "")</f>
        <v/>
      </c>
      <c r="D37" s="39" t="str">
        <f>IFERROR(INDEX(MemberOrgs_SortedTable[FY 2018 Total], MATCH(B37, MemberOrgs_SortedTable[Unique CFDA], 0)), "")</f>
        <v/>
      </c>
      <c r="E37" s="40" t="str">
        <f>IFERROR(INDEX(MemberOrgs_SortedTable[President % Change], MATCH(B37, MemberOrgs_SortedTable[Unique CFDA], 0)), "")</f>
        <v/>
      </c>
      <c r="F37" s="39" t="str">
        <f>IFERROR(INDEX(MemberOrgs_SortedTable[President $ Change], MATCH(B37, MemberOrgs_SortedTable[Unique CFDA], 0)), "")</f>
        <v/>
      </c>
    </row>
    <row r="38" spans="2:6" x14ac:dyDescent="0.35">
      <c r="B38" s="47" t="str">
        <f>IFERROR(INDEX(MemberOrgs_SortedTable[Unique CFDA], MATCH(MemberOrgs_SortedTbl!P33, MemberOrgs_SortedTable[Final Pres. Sort], 0)), "")</f>
        <v/>
      </c>
      <c r="C38" s="35" t="str">
        <f>IFERROR(INDEX(MemberOrgs_SortedTable[Grant Name], MATCH(B38, MemberOrgs_SortedTable[Unique CFDA], 0)), "")</f>
        <v/>
      </c>
      <c r="D38" s="39" t="str">
        <f>IFERROR(INDEX(MemberOrgs_SortedTable[FY 2018 Total], MATCH(B38, MemberOrgs_SortedTable[Unique CFDA], 0)), "")</f>
        <v/>
      </c>
      <c r="E38" s="40" t="str">
        <f>IFERROR(INDEX(MemberOrgs_SortedTable[President % Change], MATCH(B38, MemberOrgs_SortedTable[Unique CFDA], 0)), "")</f>
        <v/>
      </c>
      <c r="F38" s="39" t="str">
        <f>IFERROR(INDEX(MemberOrgs_SortedTable[President $ Change], MATCH(B38, MemberOrgs_SortedTable[Unique CFDA], 0)), "")</f>
        <v/>
      </c>
    </row>
    <row r="39" spans="2:6" x14ac:dyDescent="0.35">
      <c r="B39" s="47" t="str">
        <f>IFERROR(INDEX(MemberOrgs_SortedTable[Unique CFDA], MATCH(MemberOrgs_SortedTbl!P34, MemberOrgs_SortedTable[Final Pres. Sort], 0)), "")</f>
        <v/>
      </c>
      <c r="C39" s="35" t="str">
        <f>IFERROR(INDEX(MemberOrgs_SortedTable[Grant Name], MATCH(B39, MemberOrgs_SortedTable[Unique CFDA], 0)), "")</f>
        <v/>
      </c>
      <c r="D39" s="39" t="str">
        <f>IFERROR(INDEX(MemberOrgs_SortedTable[FY 2018 Total], MATCH(B39, MemberOrgs_SortedTable[Unique CFDA], 0)), "")</f>
        <v/>
      </c>
      <c r="E39" s="40" t="str">
        <f>IFERROR(INDEX(MemberOrgs_SortedTable[President % Change], MATCH(B39, MemberOrgs_SortedTable[Unique CFDA], 0)), "")</f>
        <v/>
      </c>
      <c r="F39" s="39" t="str">
        <f>IFERROR(INDEX(MemberOrgs_SortedTable[President $ Change], MATCH(B39, MemberOrgs_SortedTable[Unique CFDA], 0)), "")</f>
        <v/>
      </c>
    </row>
    <row r="40" spans="2:6" x14ac:dyDescent="0.35">
      <c r="B40" s="47" t="str">
        <f>IFERROR(INDEX(MemberOrgs_SortedTable[Unique CFDA], MATCH(MemberOrgs_SortedTbl!P35, MemberOrgs_SortedTable[Final Pres. Sort], 0)), "")</f>
        <v/>
      </c>
      <c r="C40" s="35" t="str">
        <f>IFERROR(INDEX(MemberOrgs_SortedTable[Grant Name], MATCH(B40, MemberOrgs_SortedTable[Unique CFDA], 0)), "")</f>
        <v/>
      </c>
      <c r="D40" s="39" t="str">
        <f>IFERROR(INDEX(MemberOrgs_SortedTable[FY 2018 Total], MATCH(B40, MemberOrgs_SortedTable[Unique CFDA], 0)), "")</f>
        <v/>
      </c>
      <c r="E40" s="40" t="str">
        <f>IFERROR(INDEX(MemberOrgs_SortedTable[President % Change], MATCH(B40, MemberOrgs_SortedTable[Unique CFDA], 0)), "")</f>
        <v/>
      </c>
      <c r="F40" s="39" t="str">
        <f>IFERROR(INDEX(MemberOrgs_SortedTable[President $ Change], MATCH(B40, MemberOrgs_SortedTable[Unique CFDA], 0)), "")</f>
        <v/>
      </c>
    </row>
    <row r="41" spans="2:6" x14ac:dyDescent="0.35">
      <c r="B41" s="47" t="str">
        <f>IFERROR(INDEX(MemberOrgs_SortedTable[Unique CFDA], MATCH(MemberOrgs_SortedTbl!P36, MemberOrgs_SortedTable[Final Pres. Sort], 0)), "")</f>
        <v/>
      </c>
      <c r="C41" s="35" t="str">
        <f>IFERROR(INDEX(MemberOrgs_SortedTable[Grant Name], MATCH(B41, MemberOrgs_SortedTable[Unique CFDA], 0)), "")</f>
        <v/>
      </c>
      <c r="D41" s="39" t="str">
        <f>IFERROR(INDEX(MemberOrgs_SortedTable[FY 2018 Total], MATCH(B41, MemberOrgs_SortedTable[Unique CFDA], 0)), "")</f>
        <v/>
      </c>
      <c r="E41" s="40" t="str">
        <f>IFERROR(INDEX(MemberOrgs_SortedTable[President % Change], MATCH(B41, MemberOrgs_SortedTable[Unique CFDA], 0)), "")</f>
        <v/>
      </c>
      <c r="F41" s="39" t="str">
        <f>IFERROR(INDEX(MemberOrgs_SortedTable[President $ Change], MATCH(B41, MemberOrgs_SortedTable[Unique CFDA], 0)), "")</f>
        <v/>
      </c>
    </row>
    <row r="42" spans="2:6" x14ac:dyDescent="0.35">
      <c r="B42" s="47" t="str">
        <f>IFERROR(INDEX(MemberOrgs_SortedTable[Unique CFDA], MATCH(MemberOrgs_SortedTbl!P37, MemberOrgs_SortedTable[Final Pres. Sort], 0)), "")</f>
        <v/>
      </c>
      <c r="C42" s="35" t="str">
        <f>IFERROR(INDEX(MemberOrgs_SortedTable[Grant Name], MATCH(B42, MemberOrgs_SortedTable[Unique CFDA], 0)), "")</f>
        <v/>
      </c>
      <c r="D42" s="39" t="str">
        <f>IFERROR(INDEX(MemberOrgs_SortedTable[FY 2018 Total], MATCH(B42, MemberOrgs_SortedTable[Unique CFDA], 0)), "")</f>
        <v/>
      </c>
      <c r="E42" s="40" t="str">
        <f>IFERROR(INDEX(MemberOrgs_SortedTable[President % Change], MATCH(B42, MemberOrgs_SortedTable[Unique CFDA], 0)), "")</f>
        <v/>
      </c>
      <c r="F42" s="39" t="str">
        <f>IFERROR(INDEX(MemberOrgs_SortedTable[President $ Change], MATCH(B42, MemberOrgs_SortedTable[Unique CFDA], 0)), "")</f>
        <v/>
      </c>
    </row>
    <row r="43" spans="2:6" x14ac:dyDescent="0.35">
      <c r="B43" s="47" t="str">
        <f>IFERROR(INDEX(MemberOrgs_SortedTable[Unique CFDA], MATCH(MemberOrgs_SortedTbl!P38, MemberOrgs_SortedTable[Final Pres. Sort], 0)), "")</f>
        <v/>
      </c>
      <c r="C43" s="35" t="str">
        <f>IFERROR(INDEX(MemberOrgs_SortedTable[Grant Name], MATCH(B43, MemberOrgs_SortedTable[Unique CFDA], 0)), "")</f>
        <v/>
      </c>
      <c r="D43" s="39" t="str">
        <f>IFERROR(INDEX(MemberOrgs_SortedTable[FY 2018 Total], MATCH(B43, MemberOrgs_SortedTable[Unique CFDA], 0)), "")</f>
        <v/>
      </c>
      <c r="E43" s="40" t="str">
        <f>IFERROR(INDEX(MemberOrgs_SortedTable[President % Change], MATCH(B43, MemberOrgs_SortedTable[Unique CFDA], 0)), "")</f>
        <v/>
      </c>
      <c r="F43" s="39" t="str">
        <f>IFERROR(INDEX(MemberOrgs_SortedTable[President $ Change], MATCH(B43, MemberOrgs_SortedTable[Unique CFDA], 0)), "")</f>
        <v/>
      </c>
    </row>
    <row r="44" spans="2:6" x14ac:dyDescent="0.35">
      <c r="B44" s="47" t="str">
        <f>IFERROR(INDEX(MemberOrgs_SortedTable[Unique CFDA], MATCH(MemberOrgs_SortedTbl!P39, MemberOrgs_SortedTable[Final Pres. Sort], 0)), "")</f>
        <v/>
      </c>
      <c r="C44" s="35" t="str">
        <f>IFERROR(INDEX(MemberOrgs_SortedTable[Grant Name], MATCH(B44, MemberOrgs_SortedTable[Unique CFDA], 0)), "")</f>
        <v/>
      </c>
      <c r="D44" s="39" t="str">
        <f>IFERROR(INDEX(MemberOrgs_SortedTable[FY 2018 Total], MATCH(B44, MemberOrgs_SortedTable[Unique CFDA], 0)), "")</f>
        <v/>
      </c>
      <c r="E44" s="40" t="str">
        <f>IFERROR(INDEX(MemberOrgs_SortedTable[President % Change], MATCH(B44, MemberOrgs_SortedTable[Unique CFDA], 0)), "")</f>
        <v/>
      </c>
      <c r="F44" s="39" t="str">
        <f>IFERROR(INDEX(MemberOrgs_SortedTable[President $ Change], MATCH(B44, MemberOrgs_SortedTable[Unique CFDA], 0)), "")</f>
        <v/>
      </c>
    </row>
    <row r="45" spans="2:6" x14ac:dyDescent="0.35">
      <c r="B45" s="47" t="str">
        <f>IFERROR(INDEX(MemberOrgs_SortedTable[Unique CFDA], MATCH(MemberOrgs_SortedTbl!P40, MemberOrgs_SortedTable[Final Pres. Sort], 0)), "")</f>
        <v/>
      </c>
      <c r="C45" s="35" t="str">
        <f>IFERROR(INDEX(MemberOrgs_SortedTable[Grant Name], MATCH(B45, MemberOrgs_SortedTable[Unique CFDA], 0)), "")</f>
        <v/>
      </c>
      <c r="D45" s="39" t="str">
        <f>IFERROR(INDEX(MemberOrgs_SortedTable[FY 2018 Total], MATCH(B45, MemberOrgs_SortedTable[Unique CFDA], 0)), "")</f>
        <v/>
      </c>
      <c r="E45" s="40" t="str">
        <f>IFERROR(INDEX(MemberOrgs_SortedTable[President % Change], MATCH(B45, MemberOrgs_SortedTable[Unique CFDA], 0)), "")</f>
        <v/>
      </c>
      <c r="F45" s="39" t="str">
        <f>IFERROR(INDEX(MemberOrgs_SortedTable[President $ Change], MATCH(B45, MemberOrgs_SortedTable[Unique CFDA], 0)), "")</f>
        <v/>
      </c>
    </row>
    <row r="46" spans="2:6" x14ac:dyDescent="0.35">
      <c r="B46" s="47" t="str">
        <f>IFERROR(INDEX(MemberOrgs_SortedTable[Unique CFDA], MATCH(MemberOrgs_SortedTbl!P41, MemberOrgs_SortedTable[Final Pres. Sort], 0)), "")</f>
        <v/>
      </c>
      <c r="C46" s="35" t="str">
        <f>IFERROR(INDEX(MemberOrgs_SortedTable[Grant Name], MATCH(B46, MemberOrgs_SortedTable[Unique CFDA], 0)), "")</f>
        <v/>
      </c>
      <c r="D46" s="39" t="str">
        <f>IFERROR(INDEX(MemberOrgs_SortedTable[FY 2018 Total], MATCH(B46, MemberOrgs_SortedTable[Unique CFDA], 0)), "")</f>
        <v/>
      </c>
      <c r="E46" s="40" t="str">
        <f>IFERROR(INDEX(MemberOrgs_SortedTable[President % Change], MATCH(B46, MemberOrgs_SortedTable[Unique CFDA], 0)), "")</f>
        <v/>
      </c>
      <c r="F46" s="39" t="str">
        <f>IFERROR(INDEX(MemberOrgs_SortedTable[President $ Change], MATCH(B46, MemberOrgs_SortedTable[Unique CFDA], 0)), "")</f>
        <v/>
      </c>
    </row>
    <row r="47" spans="2:6" x14ac:dyDescent="0.35">
      <c r="B47" s="47" t="str">
        <f>IFERROR(INDEX(MemberOrgs_SortedTable[Unique CFDA], MATCH(MemberOrgs_SortedTbl!P42, MemberOrgs_SortedTable[Final Pres. Sort], 0)), "")</f>
        <v/>
      </c>
      <c r="C47" s="35" t="str">
        <f>IFERROR(INDEX(MemberOrgs_SortedTable[Grant Name], MATCH(B47, MemberOrgs_SortedTable[Unique CFDA], 0)), "")</f>
        <v/>
      </c>
      <c r="D47" s="39" t="str">
        <f>IFERROR(INDEX(MemberOrgs_SortedTable[FY 2018 Total], MATCH(B47, MemberOrgs_SortedTable[Unique CFDA], 0)), "")</f>
        <v/>
      </c>
      <c r="E47" s="40" t="str">
        <f>IFERROR(INDEX(MemberOrgs_SortedTable[President % Change], MATCH(B47, MemberOrgs_SortedTable[Unique CFDA], 0)), "")</f>
        <v/>
      </c>
      <c r="F47" s="39" t="str">
        <f>IFERROR(INDEX(MemberOrgs_SortedTable[President $ Change], MATCH(B47, MemberOrgs_SortedTable[Unique CFDA], 0)), "")</f>
        <v/>
      </c>
    </row>
    <row r="48" spans="2:6" x14ac:dyDescent="0.35">
      <c r="B48" s="47" t="str">
        <f>IFERROR(INDEX(MemberOrgs_SortedTable[Unique CFDA], MATCH(MemberOrgs_SortedTbl!P43, MemberOrgs_SortedTable[Final Pres. Sort], 0)), "")</f>
        <v/>
      </c>
      <c r="C48" s="35" t="str">
        <f>IFERROR(INDEX(MemberOrgs_SortedTable[Grant Name], MATCH(B48, MemberOrgs_SortedTable[Unique CFDA], 0)), "")</f>
        <v/>
      </c>
      <c r="D48" s="39" t="str">
        <f>IFERROR(INDEX(MemberOrgs_SortedTable[FY 2018 Total], MATCH(B48, MemberOrgs_SortedTable[Unique CFDA], 0)), "")</f>
        <v/>
      </c>
      <c r="E48" s="40" t="str">
        <f>IFERROR(INDEX(MemberOrgs_SortedTable[President % Change], MATCH(B48, MemberOrgs_SortedTable[Unique CFDA], 0)), "")</f>
        <v/>
      </c>
      <c r="F48" s="39" t="str">
        <f>IFERROR(INDEX(MemberOrgs_SortedTable[President $ Change], MATCH(B48, MemberOrgs_SortedTable[Unique CFDA], 0)), "")</f>
        <v/>
      </c>
    </row>
    <row r="49" spans="2:6" x14ac:dyDescent="0.35">
      <c r="B49" s="47" t="str">
        <f>IFERROR(INDEX(MemberOrgs_SortedTable[Unique CFDA], MATCH(MemberOrgs_SortedTbl!P44, MemberOrgs_SortedTable[Final Pres. Sort], 0)), "")</f>
        <v/>
      </c>
      <c r="C49" s="35" t="str">
        <f>IFERROR(INDEX(MemberOrgs_SortedTable[Grant Name], MATCH(B49, MemberOrgs_SortedTable[Unique CFDA], 0)), "")</f>
        <v/>
      </c>
      <c r="D49" s="39" t="str">
        <f>IFERROR(INDEX(MemberOrgs_SortedTable[FY 2018 Total], MATCH(B49, MemberOrgs_SortedTable[Unique CFDA], 0)), "")</f>
        <v/>
      </c>
      <c r="E49" s="40" t="str">
        <f>IFERROR(INDEX(MemberOrgs_SortedTable[President % Change], MATCH(B49, MemberOrgs_SortedTable[Unique CFDA], 0)), "")</f>
        <v/>
      </c>
      <c r="F49" s="39" t="str">
        <f>IFERROR(INDEX(MemberOrgs_SortedTable[President $ Change], MATCH(B49, MemberOrgs_SortedTable[Unique CFDA], 0)), "")</f>
        <v/>
      </c>
    </row>
    <row r="50" spans="2:6" x14ac:dyDescent="0.35">
      <c r="B50" s="47" t="str">
        <f>IFERROR(INDEX(MemberOrgs_SortedTable[Unique CFDA], MATCH(MemberOrgs_SortedTbl!P45, MemberOrgs_SortedTable[Final Pres. Sort], 0)), "")</f>
        <v/>
      </c>
      <c r="C50" s="35" t="str">
        <f>IFERROR(INDEX(MemberOrgs_SortedTable[Grant Name], MATCH(B50, MemberOrgs_SortedTable[Unique CFDA], 0)), "")</f>
        <v/>
      </c>
      <c r="D50" s="39" t="str">
        <f>IFERROR(INDEX(MemberOrgs_SortedTable[FY 2018 Total], MATCH(B50, MemberOrgs_SortedTable[Unique CFDA], 0)), "")</f>
        <v/>
      </c>
      <c r="E50" s="40" t="str">
        <f>IFERROR(INDEX(MemberOrgs_SortedTable[President % Change], MATCH(B50, MemberOrgs_SortedTable[Unique CFDA], 0)), "")</f>
        <v/>
      </c>
      <c r="F50" s="39" t="str">
        <f>IFERROR(INDEX(MemberOrgs_SortedTable[President $ Change], MATCH(B50, MemberOrgs_SortedTable[Unique CFDA], 0)), "")</f>
        <v/>
      </c>
    </row>
    <row r="51" spans="2:6" x14ac:dyDescent="0.35">
      <c r="B51" s="47" t="str">
        <f>IFERROR(INDEX(MemberOrgs_SortedTable[Unique CFDA], MATCH(MemberOrgs_SortedTbl!P46, MemberOrgs_SortedTable[Final Pres. Sort], 0)), "")</f>
        <v/>
      </c>
      <c r="C51" s="35" t="str">
        <f>IFERROR(INDEX(MemberOrgs_SortedTable[Grant Name], MATCH(B51, MemberOrgs_SortedTable[Unique CFDA], 0)), "")</f>
        <v/>
      </c>
      <c r="D51" s="39" t="str">
        <f>IFERROR(INDEX(MemberOrgs_SortedTable[FY 2018 Total], MATCH(B51, MemberOrgs_SortedTable[Unique CFDA], 0)), "")</f>
        <v/>
      </c>
      <c r="E51" s="40" t="str">
        <f>IFERROR(INDEX(MemberOrgs_SortedTable[President % Change], MATCH(B51, MemberOrgs_SortedTable[Unique CFDA], 0)), "")</f>
        <v/>
      </c>
      <c r="F51" s="39" t="str">
        <f>IFERROR(INDEX(MemberOrgs_SortedTable[President $ Change], MATCH(B51, MemberOrgs_SortedTable[Unique CFDA], 0)), "")</f>
        <v/>
      </c>
    </row>
    <row r="52" spans="2:6" x14ac:dyDescent="0.35">
      <c r="B52" s="47" t="str">
        <f>IFERROR(INDEX(MemberOrgs_SortedTable[Unique CFDA], MATCH(MemberOrgs_SortedTbl!P47, MemberOrgs_SortedTable[Final Pres. Sort], 0)), "")</f>
        <v/>
      </c>
      <c r="C52" s="35" t="str">
        <f>IFERROR(INDEX(MemberOrgs_SortedTable[Grant Name], MATCH(B52, MemberOrgs_SortedTable[Unique CFDA], 0)), "")</f>
        <v/>
      </c>
      <c r="D52" s="39" t="str">
        <f>IFERROR(INDEX(MemberOrgs_SortedTable[FY 2018 Total], MATCH(B52, MemberOrgs_SortedTable[Unique CFDA], 0)), "")</f>
        <v/>
      </c>
      <c r="E52" s="40" t="str">
        <f>IFERROR(INDEX(MemberOrgs_SortedTable[President % Change], MATCH(B52, MemberOrgs_SortedTable[Unique CFDA], 0)), "")</f>
        <v/>
      </c>
      <c r="F52" s="39" t="str">
        <f>IFERROR(INDEX(MemberOrgs_SortedTable[President $ Change], MATCH(B52, MemberOrgs_SortedTable[Unique CFDA], 0)), "")</f>
        <v/>
      </c>
    </row>
    <row r="53" spans="2:6" x14ac:dyDescent="0.35">
      <c r="B53" s="47" t="str">
        <f>IFERROR(INDEX(MemberOrgs_SortedTable[Unique CFDA], MATCH(MemberOrgs_SortedTbl!P48, MemberOrgs_SortedTable[Final Pres. Sort], 0)), "")</f>
        <v/>
      </c>
      <c r="C53" s="35" t="str">
        <f>IFERROR(INDEX(MemberOrgs_SortedTable[Grant Name], MATCH(B53, MemberOrgs_SortedTable[Unique CFDA], 0)), "")</f>
        <v/>
      </c>
      <c r="D53" s="39" t="str">
        <f>IFERROR(INDEX(MemberOrgs_SortedTable[FY 2018 Total], MATCH(B53, MemberOrgs_SortedTable[Unique CFDA], 0)), "")</f>
        <v/>
      </c>
      <c r="E53" s="40" t="str">
        <f>IFERROR(INDEX(MemberOrgs_SortedTable[President % Change], MATCH(B53, MemberOrgs_SortedTable[Unique CFDA], 0)), "")</f>
        <v/>
      </c>
      <c r="F53" s="39" t="str">
        <f>IFERROR(INDEX(MemberOrgs_SortedTable[President $ Change], MATCH(B53, MemberOrgs_SortedTable[Unique CFDA], 0)), "")</f>
        <v/>
      </c>
    </row>
    <row r="54" spans="2:6" x14ac:dyDescent="0.35">
      <c r="B54" s="47" t="str">
        <f>IFERROR(INDEX(MemberOrgs_SortedTable[Unique CFDA], MATCH(MemberOrgs_SortedTbl!P49, MemberOrgs_SortedTable[Final Pres. Sort], 0)), "")</f>
        <v/>
      </c>
      <c r="C54" s="35" t="str">
        <f>IFERROR(INDEX(MemberOrgs_SortedTable[Grant Name], MATCH(B54, MemberOrgs_SortedTable[Unique CFDA], 0)), "")</f>
        <v/>
      </c>
      <c r="D54" s="39" t="str">
        <f>IFERROR(INDEX(MemberOrgs_SortedTable[FY 2018 Total], MATCH(B54, MemberOrgs_SortedTable[Unique CFDA], 0)), "")</f>
        <v/>
      </c>
      <c r="E54" s="40" t="str">
        <f>IFERROR(INDEX(MemberOrgs_SortedTable[President % Change], MATCH(B54, MemberOrgs_SortedTable[Unique CFDA], 0)), "")</f>
        <v/>
      </c>
      <c r="F54" s="39" t="str">
        <f>IFERROR(INDEX(MemberOrgs_SortedTable[President $ Change], MATCH(B54, MemberOrgs_SortedTable[Unique CFDA], 0)), "")</f>
        <v/>
      </c>
    </row>
    <row r="55" spans="2:6" x14ac:dyDescent="0.35">
      <c r="B55" s="47" t="str">
        <f>IFERROR(INDEX(MemberOrgs_SortedTable[Unique CFDA], MATCH(MemberOrgs_SortedTbl!P50, MemberOrgs_SortedTable[Final Pres. Sort], 0)), "")</f>
        <v/>
      </c>
      <c r="C55" s="35" t="str">
        <f>IFERROR(INDEX(MemberOrgs_SortedTable[Grant Name], MATCH(B55, MemberOrgs_SortedTable[Unique CFDA], 0)), "")</f>
        <v/>
      </c>
      <c r="D55" s="39" t="str">
        <f>IFERROR(INDEX(MemberOrgs_SortedTable[FY 2018 Total], MATCH(B55, MemberOrgs_SortedTable[Unique CFDA], 0)), "")</f>
        <v/>
      </c>
      <c r="E55" s="40" t="str">
        <f>IFERROR(INDEX(MemberOrgs_SortedTable[President % Change], MATCH(B55, MemberOrgs_SortedTable[Unique CFDA], 0)), "")</f>
        <v/>
      </c>
      <c r="F55" s="39" t="str">
        <f>IFERROR(INDEX(MemberOrgs_SortedTable[President $ Change], MATCH(B55, MemberOrgs_SortedTable[Unique CFDA], 0)), "")</f>
        <v/>
      </c>
    </row>
    <row r="56" spans="2:6" x14ac:dyDescent="0.35">
      <c r="B56" s="47" t="str">
        <f>IFERROR(INDEX(MemberOrgs_SortedTable[Unique CFDA], MATCH(MemberOrgs_SortedTbl!P51, MemberOrgs_SortedTable[Final Pres. Sort], 0)), "")</f>
        <v/>
      </c>
      <c r="C56" s="35" t="str">
        <f>IFERROR(INDEX(MemberOrgs_SortedTable[Grant Name], MATCH(B56, MemberOrgs_SortedTable[Unique CFDA], 0)), "")</f>
        <v/>
      </c>
      <c r="D56" s="39" t="str">
        <f>IFERROR(INDEX(MemberOrgs_SortedTable[FY 2018 Total], MATCH(B56, MemberOrgs_SortedTable[Unique CFDA], 0)), "")</f>
        <v/>
      </c>
      <c r="E56" s="40" t="str">
        <f>IFERROR(INDEX(MemberOrgs_SortedTable[President % Change], MATCH(B56, MemberOrgs_SortedTable[Unique CFDA], 0)), "")</f>
        <v/>
      </c>
      <c r="F56" s="39" t="str">
        <f>IFERROR(INDEX(MemberOrgs_SortedTable[President $ Change], MATCH(B56, MemberOrgs_SortedTable[Unique CFDA], 0)), "")</f>
        <v/>
      </c>
    </row>
    <row r="57" spans="2:6" x14ac:dyDescent="0.35">
      <c r="B57" s="47" t="str">
        <f>IFERROR(INDEX(MemberOrgs_SortedTable[Unique CFDA], MATCH(MemberOrgs_SortedTbl!P52, MemberOrgs_SortedTable[Final Pres. Sort], 0)), "")</f>
        <v/>
      </c>
      <c r="C57" s="35" t="str">
        <f>IFERROR(INDEX(MemberOrgs_SortedTable[Grant Name], MATCH(B57, MemberOrgs_SortedTable[Unique CFDA], 0)), "")</f>
        <v/>
      </c>
      <c r="D57" s="39" t="str">
        <f>IFERROR(INDEX(MemberOrgs_SortedTable[FY 2018 Total], MATCH(B57, MemberOrgs_SortedTable[Unique CFDA], 0)), "")</f>
        <v/>
      </c>
      <c r="E57" s="40" t="str">
        <f>IFERROR(INDEX(MemberOrgs_SortedTable[President % Change], MATCH(B57, MemberOrgs_SortedTable[Unique CFDA], 0)), "")</f>
        <v/>
      </c>
      <c r="F57" s="39" t="str">
        <f>IFERROR(INDEX(MemberOrgs_SortedTable[President $ Change], MATCH(B57, MemberOrgs_SortedTable[Unique CFDA], 0)), "")</f>
        <v/>
      </c>
    </row>
    <row r="58" spans="2:6" x14ac:dyDescent="0.35">
      <c r="B58" s="47" t="str">
        <f>IFERROR(INDEX(MemberOrgs_SortedTable[Unique CFDA], MATCH(MemberOrgs_SortedTbl!P53, MemberOrgs_SortedTable[Final Pres. Sort], 0)), "")</f>
        <v/>
      </c>
      <c r="C58" s="35" t="str">
        <f>IFERROR(INDEX(MemberOrgs_SortedTable[Grant Name], MATCH(B58, MemberOrgs_SortedTable[Unique CFDA], 0)), "")</f>
        <v/>
      </c>
      <c r="D58" s="39" t="str">
        <f>IFERROR(INDEX(MemberOrgs_SortedTable[FY 2018 Total], MATCH(B58, MemberOrgs_SortedTable[Unique CFDA], 0)), "")</f>
        <v/>
      </c>
      <c r="E58" s="40" t="str">
        <f>IFERROR(INDEX(MemberOrgs_SortedTable[President % Change], MATCH(B58, MemberOrgs_SortedTable[Unique CFDA], 0)), "")</f>
        <v/>
      </c>
      <c r="F58" s="39" t="str">
        <f>IFERROR(INDEX(MemberOrgs_SortedTable[President $ Change], MATCH(B58, MemberOrgs_SortedTable[Unique CFDA], 0)), "")</f>
        <v/>
      </c>
    </row>
    <row r="59" spans="2:6" x14ac:dyDescent="0.35">
      <c r="B59" s="47" t="str">
        <f>IFERROR(INDEX(MemberOrgs_SortedTable[Unique CFDA], MATCH(MemberOrgs_SortedTbl!P54, MemberOrgs_SortedTable[Final Pres. Sort], 0)), "")</f>
        <v/>
      </c>
      <c r="C59" s="35" t="str">
        <f>IFERROR(INDEX(MemberOrgs_SortedTable[Grant Name], MATCH(B59, MemberOrgs_SortedTable[Unique CFDA], 0)), "")</f>
        <v/>
      </c>
      <c r="D59" s="39" t="str">
        <f>IFERROR(INDEX(MemberOrgs_SortedTable[FY 2018 Total], MATCH(B59, MemberOrgs_SortedTable[Unique CFDA], 0)), "")</f>
        <v/>
      </c>
      <c r="E59" s="40" t="str">
        <f>IFERROR(INDEX(MemberOrgs_SortedTable[President % Change], MATCH(B59, MemberOrgs_SortedTable[Unique CFDA], 0)), "")</f>
        <v/>
      </c>
      <c r="F59" s="39" t="str">
        <f>IFERROR(INDEX(MemberOrgs_SortedTable[President $ Change], MATCH(B59, MemberOrgs_SortedTable[Unique CFDA], 0)), "")</f>
        <v/>
      </c>
    </row>
    <row r="60" spans="2:6" x14ac:dyDescent="0.35">
      <c r="B60" s="47" t="str">
        <f>IFERROR(INDEX(MemberOrgs_SortedTable[Unique CFDA], MATCH(MemberOrgs_SortedTbl!P55, MemberOrgs_SortedTable[Final Pres. Sort], 0)), "")</f>
        <v/>
      </c>
      <c r="C60" s="35" t="str">
        <f>IFERROR(INDEX(MemberOrgs_SortedTable[Grant Name], MATCH(B60, MemberOrgs_SortedTable[Unique CFDA], 0)), "")</f>
        <v/>
      </c>
      <c r="D60" s="39" t="str">
        <f>IFERROR(INDEX(MemberOrgs_SortedTable[FY 2018 Total], MATCH(B60, MemberOrgs_SortedTable[Unique CFDA], 0)), "")</f>
        <v/>
      </c>
      <c r="E60" s="40" t="str">
        <f>IFERROR(INDEX(MemberOrgs_SortedTable[President % Change], MATCH(B60, MemberOrgs_SortedTable[Unique CFDA], 0)), "")</f>
        <v/>
      </c>
      <c r="F60" s="39" t="str">
        <f>IFERROR(INDEX(MemberOrgs_SortedTable[President $ Change], MATCH(B60, MemberOrgs_SortedTable[Unique CFDA], 0)), "")</f>
        <v/>
      </c>
    </row>
    <row r="61" spans="2:6" x14ac:dyDescent="0.35">
      <c r="B61" s="47" t="str">
        <f>IFERROR(INDEX(MemberOrgs_SortedTable[Unique CFDA], MATCH(MemberOrgs_SortedTbl!P56, MemberOrgs_SortedTable[Final Pres. Sort], 0)), "")</f>
        <v/>
      </c>
      <c r="C61" s="35" t="str">
        <f>IFERROR(INDEX(MemberOrgs_SortedTable[Grant Name], MATCH(B61, MemberOrgs_SortedTable[Unique CFDA], 0)), "")</f>
        <v/>
      </c>
      <c r="D61" s="39" t="str">
        <f>IFERROR(INDEX(MemberOrgs_SortedTable[FY 2018 Total], MATCH(B61, MemberOrgs_SortedTable[Unique CFDA], 0)), "")</f>
        <v/>
      </c>
      <c r="E61" s="40" t="str">
        <f>IFERROR(INDEX(MemberOrgs_SortedTable[President % Change], MATCH(B61, MemberOrgs_SortedTable[Unique CFDA], 0)), "")</f>
        <v/>
      </c>
      <c r="F61" s="39" t="str">
        <f>IFERROR(INDEX(MemberOrgs_SortedTable[President $ Change], MATCH(B61, MemberOrgs_SortedTable[Unique CFDA], 0)), "")</f>
        <v/>
      </c>
    </row>
    <row r="62" spans="2:6" x14ac:dyDescent="0.35">
      <c r="B62" s="47" t="str">
        <f>IFERROR(INDEX(MemberOrgs_SortedTable[Unique CFDA], MATCH(MemberOrgs_SortedTbl!P57, MemberOrgs_SortedTable[Final Pres. Sort], 0)), "")</f>
        <v/>
      </c>
      <c r="C62" s="35" t="str">
        <f>IFERROR(INDEX(MemberOrgs_SortedTable[Grant Name], MATCH(B62, MemberOrgs_SortedTable[Unique CFDA], 0)), "")</f>
        <v/>
      </c>
      <c r="D62" s="39" t="str">
        <f>IFERROR(INDEX(MemberOrgs_SortedTable[FY 2018 Total], MATCH(B62, MemberOrgs_SortedTable[Unique CFDA], 0)), "")</f>
        <v/>
      </c>
      <c r="E62" s="40" t="str">
        <f>IFERROR(INDEX(MemberOrgs_SortedTable[President % Change], MATCH(B62, MemberOrgs_SortedTable[Unique CFDA], 0)), "")</f>
        <v/>
      </c>
      <c r="F62" s="39" t="str">
        <f>IFERROR(INDEX(MemberOrgs_SortedTable[President $ Change], MATCH(B62, MemberOrgs_SortedTable[Unique CFDA], 0)), "")</f>
        <v/>
      </c>
    </row>
    <row r="63" spans="2:6" x14ac:dyDescent="0.35">
      <c r="B63" s="47" t="str">
        <f>IFERROR(INDEX(MemberOrgs_SortedTable[Unique CFDA], MATCH(MemberOrgs_SortedTbl!P58, MemberOrgs_SortedTable[Final Pres. Sort], 0)), "")</f>
        <v/>
      </c>
      <c r="C63" s="35" t="str">
        <f>IFERROR(INDEX(MemberOrgs_SortedTable[Grant Name], MATCH(B63, MemberOrgs_SortedTable[Unique CFDA], 0)), "")</f>
        <v/>
      </c>
      <c r="D63" s="39" t="str">
        <f>IFERROR(INDEX(MemberOrgs_SortedTable[FY 2018 Total], MATCH(B63, MemberOrgs_SortedTable[Unique CFDA], 0)), "")</f>
        <v/>
      </c>
      <c r="E63" s="40" t="str">
        <f>IFERROR(INDEX(MemberOrgs_SortedTable[President % Change], MATCH(B63, MemberOrgs_SortedTable[Unique CFDA], 0)), "")</f>
        <v/>
      </c>
      <c r="F63" s="39" t="str">
        <f>IFERROR(INDEX(MemberOrgs_SortedTable[President $ Change], MATCH(B63, MemberOrgs_SortedTable[Unique CFDA], 0)), "")</f>
        <v/>
      </c>
    </row>
    <row r="64" spans="2:6" x14ac:dyDescent="0.35">
      <c r="B64" s="47" t="str">
        <f>IFERROR(INDEX(MemberOrgs_SortedTable[Unique CFDA], MATCH(MemberOrgs_SortedTbl!P59, MemberOrgs_SortedTable[Final Pres. Sort], 0)), "")</f>
        <v/>
      </c>
      <c r="C64" s="35" t="str">
        <f>IFERROR(INDEX(MemberOrgs_SortedTable[Grant Name], MATCH(B64, MemberOrgs_SortedTable[Unique CFDA], 0)), "")</f>
        <v/>
      </c>
      <c r="D64" s="39" t="str">
        <f>IFERROR(INDEX(MemberOrgs_SortedTable[FY 2018 Total], MATCH(B64, MemberOrgs_SortedTable[Unique CFDA], 0)), "")</f>
        <v/>
      </c>
      <c r="E64" s="40" t="str">
        <f>IFERROR(INDEX(MemberOrgs_SortedTable[President % Change], MATCH(B64, MemberOrgs_SortedTable[Unique CFDA], 0)), "")</f>
        <v/>
      </c>
      <c r="F64" s="39" t="str">
        <f>IFERROR(INDEX(MemberOrgs_SortedTable[President $ Change], MATCH(B64, MemberOrgs_SortedTable[Unique CFDA], 0)), "")</f>
        <v/>
      </c>
    </row>
    <row r="65" spans="2:6" x14ac:dyDescent="0.35">
      <c r="B65" s="47" t="str">
        <f>IFERROR(INDEX(MemberOrgs_SortedTable[Unique CFDA], MATCH(MemberOrgs_SortedTbl!P60, MemberOrgs_SortedTable[Final Pres. Sort], 0)), "")</f>
        <v/>
      </c>
      <c r="C65" s="35" t="str">
        <f>IFERROR(INDEX(MemberOrgs_SortedTable[Grant Name], MATCH(B65, MemberOrgs_SortedTable[Unique CFDA], 0)), "")</f>
        <v/>
      </c>
      <c r="D65" s="39" t="str">
        <f>IFERROR(INDEX(MemberOrgs_SortedTable[FY 2018 Total], MATCH(B65, MemberOrgs_SortedTable[Unique CFDA], 0)), "")</f>
        <v/>
      </c>
      <c r="E65" s="40" t="str">
        <f>IFERROR(INDEX(MemberOrgs_SortedTable[President % Change], MATCH(B65, MemberOrgs_SortedTable[Unique CFDA], 0)), "")</f>
        <v/>
      </c>
      <c r="F65" s="39" t="str">
        <f>IFERROR(INDEX(MemberOrgs_SortedTable[President $ Change], MATCH(B65, MemberOrgs_SortedTable[Unique CFDA], 0)), "")</f>
        <v/>
      </c>
    </row>
    <row r="66" spans="2:6" x14ac:dyDescent="0.35">
      <c r="B66" s="47" t="str">
        <f>IFERROR(INDEX(MemberOrgs_SortedTable[Unique CFDA], MATCH(MemberOrgs_SortedTbl!P61, MemberOrgs_SortedTable[Final Pres. Sort], 0)), "")</f>
        <v/>
      </c>
      <c r="C66" s="35" t="str">
        <f>IFERROR(INDEX(MemberOrgs_SortedTable[Grant Name], MATCH(B66, MemberOrgs_SortedTable[Unique CFDA], 0)), "")</f>
        <v/>
      </c>
      <c r="D66" s="39" t="str">
        <f>IFERROR(INDEX(MemberOrgs_SortedTable[FY 2018 Total], MATCH(B66, MemberOrgs_SortedTable[Unique CFDA], 0)), "")</f>
        <v/>
      </c>
      <c r="E66" s="40" t="str">
        <f>IFERROR(INDEX(MemberOrgs_SortedTable[President % Change], MATCH(B66, MemberOrgs_SortedTable[Unique CFDA], 0)), "")</f>
        <v/>
      </c>
      <c r="F66" s="39" t="str">
        <f>IFERROR(INDEX(MemberOrgs_SortedTable[President $ Change], MATCH(B66, MemberOrgs_SortedTable[Unique CFDA], 0)), "")</f>
        <v/>
      </c>
    </row>
    <row r="67" spans="2:6" x14ac:dyDescent="0.35">
      <c r="B67" s="47" t="str">
        <f>IFERROR(INDEX(MemberOrgs_SortedTable[Unique CFDA], MATCH(MemberOrgs_SortedTbl!P62, MemberOrgs_SortedTable[Final Pres. Sort], 0)), "")</f>
        <v/>
      </c>
      <c r="C67" s="35" t="str">
        <f>IFERROR(INDEX(MemberOrgs_SortedTable[Grant Name], MATCH(B67, MemberOrgs_SortedTable[Unique CFDA], 0)), "")</f>
        <v/>
      </c>
      <c r="D67" s="39" t="str">
        <f>IFERROR(INDEX(MemberOrgs_SortedTable[FY 2018 Total], MATCH(B67, MemberOrgs_SortedTable[Unique CFDA], 0)), "")</f>
        <v/>
      </c>
      <c r="E67" s="40" t="str">
        <f>IFERROR(INDEX(MemberOrgs_SortedTable[President % Change], MATCH(B67, MemberOrgs_SortedTable[Unique CFDA], 0)), "")</f>
        <v/>
      </c>
      <c r="F67" s="39" t="str">
        <f>IFERROR(INDEX(MemberOrgs_SortedTable[President $ Change], MATCH(B67, MemberOrgs_SortedTable[Unique CFDA], 0)), "")</f>
        <v/>
      </c>
    </row>
    <row r="68" spans="2:6" x14ac:dyDescent="0.35">
      <c r="B68" s="47" t="str">
        <f>IFERROR(INDEX(MemberOrgs_SortedTable[Unique CFDA], MATCH(MemberOrgs_SortedTbl!P63, MemberOrgs_SortedTable[Final Pres. Sort], 0)), "")</f>
        <v/>
      </c>
      <c r="C68" s="35" t="str">
        <f>IFERROR(INDEX(MemberOrgs_SortedTable[Grant Name], MATCH(B68, MemberOrgs_SortedTable[Unique CFDA], 0)), "")</f>
        <v/>
      </c>
      <c r="D68" s="39" t="str">
        <f>IFERROR(INDEX(MemberOrgs_SortedTable[FY 2018 Total], MATCH(B68, MemberOrgs_SortedTable[Unique CFDA], 0)), "")</f>
        <v/>
      </c>
      <c r="E68" s="40" t="str">
        <f>IFERROR(INDEX(MemberOrgs_SortedTable[President % Change], MATCH(B68, MemberOrgs_SortedTable[Unique CFDA], 0)), "")</f>
        <v/>
      </c>
      <c r="F68" s="39" t="str">
        <f>IFERROR(INDEX(MemberOrgs_SortedTable[President $ Change], MATCH(B68, MemberOrgs_SortedTable[Unique CFDA], 0)), "")</f>
        <v/>
      </c>
    </row>
    <row r="69" spans="2:6" x14ac:dyDescent="0.35">
      <c r="B69" s="47" t="str">
        <f>IFERROR(INDEX(MemberOrgs_SortedTable[Unique CFDA], MATCH(MemberOrgs_SortedTbl!P64, MemberOrgs_SortedTable[Final Pres. Sort], 0)), "")</f>
        <v/>
      </c>
      <c r="C69" s="35" t="str">
        <f>IFERROR(INDEX(MemberOrgs_SortedTable[Grant Name], MATCH(B69, MemberOrgs_SortedTable[Unique CFDA], 0)), "")</f>
        <v/>
      </c>
      <c r="D69" s="39" t="str">
        <f>IFERROR(INDEX(MemberOrgs_SortedTable[FY 2018 Total], MATCH(B69, MemberOrgs_SortedTable[Unique CFDA], 0)), "")</f>
        <v/>
      </c>
      <c r="E69" s="40" t="str">
        <f>IFERROR(INDEX(MemberOrgs_SortedTable[President % Change], MATCH(B69, MemberOrgs_SortedTable[Unique CFDA], 0)), "")</f>
        <v/>
      </c>
      <c r="F69" s="39" t="str">
        <f>IFERROR(INDEX(MemberOrgs_SortedTable[President $ Change], MATCH(B69, MemberOrgs_SortedTable[Unique CFDA], 0)), "")</f>
        <v/>
      </c>
    </row>
    <row r="70" spans="2:6" x14ac:dyDescent="0.35">
      <c r="B70" s="47" t="str">
        <f>IFERROR(INDEX(MemberOrgs_SortedTable[Unique CFDA], MATCH(MemberOrgs_SortedTbl!P65, MemberOrgs_SortedTable[Final Pres. Sort], 0)), "")</f>
        <v/>
      </c>
      <c r="C70" s="35" t="str">
        <f>IFERROR(INDEX(MemberOrgs_SortedTable[Grant Name], MATCH(B70, MemberOrgs_SortedTable[Unique CFDA], 0)), "")</f>
        <v/>
      </c>
      <c r="D70" s="39" t="str">
        <f>IFERROR(INDEX(MemberOrgs_SortedTable[FY 2018 Total], MATCH(B70, MemberOrgs_SortedTable[Unique CFDA], 0)), "")</f>
        <v/>
      </c>
      <c r="E70" s="40" t="str">
        <f>IFERROR(INDEX(MemberOrgs_SortedTable[President % Change], MATCH(B70, MemberOrgs_SortedTable[Unique CFDA], 0)), "")</f>
        <v/>
      </c>
      <c r="F70" s="39" t="str">
        <f>IFERROR(INDEX(MemberOrgs_SortedTable[President $ Change], MATCH(B70, MemberOrgs_SortedTable[Unique CFDA], 0)), "")</f>
        <v/>
      </c>
    </row>
    <row r="71" spans="2:6" x14ac:dyDescent="0.35">
      <c r="B71" s="47" t="str">
        <f>IFERROR(INDEX(MemberOrgs_SortedTable[Unique CFDA], MATCH(MemberOrgs_SortedTbl!P66, MemberOrgs_SortedTable[Final Pres. Sort], 0)), "")</f>
        <v/>
      </c>
      <c r="C71" s="35" t="str">
        <f>IFERROR(INDEX(MemberOrgs_SortedTable[Grant Name], MATCH(B71, MemberOrgs_SortedTable[Unique CFDA], 0)), "")</f>
        <v/>
      </c>
      <c r="D71" s="39" t="str">
        <f>IFERROR(INDEX(MemberOrgs_SortedTable[FY 2018 Total], MATCH(B71, MemberOrgs_SortedTable[Unique CFDA], 0)), "")</f>
        <v/>
      </c>
      <c r="E71" s="40" t="str">
        <f>IFERROR(INDEX(MemberOrgs_SortedTable[President % Change], MATCH(B71, MemberOrgs_SortedTable[Unique CFDA], 0)), "")</f>
        <v/>
      </c>
      <c r="F71" s="39" t="str">
        <f>IFERROR(INDEX(MemberOrgs_SortedTable[President $ Change], MATCH(B71, MemberOrgs_SortedTable[Unique CFDA], 0)), "")</f>
        <v/>
      </c>
    </row>
    <row r="72" spans="2:6" x14ac:dyDescent="0.35">
      <c r="B72" s="47" t="str">
        <f>IFERROR(INDEX(MemberOrgs_SortedTable[Unique CFDA], MATCH(MemberOrgs_SortedTbl!P67, MemberOrgs_SortedTable[Final Pres. Sort], 0)), "")</f>
        <v/>
      </c>
      <c r="C72" s="35" t="str">
        <f>IFERROR(INDEX(MemberOrgs_SortedTable[Grant Name], MATCH(B72, MemberOrgs_SortedTable[Unique CFDA], 0)), "")</f>
        <v/>
      </c>
      <c r="D72" s="39" t="str">
        <f>IFERROR(INDEX(MemberOrgs_SortedTable[FY 2018 Total], MATCH(B72, MemberOrgs_SortedTable[Unique CFDA], 0)), "")</f>
        <v/>
      </c>
      <c r="E72" s="40" t="str">
        <f>IFERROR(INDEX(MemberOrgs_SortedTable[President % Change], MATCH(B72, MemberOrgs_SortedTable[Unique CFDA], 0)), "")</f>
        <v/>
      </c>
      <c r="F72" s="39" t="str">
        <f>IFERROR(INDEX(MemberOrgs_SortedTable[President $ Change], MATCH(B72, MemberOrgs_SortedTable[Unique CFDA], 0)), "")</f>
        <v/>
      </c>
    </row>
    <row r="73" spans="2:6" x14ac:dyDescent="0.35">
      <c r="B73" s="47" t="str">
        <f>IFERROR(INDEX(MemberOrgs_SortedTable[Unique CFDA], MATCH(MemberOrgs_SortedTbl!P68, MemberOrgs_SortedTable[Final Pres. Sort], 0)), "")</f>
        <v/>
      </c>
      <c r="C73" s="35" t="str">
        <f>IFERROR(INDEX(MemberOrgs_SortedTable[Grant Name], MATCH(B73, MemberOrgs_SortedTable[Unique CFDA], 0)), "")</f>
        <v/>
      </c>
      <c r="D73" s="39" t="str">
        <f>IFERROR(INDEX(MemberOrgs_SortedTable[FY 2018 Total], MATCH(B73, MemberOrgs_SortedTable[Unique CFDA], 0)), "")</f>
        <v/>
      </c>
      <c r="E73" s="40" t="str">
        <f>IFERROR(INDEX(MemberOrgs_SortedTable[President % Change], MATCH(B73, MemberOrgs_SortedTable[Unique CFDA], 0)), "")</f>
        <v/>
      </c>
      <c r="F73" s="39" t="str">
        <f>IFERROR(INDEX(MemberOrgs_SortedTable[President $ Change], MATCH(B73, MemberOrgs_SortedTable[Unique CFDA], 0)), "")</f>
        <v/>
      </c>
    </row>
    <row r="74" spans="2:6" x14ac:dyDescent="0.35">
      <c r="B74" s="47" t="str">
        <f>IFERROR(INDEX(MemberOrgs_SortedTable[Unique CFDA], MATCH(MemberOrgs_SortedTbl!P69, MemberOrgs_SortedTable[Final Pres. Sort], 0)), "")</f>
        <v/>
      </c>
      <c r="C74" s="35" t="str">
        <f>IFERROR(INDEX(MemberOrgs_SortedTable[Grant Name], MATCH(B74, MemberOrgs_SortedTable[Unique CFDA], 0)), "")</f>
        <v/>
      </c>
      <c r="D74" s="39" t="str">
        <f>IFERROR(INDEX(MemberOrgs_SortedTable[FY 2018 Total], MATCH(B74, MemberOrgs_SortedTable[Unique CFDA], 0)), "")</f>
        <v/>
      </c>
      <c r="E74" s="40" t="str">
        <f>IFERROR(INDEX(MemberOrgs_SortedTable[President % Change], MATCH(B74, MemberOrgs_SortedTable[Unique CFDA], 0)), "")</f>
        <v/>
      </c>
      <c r="F74" s="39" t="str">
        <f>IFERROR(INDEX(MemberOrgs_SortedTable[President $ Change], MATCH(B74, MemberOrgs_SortedTable[Unique CFDA], 0)), "")</f>
        <v/>
      </c>
    </row>
    <row r="75" spans="2:6" x14ac:dyDescent="0.35">
      <c r="B75" s="47" t="str">
        <f>IFERROR(INDEX(MemberOrgs_SortedTable[Unique CFDA], MATCH(MemberOrgs_SortedTbl!P70, MemberOrgs_SortedTable[Final Pres. Sort], 0)), "")</f>
        <v/>
      </c>
      <c r="C75" s="35" t="str">
        <f>IFERROR(INDEX(MemberOrgs_SortedTable[Grant Name], MATCH(B75, MemberOrgs_SortedTable[Unique CFDA], 0)), "")</f>
        <v/>
      </c>
      <c r="D75" s="39" t="str">
        <f>IFERROR(INDEX(MemberOrgs_SortedTable[FY 2018 Total], MATCH(B75, MemberOrgs_SortedTable[Unique CFDA], 0)), "")</f>
        <v/>
      </c>
      <c r="E75" s="40" t="str">
        <f>IFERROR(INDEX(MemberOrgs_SortedTable[President % Change], MATCH(B75, MemberOrgs_SortedTable[Unique CFDA], 0)), "")</f>
        <v/>
      </c>
      <c r="F75" s="39" t="str">
        <f>IFERROR(INDEX(MemberOrgs_SortedTable[President $ Change], MATCH(B75, MemberOrgs_SortedTable[Unique CFDA], 0)), "")</f>
        <v/>
      </c>
    </row>
    <row r="76" spans="2:6" x14ac:dyDescent="0.35">
      <c r="B76" s="47" t="str">
        <f>IFERROR(INDEX(MemberOrgs_SortedTable[Unique CFDA], MATCH(MemberOrgs_SortedTbl!P71, MemberOrgs_SortedTable[Final Pres. Sort], 0)), "")</f>
        <v/>
      </c>
      <c r="C76" s="35" t="str">
        <f>IFERROR(INDEX(MemberOrgs_SortedTable[Grant Name], MATCH(B76, MemberOrgs_SortedTable[Unique CFDA], 0)), "")</f>
        <v/>
      </c>
      <c r="D76" s="39" t="str">
        <f>IFERROR(INDEX(MemberOrgs_SortedTable[FY 2018 Total], MATCH(B76, MemberOrgs_SortedTable[Unique CFDA], 0)), "")</f>
        <v/>
      </c>
      <c r="E76" s="40" t="str">
        <f>IFERROR(INDEX(MemberOrgs_SortedTable[President % Change], MATCH(B76, MemberOrgs_SortedTable[Unique CFDA], 0)), "")</f>
        <v/>
      </c>
      <c r="F76" s="39" t="str">
        <f>IFERROR(INDEX(MemberOrgs_SortedTable[President $ Change], MATCH(B76, MemberOrgs_SortedTable[Unique CFDA], 0)), "")</f>
        <v/>
      </c>
    </row>
    <row r="77" spans="2:6" x14ac:dyDescent="0.35">
      <c r="B77" s="47" t="str">
        <f>IFERROR(INDEX(MemberOrgs_SortedTable[Unique CFDA], MATCH(MemberOrgs_SortedTbl!P72, MemberOrgs_SortedTable[Final Pres. Sort], 0)), "")</f>
        <v/>
      </c>
      <c r="C77" s="35" t="str">
        <f>IFERROR(INDEX(MemberOrgs_SortedTable[Grant Name], MATCH(B77, MemberOrgs_SortedTable[Unique CFDA], 0)), "")</f>
        <v/>
      </c>
      <c r="D77" s="39" t="str">
        <f>IFERROR(INDEX(MemberOrgs_SortedTable[FY 2018 Total], MATCH(B77, MemberOrgs_SortedTable[Unique CFDA], 0)), "")</f>
        <v/>
      </c>
      <c r="E77" s="40" t="str">
        <f>IFERROR(INDEX(MemberOrgs_SortedTable[President % Change], MATCH(B77, MemberOrgs_SortedTable[Unique CFDA], 0)), "")</f>
        <v/>
      </c>
      <c r="F77" s="39" t="str">
        <f>IFERROR(INDEX(MemberOrgs_SortedTable[President $ Change], MATCH(B77, MemberOrgs_SortedTable[Unique CFDA], 0)), "")</f>
        <v/>
      </c>
    </row>
    <row r="78" spans="2:6" x14ac:dyDescent="0.35">
      <c r="B78" s="47" t="str">
        <f>IFERROR(INDEX(MemberOrgs_SortedTable[Unique CFDA], MATCH(MemberOrgs_SortedTbl!P73, MemberOrgs_SortedTable[Final Pres. Sort], 0)), "")</f>
        <v/>
      </c>
      <c r="C78" s="35" t="str">
        <f>IFERROR(INDEX(MemberOrgs_SortedTable[Grant Name], MATCH(B78, MemberOrgs_SortedTable[Unique CFDA], 0)), "")</f>
        <v/>
      </c>
      <c r="D78" s="39" t="str">
        <f>IFERROR(INDEX(MemberOrgs_SortedTable[FY 2018 Total], MATCH(B78, MemberOrgs_SortedTable[Unique CFDA], 0)), "")</f>
        <v/>
      </c>
      <c r="E78" s="40" t="str">
        <f>IFERROR(INDEX(MemberOrgs_SortedTable[President % Change], MATCH(B78, MemberOrgs_SortedTable[Unique CFDA], 0)), "")</f>
        <v/>
      </c>
      <c r="F78" s="39" t="str">
        <f>IFERROR(INDEX(MemberOrgs_SortedTable[President $ Change], MATCH(B78, MemberOrgs_SortedTable[Unique CFDA], 0)), "")</f>
        <v/>
      </c>
    </row>
    <row r="79" spans="2:6" x14ac:dyDescent="0.35">
      <c r="B79" s="47" t="str">
        <f>IFERROR(INDEX(MemberOrgs_SortedTable[Unique CFDA], MATCH(MemberOrgs_SortedTbl!P74, MemberOrgs_SortedTable[Final Pres. Sort], 0)), "")</f>
        <v/>
      </c>
      <c r="C79" s="35" t="str">
        <f>IFERROR(INDEX(MemberOrgs_SortedTable[Grant Name], MATCH(B79, MemberOrgs_SortedTable[Unique CFDA], 0)), "")</f>
        <v/>
      </c>
      <c r="D79" s="39" t="str">
        <f>IFERROR(INDEX(MemberOrgs_SortedTable[FY 2018 Total], MATCH(B79, MemberOrgs_SortedTable[Unique CFDA], 0)), "")</f>
        <v/>
      </c>
      <c r="E79" s="40" t="str">
        <f>IFERROR(INDEX(MemberOrgs_SortedTable[President % Change], MATCH(B79, MemberOrgs_SortedTable[Unique CFDA], 0)), "")</f>
        <v/>
      </c>
      <c r="F79" s="39" t="str">
        <f>IFERROR(INDEX(MemberOrgs_SortedTable[President $ Change], MATCH(B79, MemberOrgs_SortedTable[Unique CFDA], 0)), "")</f>
        <v/>
      </c>
    </row>
    <row r="80" spans="2:6" x14ac:dyDescent="0.35">
      <c r="B80" s="47" t="str">
        <f>IFERROR(INDEX(MemberOrgs_SortedTable[Unique CFDA], MATCH(MemberOrgs_SortedTbl!P75, MemberOrgs_SortedTable[Final Pres. Sort], 0)), "")</f>
        <v/>
      </c>
      <c r="C80" s="35" t="str">
        <f>IFERROR(INDEX(MemberOrgs_SortedTable[Grant Name], MATCH(B80, MemberOrgs_SortedTable[Unique CFDA], 0)), "")</f>
        <v/>
      </c>
      <c r="D80" s="39" t="str">
        <f>IFERROR(INDEX(MemberOrgs_SortedTable[FY 2018 Total], MATCH(B80, MemberOrgs_SortedTable[Unique CFDA], 0)), "")</f>
        <v/>
      </c>
      <c r="E80" s="40" t="str">
        <f>IFERROR(INDEX(MemberOrgs_SortedTable[President % Change], MATCH(B80, MemberOrgs_SortedTable[Unique CFDA], 0)), "")</f>
        <v/>
      </c>
      <c r="F80" s="39" t="str">
        <f>IFERROR(INDEX(MemberOrgs_SortedTable[President $ Change], MATCH(B80, MemberOrgs_SortedTable[Unique CFDA], 0)), "")</f>
        <v/>
      </c>
    </row>
    <row r="81" spans="2:6" x14ac:dyDescent="0.35">
      <c r="B81" s="47" t="str">
        <f>IFERROR(INDEX(MemberOrgs_SortedTable[Unique CFDA], MATCH(MemberOrgs_SortedTbl!P76, MemberOrgs_SortedTable[Final Pres. Sort], 0)), "")</f>
        <v/>
      </c>
      <c r="C81" s="35" t="str">
        <f>IFERROR(INDEX(MemberOrgs_SortedTable[Grant Name], MATCH(B81, MemberOrgs_SortedTable[Unique CFDA], 0)), "")</f>
        <v/>
      </c>
      <c r="D81" s="39" t="str">
        <f>IFERROR(INDEX(MemberOrgs_SortedTable[FY 2018 Total], MATCH(B81, MemberOrgs_SortedTable[Unique CFDA], 0)), "")</f>
        <v/>
      </c>
      <c r="E81" s="40" t="str">
        <f>IFERROR(INDEX(MemberOrgs_SortedTable[President % Change], MATCH(B81, MemberOrgs_SortedTable[Unique CFDA], 0)), "")</f>
        <v/>
      </c>
      <c r="F81" s="39" t="str">
        <f>IFERROR(INDEX(MemberOrgs_SortedTable[President $ Change], MATCH(B81, MemberOrgs_SortedTable[Unique CFDA], 0)), "")</f>
        <v/>
      </c>
    </row>
    <row r="82" spans="2:6" x14ac:dyDescent="0.35">
      <c r="B82" s="47" t="str">
        <f>IFERROR(INDEX(MemberOrgs_SortedTable[Unique CFDA], MATCH(MemberOrgs_SortedTbl!P77, MemberOrgs_SortedTable[Final Pres. Sort], 0)), "")</f>
        <v/>
      </c>
      <c r="C82" s="35" t="str">
        <f>IFERROR(INDEX(MemberOrgs_SortedTable[Grant Name], MATCH(B82, MemberOrgs_SortedTable[Unique CFDA], 0)), "")</f>
        <v/>
      </c>
      <c r="D82" s="39" t="str">
        <f>IFERROR(INDEX(MemberOrgs_SortedTable[FY 2018 Total], MATCH(B82, MemberOrgs_SortedTable[Unique CFDA], 0)), "")</f>
        <v/>
      </c>
      <c r="E82" s="40" t="str">
        <f>IFERROR(INDEX(MemberOrgs_SortedTable[President % Change], MATCH(B82, MemberOrgs_SortedTable[Unique CFDA], 0)), "")</f>
        <v/>
      </c>
      <c r="F82" s="39" t="str">
        <f>IFERROR(INDEX(MemberOrgs_SortedTable[President $ Change], MATCH(B82, MemberOrgs_SortedTable[Unique CFDA], 0)), "")</f>
        <v/>
      </c>
    </row>
    <row r="83" spans="2:6" x14ac:dyDescent="0.35">
      <c r="B83" s="47" t="str">
        <f>IFERROR(INDEX(MemberOrgs_SortedTable[Unique CFDA], MATCH(MemberOrgs_SortedTbl!P78, MemberOrgs_SortedTable[Final Pres. Sort], 0)), "")</f>
        <v/>
      </c>
      <c r="C83" s="35" t="str">
        <f>IFERROR(INDEX(MemberOrgs_SortedTable[Grant Name], MATCH(B83, MemberOrgs_SortedTable[Unique CFDA], 0)), "")</f>
        <v/>
      </c>
      <c r="D83" s="39" t="str">
        <f>IFERROR(INDEX(MemberOrgs_SortedTable[FY 2018 Total], MATCH(B83, MemberOrgs_SortedTable[Unique CFDA], 0)), "")</f>
        <v/>
      </c>
      <c r="E83" s="40" t="str">
        <f>IFERROR(INDEX(MemberOrgs_SortedTable[President % Change], MATCH(B83, MemberOrgs_SortedTable[Unique CFDA], 0)), "")</f>
        <v/>
      </c>
      <c r="F83" s="39" t="str">
        <f>IFERROR(INDEX(MemberOrgs_SortedTable[President $ Change], MATCH(B83, MemberOrgs_SortedTable[Unique CFDA], 0)), "")</f>
        <v/>
      </c>
    </row>
    <row r="84" spans="2:6" x14ac:dyDescent="0.35">
      <c r="B84" s="47" t="str">
        <f>IFERROR(INDEX(MemberOrgs_SortedTable[Unique CFDA], MATCH(MemberOrgs_SortedTbl!P79, MemberOrgs_SortedTable[Final Pres. Sort], 0)), "")</f>
        <v/>
      </c>
      <c r="C84" s="35" t="str">
        <f>IFERROR(INDEX(MemberOrgs_SortedTable[Grant Name], MATCH(B84, MemberOrgs_SortedTable[Unique CFDA], 0)), "")</f>
        <v/>
      </c>
      <c r="D84" s="39" t="str">
        <f>IFERROR(INDEX(MemberOrgs_SortedTable[FY 2018 Total], MATCH(B84, MemberOrgs_SortedTable[Unique CFDA], 0)), "")</f>
        <v/>
      </c>
      <c r="E84" s="40" t="str">
        <f>IFERROR(INDEX(MemberOrgs_SortedTable[President % Change], MATCH(B84, MemberOrgs_SortedTable[Unique CFDA], 0)), "")</f>
        <v/>
      </c>
      <c r="F84" s="39" t="str">
        <f>IFERROR(INDEX(MemberOrgs_SortedTable[President $ Change], MATCH(B84, MemberOrgs_SortedTable[Unique CFDA], 0)), "")</f>
        <v/>
      </c>
    </row>
    <row r="85" spans="2:6" x14ac:dyDescent="0.35">
      <c r="B85" s="47" t="str">
        <f>IFERROR(INDEX(MemberOrgs_SortedTable[Unique CFDA], MATCH(MemberOrgs_SortedTbl!P80, MemberOrgs_SortedTable[Final Pres. Sort], 0)), "")</f>
        <v/>
      </c>
      <c r="C85" s="35" t="str">
        <f>IFERROR(INDEX(MemberOrgs_SortedTable[Grant Name], MATCH(B85, MemberOrgs_SortedTable[Unique CFDA], 0)), "")</f>
        <v/>
      </c>
      <c r="D85" s="39" t="str">
        <f>IFERROR(INDEX(MemberOrgs_SortedTable[FY 2018 Total], MATCH(B85, MemberOrgs_SortedTable[Unique CFDA], 0)), "")</f>
        <v/>
      </c>
      <c r="E85" s="40" t="str">
        <f>IFERROR(INDEX(MemberOrgs_SortedTable[President % Change], MATCH(B85, MemberOrgs_SortedTable[Unique CFDA], 0)), "")</f>
        <v/>
      </c>
      <c r="F85" s="39" t="str">
        <f>IFERROR(INDEX(MemberOrgs_SortedTable[President $ Change], MATCH(B85, MemberOrgs_SortedTable[Unique CFDA], 0)), "")</f>
        <v/>
      </c>
    </row>
    <row r="86" spans="2:6" x14ac:dyDescent="0.35">
      <c r="B86" s="47" t="str">
        <f>IFERROR(INDEX(MemberOrgs_SortedTable[Unique CFDA], MATCH(MemberOrgs_SortedTbl!P81, MemberOrgs_SortedTable[Final Pres. Sort], 0)), "")</f>
        <v/>
      </c>
      <c r="C86" s="35" t="str">
        <f>IFERROR(INDEX(MemberOrgs_SortedTable[Grant Name], MATCH(B86, MemberOrgs_SortedTable[Unique CFDA], 0)), "")</f>
        <v/>
      </c>
      <c r="D86" s="39" t="str">
        <f>IFERROR(INDEX(MemberOrgs_SortedTable[FY 2018 Total], MATCH(B86, MemberOrgs_SortedTable[Unique CFDA], 0)), "")</f>
        <v/>
      </c>
      <c r="E86" s="40" t="str">
        <f>IFERROR(INDEX(MemberOrgs_SortedTable[President % Change], MATCH(B86, MemberOrgs_SortedTable[Unique CFDA], 0)), "")</f>
        <v/>
      </c>
      <c r="F86" s="39" t="str">
        <f>IFERROR(INDEX(MemberOrgs_SortedTable[President $ Change], MATCH(B86, MemberOrgs_SortedTable[Unique CFDA], 0)), "")</f>
        <v/>
      </c>
    </row>
    <row r="87" spans="2:6" x14ac:dyDescent="0.35">
      <c r="B87" s="47" t="str">
        <f>IFERROR(INDEX(MemberOrgs_SortedTable[Unique CFDA], MATCH(MemberOrgs_SortedTbl!P82, MemberOrgs_SortedTable[Final Pres. Sort], 0)), "")</f>
        <v/>
      </c>
      <c r="C87" s="35" t="str">
        <f>IFERROR(INDEX(MemberOrgs_SortedTable[Grant Name], MATCH(B87, MemberOrgs_SortedTable[Unique CFDA], 0)), "")</f>
        <v/>
      </c>
      <c r="D87" s="39" t="str">
        <f>IFERROR(INDEX(MemberOrgs_SortedTable[FY 2018 Total], MATCH(B87, MemberOrgs_SortedTable[Unique CFDA], 0)), "")</f>
        <v/>
      </c>
      <c r="E87" s="40" t="str">
        <f>IFERROR(INDEX(MemberOrgs_SortedTable[President % Change], MATCH(B87, MemberOrgs_SortedTable[Unique CFDA], 0)), "")</f>
        <v/>
      </c>
      <c r="F87" s="39" t="str">
        <f>IFERROR(INDEX(MemberOrgs_SortedTable[President $ Change], MATCH(B87, MemberOrgs_SortedTable[Unique CFDA], 0)), "")</f>
        <v/>
      </c>
    </row>
    <row r="88" spans="2:6" x14ac:dyDescent="0.35">
      <c r="B88" s="47" t="str">
        <f>IFERROR(INDEX(MemberOrgs_SortedTable[Unique CFDA], MATCH(MemberOrgs_SortedTbl!P83, MemberOrgs_SortedTable[Final Pres. Sort], 0)), "")</f>
        <v/>
      </c>
      <c r="C88" s="35" t="str">
        <f>IFERROR(INDEX(MemberOrgs_SortedTable[Grant Name], MATCH(B88, MemberOrgs_SortedTable[Unique CFDA], 0)), "")</f>
        <v/>
      </c>
      <c r="D88" s="39" t="str">
        <f>IFERROR(INDEX(MemberOrgs_SortedTable[FY 2018 Total], MATCH(B88, MemberOrgs_SortedTable[Unique CFDA], 0)), "")</f>
        <v/>
      </c>
      <c r="E88" s="40" t="str">
        <f>IFERROR(INDEX(MemberOrgs_SortedTable[President % Change], MATCH(B88, MemberOrgs_SortedTable[Unique CFDA], 0)), "")</f>
        <v/>
      </c>
      <c r="F88" s="39" t="str">
        <f>IFERROR(INDEX(MemberOrgs_SortedTable[President $ Change], MATCH(B88, MemberOrgs_SortedTable[Unique CFDA], 0)), "")</f>
        <v/>
      </c>
    </row>
    <row r="89" spans="2:6" x14ac:dyDescent="0.35">
      <c r="B89" s="47" t="str">
        <f>IFERROR(INDEX(MemberOrgs_SortedTable[Unique CFDA], MATCH(MemberOrgs_SortedTbl!P84, MemberOrgs_SortedTable[Final Pres. Sort], 0)), "")</f>
        <v/>
      </c>
      <c r="C89" s="35" t="str">
        <f>IFERROR(INDEX(MemberOrgs_SortedTable[Grant Name], MATCH(B89, MemberOrgs_SortedTable[Unique CFDA], 0)), "")</f>
        <v/>
      </c>
      <c r="D89" s="39" t="str">
        <f>IFERROR(INDEX(MemberOrgs_SortedTable[FY 2018 Total], MATCH(B89, MemberOrgs_SortedTable[Unique CFDA], 0)), "")</f>
        <v/>
      </c>
      <c r="E89" s="40" t="str">
        <f>IFERROR(INDEX(MemberOrgs_SortedTable[President % Change], MATCH(B89, MemberOrgs_SortedTable[Unique CFDA], 0)), "")</f>
        <v/>
      </c>
      <c r="F89" s="39" t="str">
        <f>IFERROR(INDEX(MemberOrgs_SortedTable[President $ Change], MATCH(B89, MemberOrgs_SortedTable[Unique CFDA], 0)), "")</f>
        <v/>
      </c>
    </row>
    <row r="90" spans="2:6" x14ac:dyDescent="0.35">
      <c r="B90" s="47" t="str">
        <f>IFERROR(INDEX(MemberOrgs_SortedTable[Unique CFDA], MATCH(MemberOrgs_SortedTbl!P85, MemberOrgs_SortedTable[Final Pres. Sort], 0)), "")</f>
        <v/>
      </c>
      <c r="C90" s="35" t="str">
        <f>IFERROR(INDEX(MemberOrgs_SortedTable[Grant Name], MATCH(B90, MemberOrgs_SortedTable[Unique CFDA], 0)), "")</f>
        <v/>
      </c>
      <c r="D90" s="39" t="str">
        <f>IFERROR(INDEX(MemberOrgs_SortedTable[FY 2018 Total], MATCH(B90, MemberOrgs_SortedTable[Unique CFDA], 0)), "")</f>
        <v/>
      </c>
      <c r="E90" s="40" t="str">
        <f>IFERROR(INDEX(MemberOrgs_SortedTable[President % Change], MATCH(B90, MemberOrgs_SortedTable[Unique CFDA], 0)), "")</f>
        <v/>
      </c>
      <c r="F90" s="39" t="str">
        <f>IFERROR(INDEX(MemberOrgs_SortedTable[President $ Change], MATCH(B90, MemberOrgs_SortedTable[Unique CFDA], 0)), "")</f>
        <v/>
      </c>
    </row>
    <row r="91" spans="2:6" x14ac:dyDescent="0.35">
      <c r="B91" s="47" t="str">
        <f>IFERROR(INDEX(MemberOrgs_SortedTable[Unique CFDA], MATCH(MemberOrgs_SortedTbl!P86, MemberOrgs_SortedTable[Final Pres. Sort], 0)), "")</f>
        <v/>
      </c>
      <c r="C91" s="35" t="str">
        <f>IFERROR(INDEX(MemberOrgs_SortedTable[Grant Name], MATCH(B91, MemberOrgs_SortedTable[Unique CFDA], 0)), "")</f>
        <v/>
      </c>
      <c r="D91" s="39" t="str">
        <f>IFERROR(INDEX(MemberOrgs_SortedTable[FY 2018 Total], MATCH(B91, MemberOrgs_SortedTable[Unique CFDA], 0)), "")</f>
        <v/>
      </c>
      <c r="E91" s="40" t="str">
        <f>IFERROR(INDEX(MemberOrgs_SortedTable[President % Change], MATCH(B91, MemberOrgs_SortedTable[Unique CFDA], 0)), "")</f>
        <v/>
      </c>
      <c r="F91" s="39" t="str">
        <f>IFERROR(INDEX(MemberOrgs_SortedTable[President $ Change], MATCH(B91, MemberOrgs_SortedTable[Unique CFDA], 0)), "")</f>
        <v/>
      </c>
    </row>
    <row r="92" spans="2:6" x14ac:dyDescent="0.35">
      <c r="B92" s="47" t="str">
        <f>IFERROR(INDEX(MemberOrgs_SortedTable[Unique CFDA], MATCH(MemberOrgs_SortedTbl!P87, MemberOrgs_SortedTable[Final Pres. Sort], 0)), "")</f>
        <v/>
      </c>
      <c r="C92" s="35" t="str">
        <f>IFERROR(INDEX(MemberOrgs_SortedTable[Grant Name], MATCH(B92, MemberOrgs_SortedTable[Unique CFDA], 0)), "")</f>
        <v/>
      </c>
      <c r="D92" s="39" t="str">
        <f>IFERROR(INDEX(MemberOrgs_SortedTable[FY 2018 Total], MATCH(B92, MemberOrgs_SortedTable[Unique CFDA], 0)), "")</f>
        <v/>
      </c>
      <c r="E92" s="40" t="str">
        <f>IFERROR(INDEX(MemberOrgs_SortedTable[President % Change], MATCH(B92, MemberOrgs_SortedTable[Unique CFDA], 0)), "")</f>
        <v/>
      </c>
      <c r="F92" s="39" t="str">
        <f>IFERROR(INDEX(MemberOrgs_SortedTable[President $ Change], MATCH(B92, MemberOrgs_SortedTable[Unique CFDA], 0)), "")</f>
        <v/>
      </c>
    </row>
    <row r="93" spans="2:6" x14ac:dyDescent="0.35">
      <c r="B93" s="47" t="str">
        <f>IFERROR(INDEX(MemberOrgs_SortedTable[Unique CFDA], MATCH(MemberOrgs_SortedTbl!P88, MemberOrgs_SortedTable[Final Pres. Sort], 0)), "")</f>
        <v/>
      </c>
      <c r="C93" s="35" t="str">
        <f>IFERROR(INDEX(MemberOrgs_SortedTable[Grant Name], MATCH(B93, MemberOrgs_SortedTable[Unique CFDA], 0)), "")</f>
        <v/>
      </c>
      <c r="D93" s="39" t="str">
        <f>IFERROR(INDEX(MemberOrgs_SortedTable[FY 2018 Total], MATCH(B93, MemberOrgs_SortedTable[Unique CFDA], 0)), "")</f>
        <v/>
      </c>
      <c r="E93" s="40" t="str">
        <f>IFERROR(INDEX(MemberOrgs_SortedTable[President % Change], MATCH(B93, MemberOrgs_SortedTable[Unique CFDA], 0)), "")</f>
        <v/>
      </c>
      <c r="F93" s="39" t="str">
        <f>IFERROR(INDEX(MemberOrgs_SortedTable[President $ Change], MATCH(B93, MemberOrgs_SortedTable[Unique CFDA], 0)), "")</f>
        <v/>
      </c>
    </row>
    <row r="94" spans="2:6" x14ac:dyDescent="0.35">
      <c r="B94" s="47" t="str">
        <f>IFERROR(INDEX(MemberOrgs_SortedTable[Unique CFDA], MATCH(MemberOrgs_SortedTbl!P89, MemberOrgs_SortedTable[Final Pres. Sort], 0)), "")</f>
        <v/>
      </c>
      <c r="C94" s="35" t="str">
        <f>IFERROR(INDEX(MemberOrgs_SortedTable[Grant Name], MATCH(B94, MemberOrgs_SortedTable[Unique CFDA], 0)), "")</f>
        <v/>
      </c>
      <c r="D94" s="39" t="str">
        <f>IFERROR(INDEX(MemberOrgs_SortedTable[FY 2018 Total], MATCH(B94, MemberOrgs_SortedTable[Unique CFDA], 0)), "")</f>
        <v/>
      </c>
      <c r="E94" s="40" t="str">
        <f>IFERROR(INDEX(MemberOrgs_SortedTable[President % Change], MATCH(B94, MemberOrgs_SortedTable[Unique CFDA], 0)), "")</f>
        <v/>
      </c>
      <c r="F94" s="39" t="str">
        <f>IFERROR(INDEX(MemberOrgs_SortedTable[President $ Change], MATCH(B94, MemberOrgs_SortedTable[Unique CFDA], 0)), "")</f>
        <v/>
      </c>
    </row>
    <row r="95" spans="2:6" x14ac:dyDescent="0.35">
      <c r="B95" s="47" t="str">
        <f>IFERROR(INDEX(MemberOrgs_SortedTable[Unique CFDA], MATCH(MemberOrgs_SortedTbl!P90, MemberOrgs_SortedTable[Final Pres. Sort], 0)), "")</f>
        <v/>
      </c>
      <c r="C95" s="35" t="str">
        <f>IFERROR(INDEX(MemberOrgs_SortedTable[Grant Name], MATCH(B95, MemberOrgs_SortedTable[Unique CFDA], 0)), "")</f>
        <v/>
      </c>
      <c r="D95" s="39" t="str">
        <f>IFERROR(INDEX(MemberOrgs_SortedTable[FY 2018 Total], MATCH(B95, MemberOrgs_SortedTable[Unique CFDA], 0)), "")</f>
        <v/>
      </c>
      <c r="E95" s="40" t="str">
        <f>IFERROR(INDEX(MemberOrgs_SortedTable[President % Change], MATCH(B95, MemberOrgs_SortedTable[Unique CFDA], 0)), "")</f>
        <v/>
      </c>
      <c r="F95" s="39" t="str">
        <f>IFERROR(INDEX(MemberOrgs_SortedTable[President $ Change], MATCH(B95, MemberOrgs_SortedTable[Unique CFDA], 0)), "")</f>
        <v/>
      </c>
    </row>
    <row r="96" spans="2:6" x14ac:dyDescent="0.35">
      <c r="B96" s="47" t="str">
        <f>IFERROR(INDEX(MemberOrgs_SortedTable[Unique CFDA], MATCH(MemberOrgs_SortedTbl!P91, MemberOrgs_SortedTable[Final Pres. Sort], 0)), "")</f>
        <v/>
      </c>
      <c r="C96" s="35" t="str">
        <f>IFERROR(INDEX(MemberOrgs_SortedTable[Grant Name], MATCH(B96, MemberOrgs_SortedTable[Unique CFDA], 0)), "")</f>
        <v/>
      </c>
      <c r="D96" s="39" t="str">
        <f>IFERROR(INDEX(MemberOrgs_SortedTable[FY 2018 Total], MATCH(B96, MemberOrgs_SortedTable[Unique CFDA], 0)), "")</f>
        <v/>
      </c>
      <c r="E96" s="40" t="str">
        <f>IFERROR(INDEX(MemberOrgs_SortedTable[President % Change], MATCH(B96, MemberOrgs_SortedTable[Unique CFDA], 0)), "")</f>
        <v/>
      </c>
      <c r="F96" s="39" t="str">
        <f>IFERROR(INDEX(MemberOrgs_SortedTable[President $ Change], MATCH(B96, MemberOrgs_SortedTable[Unique CFDA], 0)), "")</f>
        <v/>
      </c>
    </row>
    <row r="97" spans="2:6" x14ac:dyDescent="0.35">
      <c r="B97" s="47" t="str">
        <f>IFERROR(INDEX(MemberOrgs_SortedTable[Unique CFDA], MATCH(MemberOrgs_SortedTbl!P92, MemberOrgs_SortedTable[Final Pres. Sort], 0)), "")</f>
        <v/>
      </c>
      <c r="C97" s="35" t="str">
        <f>IFERROR(INDEX(MemberOrgs_SortedTable[Grant Name], MATCH(B97, MemberOrgs_SortedTable[Unique CFDA], 0)), "")</f>
        <v/>
      </c>
      <c r="D97" s="39" t="str">
        <f>IFERROR(INDEX(MemberOrgs_SortedTable[FY 2018 Total], MATCH(B97, MemberOrgs_SortedTable[Unique CFDA], 0)), "")</f>
        <v/>
      </c>
      <c r="E97" s="40" t="str">
        <f>IFERROR(INDEX(MemberOrgs_SortedTable[President % Change], MATCH(B97, MemberOrgs_SortedTable[Unique CFDA], 0)), "")</f>
        <v/>
      </c>
      <c r="F97" s="39" t="str">
        <f>IFERROR(INDEX(MemberOrgs_SortedTable[President $ Change], MATCH(B97, MemberOrgs_SortedTable[Unique CFDA], 0)), "")</f>
        <v/>
      </c>
    </row>
    <row r="98" spans="2:6" x14ac:dyDescent="0.35">
      <c r="B98" s="47" t="str">
        <f>IFERROR(INDEX(MemberOrgs_SortedTable[Unique CFDA], MATCH(MemberOrgs_SortedTbl!P93, MemberOrgs_SortedTable[Final Pres. Sort], 0)), "")</f>
        <v/>
      </c>
      <c r="C98" s="35" t="str">
        <f>IFERROR(INDEX(MemberOrgs_SortedTable[Grant Name], MATCH(B98, MemberOrgs_SortedTable[Unique CFDA], 0)), "")</f>
        <v/>
      </c>
      <c r="D98" s="39" t="str">
        <f>IFERROR(INDEX(MemberOrgs_SortedTable[FY 2018 Total], MATCH(B98, MemberOrgs_SortedTable[Unique CFDA], 0)), "")</f>
        <v/>
      </c>
      <c r="E98" s="40" t="str">
        <f>IFERROR(INDEX(MemberOrgs_SortedTable[President % Change], MATCH(B98, MemberOrgs_SortedTable[Unique CFDA], 0)), "")</f>
        <v/>
      </c>
      <c r="F98" s="39" t="str">
        <f>IFERROR(INDEX(MemberOrgs_SortedTable[President $ Change], MATCH(B98, MemberOrgs_SortedTable[Unique CFDA], 0)), "")</f>
        <v/>
      </c>
    </row>
    <row r="99" spans="2:6" x14ac:dyDescent="0.35">
      <c r="B99" s="47" t="str">
        <f>IFERROR(INDEX(MemberOrgs_SortedTable[Unique CFDA], MATCH(MemberOrgs_SortedTbl!P94, MemberOrgs_SortedTable[Final Pres. Sort], 0)), "")</f>
        <v/>
      </c>
      <c r="C99" s="35" t="str">
        <f>IFERROR(INDEX(MemberOrgs_SortedTable[Grant Name], MATCH(B99, MemberOrgs_SortedTable[Unique CFDA], 0)), "")</f>
        <v/>
      </c>
      <c r="D99" s="39" t="str">
        <f>IFERROR(INDEX(MemberOrgs_SortedTable[FY 2018 Total], MATCH(B99, MemberOrgs_SortedTable[Unique CFDA], 0)), "")</f>
        <v/>
      </c>
      <c r="E99" s="40" t="str">
        <f>IFERROR(INDEX(MemberOrgs_SortedTable[President % Change], MATCH(B99, MemberOrgs_SortedTable[Unique CFDA], 0)), "")</f>
        <v/>
      </c>
      <c r="F99" s="39" t="str">
        <f>IFERROR(INDEX(MemberOrgs_SortedTable[President $ Change], MATCH(B99, MemberOrgs_SortedTable[Unique CFDA], 0)), "")</f>
        <v/>
      </c>
    </row>
    <row r="100" spans="2:6" x14ac:dyDescent="0.35">
      <c r="B100" s="47" t="str">
        <f>IFERROR(INDEX(MemberOrgs_SortedTable[Unique CFDA], MATCH(MemberOrgs_SortedTbl!P95, MemberOrgs_SortedTable[Final Pres. Sort], 0)), "")</f>
        <v/>
      </c>
      <c r="C100" s="35" t="str">
        <f>IFERROR(INDEX(MemberOrgs_SortedTable[Grant Name], MATCH(B100, MemberOrgs_SortedTable[Unique CFDA], 0)), "")</f>
        <v/>
      </c>
      <c r="D100" s="39" t="str">
        <f>IFERROR(INDEX(MemberOrgs_SortedTable[FY 2018 Total], MATCH(B100, MemberOrgs_SortedTable[Unique CFDA], 0)), "")</f>
        <v/>
      </c>
      <c r="E100" s="40" t="str">
        <f>IFERROR(INDEX(MemberOrgs_SortedTable[President % Change], MATCH(B100, MemberOrgs_SortedTable[Unique CFDA], 0)), "")</f>
        <v/>
      </c>
      <c r="F100" s="39" t="str">
        <f>IFERROR(INDEX(MemberOrgs_SortedTable[President $ Change], MATCH(B100, MemberOrgs_SortedTable[Unique CFDA], 0)), "")</f>
        <v/>
      </c>
    </row>
    <row r="101" spans="2:6" x14ac:dyDescent="0.35">
      <c r="B101" s="47" t="str">
        <f>IFERROR(INDEX(MemberOrgs_SortedTable[Unique CFDA], MATCH(MemberOrgs_SortedTbl!P96, MemberOrgs_SortedTable[Final Pres. Sort], 0)), "")</f>
        <v/>
      </c>
      <c r="C101" s="35" t="str">
        <f>IFERROR(INDEX(MemberOrgs_SortedTable[Grant Name], MATCH(B101, MemberOrgs_SortedTable[Unique CFDA], 0)), "")</f>
        <v/>
      </c>
      <c r="D101" s="39" t="str">
        <f>IFERROR(INDEX(MemberOrgs_SortedTable[FY 2018 Total], MATCH(B101, MemberOrgs_SortedTable[Unique CFDA], 0)), "")</f>
        <v/>
      </c>
      <c r="E101" s="40" t="str">
        <f>IFERROR(INDEX(MemberOrgs_SortedTable[President % Change], MATCH(B101, MemberOrgs_SortedTable[Unique CFDA], 0)), "")</f>
        <v/>
      </c>
      <c r="F101" s="39" t="str">
        <f>IFERROR(INDEX(MemberOrgs_SortedTable[President $ Change], MATCH(B101, MemberOrgs_SortedTable[Unique CFDA], 0)), "")</f>
        <v/>
      </c>
    </row>
    <row r="102" spans="2:6" x14ac:dyDescent="0.35">
      <c r="B102" s="47" t="str">
        <f>IFERROR(INDEX(MemberOrgs_SortedTable[Unique CFDA], MATCH(MemberOrgs_SortedTbl!P97, MemberOrgs_SortedTable[Final Pres. Sort], 0)), "")</f>
        <v/>
      </c>
      <c r="C102" s="35" t="str">
        <f>IFERROR(INDEX(MemberOrgs_SortedTable[Grant Name], MATCH(B102, MemberOrgs_SortedTable[Unique CFDA], 0)), "")</f>
        <v/>
      </c>
      <c r="D102" s="39" t="str">
        <f>IFERROR(INDEX(MemberOrgs_SortedTable[FY 2018 Total], MATCH(B102, MemberOrgs_SortedTable[Unique CFDA], 0)), "")</f>
        <v/>
      </c>
      <c r="E102" s="40" t="str">
        <f>IFERROR(INDEX(MemberOrgs_SortedTable[President % Change], MATCH(B102, MemberOrgs_SortedTable[Unique CFDA], 0)), "")</f>
        <v/>
      </c>
      <c r="F102" s="39" t="str">
        <f>IFERROR(INDEX(MemberOrgs_SortedTable[President $ Change], MATCH(B102, MemberOrgs_SortedTable[Unique CFDA], 0)), "")</f>
        <v/>
      </c>
    </row>
    <row r="103" spans="2:6" x14ac:dyDescent="0.35">
      <c r="B103" s="47" t="str">
        <f>IFERROR(INDEX(MemberOrgs_SortedTable[Unique CFDA], MATCH(MemberOrgs_SortedTbl!P98, MemberOrgs_SortedTable[Final Pres. Sort], 0)), "")</f>
        <v/>
      </c>
      <c r="C103" s="35" t="str">
        <f>IFERROR(INDEX(MemberOrgs_SortedTable[Grant Name], MATCH(B103, MemberOrgs_SortedTable[Unique CFDA], 0)), "")</f>
        <v/>
      </c>
      <c r="D103" s="39" t="str">
        <f>IFERROR(INDEX(MemberOrgs_SortedTable[FY 2018 Total], MATCH(B103, MemberOrgs_SortedTable[Unique CFDA], 0)), "")</f>
        <v/>
      </c>
      <c r="E103" s="40" t="str">
        <f>IFERROR(INDEX(MemberOrgs_SortedTable[President % Change], MATCH(B103, MemberOrgs_SortedTable[Unique CFDA], 0)), "")</f>
        <v/>
      </c>
      <c r="F103" s="39" t="str">
        <f>IFERROR(INDEX(MemberOrgs_SortedTable[President $ Change], MATCH(B103, MemberOrgs_SortedTable[Unique CFDA], 0)), "")</f>
        <v/>
      </c>
    </row>
    <row r="104" spans="2:6" x14ac:dyDescent="0.35">
      <c r="B104" s="47" t="str">
        <f>IFERROR(INDEX(MemberOrgs_SortedTable[Unique CFDA], MATCH(MemberOrgs_SortedTbl!P99, MemberOrgs_SortedTable[Final Pres. Sort], 0)), "")</f>
        <v/>
      </c>
      <c r="C104" s="35" t="str">
        <f>IFERROR(INDEX(MemberOrgs_SortedTable[Grant Name], MATCH(B104, MemberOrgs_SortedTable[Unique CFDA], 0)), "")</f>
        <v/>
      </c>
      <c r="D104" s="39" t="str">
        <f>IFERROR(INDEX(MemberOrgs_SortedTable[FY 2018 Total], MATCH(B104, MemberOrgs_SortedTable[Unique CFDA], 0)), "")</f>
        <v/>
      </c>
      <c r="E104" s="40" t="str">
        <f>IFERROR(INDEX(MemberOrgs_SortedTable[President % Change], MATCH(B104, MemberOrgs_SortedTable[Unique CFDA], 0)), "")</f>
        <v/>
      </c>
      <c r="F104" s="39" t="str">
        <f>IFERROR(INDEX(MemberOrgs_SortedTable[President $ Change], MATCH(B104, MemberOrgs_SortedTable[Unique CFDA], 0)), "")</f>
        <v/>
      </c>
    </row>
    <row r="105" spans="2:6" x14ac:dyDescent="0.35">
      <c r="B105" s="47" t="str">
        <f>IFERROR(INDEX(MemberOrgs_SortedTable[Unique CFDA], MATCH(MemberOrgs_SortedTbl!P100, MemberOrgs_SortedTable[Final Pres. Sort], 0)), "")</f>
        <v/>
      </c>
      <c r="C105" s="35" t="str">
        <f>IFERROR(INDEX(MemberOrgs_SortedTable[Grant Name], MATCH(B105, MemberOrgs_SortedTable[Unique CFDA], 0)), "")</f>
        <v/>
      </c>
      <c r="D105" s="39" t="str">
        <f>IFERROR(INDEX(MemberOrgs_SortedTable[FY 2018 Total], MATCH(B105, MemberOrgs_SortedTable[Unique CFDA], 0)), "")</f>
        <v/>
      </c>
      <c r="E105" s="40" t="str">
        <f>IFERROR(INDEX(MemberOrgs_SortedTable[President % Change], MATCH(B105, MemberOrgs_SortedTable[Unique CFDA], 0)), "")</f>
        <v/>
      </c>
      <c r="F105" s="39" t="str">
        <f>IFERROR(INDEX(MemberOrgs_SortedTable[President $ Change], MATCH(B105, MemberOrgs_SortedTable[Unique CFDA], 0)), "")</f>
        <v/>
      </c>
    </row>
    <row r="106" spans="2:6" x14ac:dyDescent="0.35">
      <c r="B106" s="47" t="str">
        <f>IFERROR(INDEX(MemberOrgs_SortedTable[Unique CFDA], MATCH(MemberOrgs_SortedTbl!P101, MemberOrgs_SortedTable[Final Pres. Sort], 0)), "")</f>
        <v/>
      </c>
      <c r="C106" s="35" t="str">
        <f>IFERROR(INDEX(MemberOrgs_SortedTable[Grant Name], MATCH(B106, MemberOrgs_SortedTable[Unique CFDA], 0)), "")</f>
        <v/>
      </c>
      <c r="D106" s="39" t="str">
        <f>IFERROR(INDEX(MemberOrgs_SortedTable[FY 2018 Total], MATCH(B106, MemberOrgs_SortedTable[Unique CFDA], 0)), "")</f>
        <v/>
      </c>
      <c r="E106" s="40" t="str">
        <f>IFERROR(INDEX(MemberOrgs_SortedTable[President % Change], MATCH(B106, MemberOrgs_SortedTable[Unique CFDA], 0)), "")</f>
        <v/>
      </c>
      <c r="F106" s="39" t="str">
        <f>IFERROR(INDEX(MemberOrgs_SortedTable[President $ Change], MATCH(B106, MemberOrgs_SortedTable[Unique CFDA], 0)), "")</f>
        <v/>
      </c>
    </row>
    <row r="107" spans="2:6" x14ac:dyDescent="0.35">
      <c r="B107" s="47" t="str">
        <f>IFERROR(INDEX(MemberOrgs_SortedTable[Unique CFDA], MATCH(MemberOrgs_SortedTbl!P102, MemberOrgs_SortedTable[Final Pres. Sort], 0)), "")</f>
        <v/>
      </c>
      <c r="C107" s="35" t="str">
        <f>IFERROR(INDEX(MemberOrgs_SortedTable[Grant Name], MATCH(B107, MemberOrgs_SortedTable[Unique CFDA], 0)), "")</f>
        <v/>
      </c>
      <c r="D107" s="39" t="str">
        <f>IFERROR(INDEX(MemberOrgs_SortedTable[FY 2018 Total], MATCH(B107, MemberOrgs_SortedTable[Unique CFDA], 0)), "")</f>
        <v/>
      </c>
      <c r="E107" s="40" t="str">
        <f>IFERROR(INDEX(MemberOrgs_SortedTable[President % Change], MATCH(B107, MemberOrgs_SortedTable[Unique CFDA], 0)), "")</f>
        <v/>
      </c>
      <c r="F107" s="39" t="str">
        <f>IFERROR(INDEX(MemberOrgs_SortedTable[President $ Change], MATCH(B107, MemberOrgs_SortedTable[Unique CFDA], 0)), "")</f>
        <v/>
      </c>
    </row>
    <row r="108" spans="2:6" x14ac:dyDescent="0.35">
      <c r="B108" s="47" t="str">
        <f>IFERROR(INDEX(MemberOrgs_SortedTable[Unique CFDA], MATCH(MemberOrgs_SortedTbl!P103, MemberOrgs_SortedTable[Final Pres. Sort], 0)), "")</f>
        <v/>
      </c>
      <c r="C108" s="35" t="str">
        <f>IFERROR(INDEX(MemberOrgs_SortedTable[Grant Name], MATCH(B108, MemberOrgs_SortedTable[Unique CFDA], 0)), "")</f>
        <v/>
      </c>
      <c r="D108" s="39" t="str">
        <f>IFERROR(INDEX(MemberOrgs_SortedTable[FY 2018 Total], MATCH(B108, MemberOrgs_SortedTable[Unique CFDA], 0)), "")</f>
        <v/>
      </c>
      <c r="E108" s="40" t="str">
        <f>IFERROR(INDEX(MemberOrgs_SortedTable[President % Change], MATCH(B108, MemberOrgs_SortedTable[Unique CFDA], 0)), "")</f>
        <v/>
      </c>
      <c r="F108" s="39" t="str">
        <f>IFERROR(INDEX(MemberOrgs_SortedTable[President $ Change], MATCH(B108, MemberOrgs_SortedTable[Unique CFDA], 0)), "")</f>
        <v/>
      </c>
    </row>
    <row r="109" spans="2:6" x14ac:dyDescent="0.35">
      <c r="B109" s="47" t="str">
        <f>IFERROR(INDEX(MemberOrgs_SortedTable[Unique CFDA], MATCH(MemberOrgs_SortedTbl!P104, MemberOrgs_SortedTable[Final Pres. Sort], 0)), "")</f>
        <v/>
      </c>
      <c r="C109" s="35" t="str">
        <f>IFERROR(INDEX(MemberOrgs_SortedTable[Grant Name], MATCH(B109, MemberOrgs_SortedTable[Unique CFDA], 0)), "")</f>
        <v/>
      </c>
      <c r="D109" s="39" t="str">
        <f>IFERROR(INDEX(MemberOrgs_SortedTable[FY 2018 Total], MATCH(B109, MemberOrgs_SortedTable[Unique CFDA], 0)), "")</f>
        <v/>
      </c>
      <c r="E109" s="40" t="str">
        <f>IFERROR(INDEX(MemberOrgs_SortedTable[President % Change], MATCH(B109, MemberOrgs_SortedTable[Unique CFDA], 0)), "")</f>
        <v/>
      </c>
      <c r="F109" s="39" t="str">
        <f>IFERROR(INDEX(MemberOrgs_SortedTable[President $ Change], MATCH(B109, MemberOrgs_SortedTable[Unique CFDA], 0)), "")</f>
        <v/>
      </c>
    </row>
    <row r="110" spans="2:6" x14ac:dyDescent="0.35">
      <c r="B110" s="47" t="str">
        <f>IFERROR(INDEX(MemberOrgs_SortedTable[Unique CFDA], MATCH(MemberOrgs_SortedTbl!P105, MemberOrgs_SortedTable[Final Pres. Sort], 0)), "")</f>
        <v/>
      </c>
      <c r="C110" s="35" t="str">
        <f>IFERROR(INDEX(MemberOrgs_SortedTable[Grant Name], MATCH(B110, MemberOrgs_SortedTable[Unique CFDA], 0)), "")</f>
        <v/>
      </c>
      <c r="D110" s="39" t="str">
        <f>IFERROR(INDEX(MemberOrgs_SortedTable[FY 2018 Total], MATCH(B110, MemberOrgs_SortedTable[Unique CFDA], 0)), "")</f>
        <v/>
      </c>
      <c r="E110" s="40" t="str">
        <f>IFERROR(INDEX(MemberOrgs_SortedTable[President % Change], MATCH(B110, MemberOrgs_SortedTable[Unique CFDA], 0)), "")</f>
        <v/>
      </c>
      <c r="F110" s="39" t="str">
        <f>IFERROR(INDEX(MemberOrgs_SortedTable[President $ Change], MATCH(B110, MemberOrgs_SortedTable[Unique CFDA], 0)), "")</f>
        <v/>
      </c>
    </row>
    <row r="111" spans="2:6" x14ac:dyDescent="0.35">
      <c r="B111" s="47" t="str">
        <f>IFERROR(INDEX(MemberOrgs_SortedTable[Unique CFDA], MATCH(MemberOrgs_SortedTbl!P106, MemberOrgs_SortedTable[Final Pres. Sort], 0)), "")</f>
        <v/>
      </c>
      <c r="C111" s="35" t="str">
        <f>IFERROR(INDEX(MemberOrgs_SortedTable[Grant Name], MATCH(B111, MemberOrgs_SortedTable[Unique CFDA], 0)), "")</f>
        <v/>
      </c>
      <c r="D111" s="39" t="str">
        <f>IFERROR(INDEX(MemberOrgs_SortedTable[FY 2018 Total], MATCH(B111, MemberOrgs_SortedTable[Unique CFDA], 0)), "")</f>
        <v/>
      </c>
      <c r="E111" s="40" t="str">
        <f>IFERROR(INDEX(MemberOrgs_SortedTable[President % Change], MATCH(B111, MemberOrgs_SortedTable[Unique CFDA], 0)), "")</f>
        <v/>
      </c>
      <c r="F111" s="39" t="str">
        <f>IFERROR(INDEX(MemberOrgs_SortedTable[President $ Change], MATCH(B111, MemberOrgs_SortedTable[Unique CFDA], 0)), "")</f>
        <v/>
      </c>
    </row>
    <row r="112" spans="2:6" x14ac:dyDescent="0.35">
      <c r="B112" s="47" t="str">
        <f>IFERROR(INDEX(MemberOrgs_SortedTable[Unique CFDA], MATCH(MemberOrgs_SortedTbl!P107, MemberOrgs_SortedTable[Final Pres. Sort], 0)), "")</f>
        <v/>
      </c>
      <c r="C112" s="35" t="str">
        <f>IFERROR(INDEX(MemberOrgs_SortedTable[Grant Name], MATCH(B112, MemberOrgs_SortedTable[Unique CFDA], 0)), "")</f>
        <v/>
      </c>
      <c r="D112" s="39" t="str">
        <f>IFERROR(INDEX(MemberOrgs_SortedTable[FY 2018 Total], MATCH(B112, MemberOrgs_SortedTable[Unique CFDA], 0)), "")</f>
        <v/>
      </c>
      <c r="E112" s="40" t="str">
        <f>IFERROR(INDEX(MemberOrgs_SortedTable[President % Change], MATCH(B112, MemberOrgs_SortedTable[Unique CFDA], 0)), "")</f>
        <v/>
      </c>
      <c r="F112" s="39" t="str">
        <f>IFERROR(INDEX(MemberOrgs_SortedTable[President $ Change], MATCH(B112, MemberOrgs_SortedTable[Unique CFDA], 0)), "")</f>
        <v/>
      </c>
    </row>
    <row r="113" spans="2:6" x14ac:dyDescent="0.35">
      <c r="B113" s="47" t="str">
        <f>IFERROR(INDEX(MemberOrgs_SortedTable[Unique CFDA], MATCH(MemberOrgs_SortedTbl!P108, MemberOrgs_SortedTable[Final Pres. Sort], 0)), "")</f>
        <v/>
      </c>
      <c r="C113" s="35" t="str">
        <f>IFERROR(INDEX(MemberOrgs_SortedTable[Grant Name], MATCH(B113, MemberOrgs_SortedTable[Unique CFDA], 0)), "")</f>
        <v/>
      </c>
      <c r="D113" s="39" t="str">
        <f>IFERROR(INDEX(MemberOrgs_SortedTable[FY 2018 Total], MATCH(B113, MemberOrgs_SortedTable[Unique CFDA], 0)), "")</f>
        <v/>
      </c>
      <c r="E113" s="40" t="str">
        <f>IFERROR(INDEX(MemberOrgs_SortedTable[President % Change], MATCH(B113, MemberOrgs_SortedTable[Unique CFDA], 0)), "")</f>
        <v/>
      </c>
      <c r="F113" s="39" t="str">
        <f>IFERROR(INDEX(MemberOrgs_SortedTable[President $ Change], MATCH(B113, MemberOrgs_SortedTable[Unique CFDA], 0)), "")</f>
        <v/>
      </c>
    </row>
    <row r="114" spans="2:6" x14ac:dyDescent="0.35">
      <c r="B114" s="47" t="str">
        <f>IFERROR(INDEX(MemberOrgs_SortedTable[Unique CFDA], MATCH(MemberOrgs_SortedTbl!P109, MemberOrgs_SortedTable[Final Pres. Sort], 0)), "")</f>
        <v/>
      </c>
      <c r="C114" s="35" t="str">
        <f>IFERROR(INDEX(MemberOrgs_SortedTable[Grant Name], MATCH(B114, MemberOrgs_SortedTable[Unique CFDA], 0)), "")</f>
        <v/>
      </c>
      <c r="D114" s="39" t="str">
        <f>IFERROR(INDEX(MemberOrgs_SortedTable[FY 2018 Total], MATCH(B114, MemberOrgs_SortedTable[Unique CFDA], 0)), "")</f>
        <v/>
      </c>
      <c r="E114" s="40" t="str">
        <f>IFERROR(INDEX(MemberOrgs_SortedTable[President % Change], MATCH(B114, MemberOrgs_SortedTable[Unique CFDA], 0)), "")</f>
        <v/>
      </c>
      <c r="F114" s="39" t="str">
        <f>IFERROR(INDEX(MemberOrgs_SortedTable[President $ Change], MATCH(B114, MemberOrgs_SortedTable[Unique CFDA], 0)), "")</f>
        <v/>
      </c>
    </row>
    <row r="115" spans="2:6" x14ac:dyDescent="0.35">
      <c r="B115" s="47" t="str">
        <f>IFERROR(INDEX(MemberOrgs_SortedTable[Unique CFDA], MATCH(MemberOrgs_SortedTbl!P110, MemberOrgs_SortedTable[Final Pres. Sort], 0)), "")</f>
        <v/>
      </c>
      <c r="C115" s="35" t="str">
        <f>IFERROR(INDEX(MemberOrgs_SortedTable[Grant Name], MATCH(B115, MemberOrgs_SortedTable[Unique CFDA], 0)), "")</f>
        <v/>
      </c>
      <c r="D115" s="39" t="str">
        <f>IFERROR(INDEX(MemberOrgs_SortedTable[FY 2018 Total], MATCH(B115, MemberOrgs_SortedTable[Unique CFDA], 0)), "")</f>
        <v/>
      </c>
      <c r="E115" s="40" t="str">
        <f>IFERROR(INDEX(MemberOrgs_SortedTable[President % Change], MATCH(B115, MemberOrgs_SortedTable[Unique CFDA], 0)), "")</f>
        <v/>
      </c>
      <c r="F115" s="39" t="str">
        <f>IFERROR(INDEX(MemberOrgs_SortedTable[President $ Change], MATCH(B115, MemberOrgs_SortedTable[Unique CFDA], 0)), "")</f>
        <v/>
      </c>
    </row>
    <row r="116" spans="2:6" x14ac:dyDescent="0.35">
      <c r="B116" s="47" t="str">
        <f>IFERROR(INDEX(MemberOrgs_SortedTable[Unique CFDA], MATCH(MemberOrgs_SortedTbl!P111, MemberOrgs_SortedTable[Final Pres. Sort], 0)), "")</f>
        <v/>
      </c>
      <c r="C116" s="35" t="str">
        <f>IFERROR(INDEX(MemberOrgs_SortedTable[Grant Name], MATCH(B116, MemberOrgs_SortedTable[Unique CFDA], 0)), "")</f>
        <v/>
      </c>
      <c r="D116" s="39" t="str">
        <f>IFERROR(INDEX(MemberOrgs_SortedTable[FY 2018 Total], MATCH(B116, MemberOrgs_SortedTable[Unique CFDA], 0)), "")</f>
        <v/>
      </c>
      <c r="E116" s="40" t="str">
        <f>IFERROR(INDEX(MemberOrgs_SortedTable[President % Change], MATCH(B116, MemberOrgs_SortedTable[Unique CFDA], 0)), "")</f>
        <v/>
      </c>
      <c r="F116" s="39" t="str">
        <f>IFERROR(INDEX(MemberOrgs_SortedTable[President $ Change], MATCH(B116, MemberOrgs_SortedTable[Unique CFDA], 0)), "")</f>
        <v/>
      </c>
    </row>
    <row r="117" spans="2:6" x14ac:dyDescent="0.35">
      <c r="B117" s="47" t="str">
        <f>IFERROR(INDEX(MemberOrgs_SortedTable[Unique CFDA], MATCH(MemberOrgs_SortedTbl!P112, MemberOrgs_SortedTable[Final Pres. Sort], 0)), "")</f>
        <v/>
      </c>
      <c r="C117" s="35" t="str">
        <f>IFERROR(INDEX(MemberOrgs_SortedTable[Grant Name], MATCH(B117, MemberOrgs_SortedTable[Unique CFDA], 0)), "")</f>
        <v/>
      </c>
      <c r="D117" s="39" t="str">
        <f>IFERROR(INDEX(MemberOrgs_SortedTable[FY 2018 Total], MATCH(B117, MemberOrgs_SortedTable[Unique CFDA], 0)), "")</f>
        <v/>
      </c>
      <c r="E117" s="40" t="str">
        <f>IFERROR(INDEX(MemberOrgs_SortedTable[President % Change], MATCH(B117, MemberOrgs_SortedTable[Unique CFDA], 0)), "")</f>
        <v/>
      </c>
      <c r="F117" s="39" t="str">
        <f>IFERROR(INDEX(MemberOrgs_SortedTable[President $ Change], MATCH(B117, MemberOrgs_SortedTable[Unique CFDA], 0)), "")</f>
        <v/>
      </c>
    </row>
    <row r="118" spans="2:6" x14ac:dyDescent="0.35">
      <c r="B118" s="47" t="str">
        <f>IFERROR(INDEX(MemberOrgs_SortedTable[Unique CFDA], MATCH(MemberOrgs_SortedTbl!P113, MemberOrgs_SortedTable[Final Pres. Sort], 0)), "")</f>
        <v/>
      </c>
      <c r="C118" s="35" t="str">
        <f>IFERROR(INDEX(MemberOrgs_SortedTable[Grant Name], MATCH(B118, MemberOrgs_SortedTable[Unique CFDA], 0)), "")</f>
        <v/>
      </c>
      <c r="D118" s="39" t="str">
        <f>IFERROR(INDEX(MemberOrgs_SortedTable[FY 2018 Total], MATCH(B118, MemberOrgs_SortedTable[Unique CFDA], 0)), "")</f>
        <v/>
      </c>
      <c r="E118" s="40" t="str">
        <f>IFERROR(INDEX(MemberOrgs_SortedTable[President % Change], MATCH(B118, MemberOrgs_SortedTable[Unique CFDA], 0)), "")</f>
        <v/>
      </c>
      <c r="F118" s="39" t="str">
        <f>IFERROR(INDEX(MemberOrgs_SortedTable[President $ Change], MATCH(B118, MemberOrgs_SortedTable[Unique CFDA], 0)), "")</f>
        <v/>
      </c>
    </row>
    <row r="119" spans="2:6" x14ac:dyDescent="0.35">
      <c r="B119" s="47" t="str">
        <f>IFERROR(INDEX(MemberOrgs_SortedTable[Unique CFDA], MATCH(MemberOrgs_SortedTbl!P114, MemberOrgs_SortedTable[Final Pres. Sort], 0)), "")</f>
        <v/>
      </c>
      <c r="C119" s="35" t="str">
        <f>IFERROR(INDEX(MemberOrgs_SortedTable[Grant Name], MATCH(B119, MemberOrgs_SortedTable[Unique CFDA], 0)), "")</f>
        <v/>
      </c>
      <c r="D119" s="39" t="str">
        <f>IFERROR(INDEX(MemberOrgs_SortedTable[FY 2018 Total], MATCH(B119, MemberOrgs_SortedTable[Unique CFDA], 0)), "")</f>
        <v/>
      </c>
      <c r="E119" s="40" t="str">
        <f>IFERROR(INDEX(MemberOrgs_SortedTable[President % Change], MATCH(B119, MemberOrgs_SortedTable[Unique CFDA], 0)), "")</f>
        <v/>
      </c>
      <c r="F119" s="39" t="str">
        <f>IFERROR(INDEX(MemberOrgs_SortedTable[President $ Change], MATCH(B119, MemberOrgs_SortedTable[Unique CFDA], 0)), "")</f>
        <v/>
      </c>
    </row>
    <row r="120" spans="2:6" x14ac:dyDescent="0.35">
      <c r="B120" s="47" t="str">
        <f>IFERROR(INDEX(MemberOrgs_SortedTable[Unique CFDA], MATCH(MemberOrgs_SortedTbl!P115, MemberOrgs_SortedTable[Final Pres. Sort], 0)), "")</f>
        <v/>
      </c>
      <c r="C120" s="35" t="str">
        <f>IFERROR(INDEX(MemberOrgs_SortedTable[Grant Name], MATCH(B120, MemberOrgs_SortedTable[Unique CFDA], 0)), "")</f>
        <v/>
      </c>
      <c r="D120" s="39" t="str">
        <f>IFERROR(INDEX(MemberOrgs_SortedTable[FY 2018 Total], MATCH(B120, MemberOrgs_SortedTable[Unique CFDA], 0)), "")</f>
        <v/>
      </c>
      <c r="E120" s="40" t="str">
        <f>IFERROR(INDEX(MemberOrgs_SortedTable[President % Change], MATCH(B120, MemberOrgs_SortedTable[Unique CFDA], 0)), "")</f>
        <v/>
      </c>
      <c r="F120" s="39" t="str">
        <f>IFERROR(INDEX(MemberOrgs_SortedTable[President $ Change], MATCH(B120, MemberOrgs_SortedTable[Unique CFDA], 0)), "")</f>
        <v/>
      </c>
    </row>
    <row r="121" spans="2:6" x14ac:dyDescent="0.35">
      <c r="B121" s="47" t="str">
        <f>IFERROR(INDEX(MemberOrgs_SortedTable[Unique CFDA], MATCH(MemberOrgs_SortedTbl!P116, MemberOrgs_SortedTable[Final Pres. Sort], 0)), "")</f>
        <v/>
      </c>
      <c r="C121" s="35" t="str">
        <f>IFERROR(INDEX(MemberOrgs_SortedTable[Grant Name], MATCH(B121, MemberOrgs_SortedTable[Unique CFDA], 0)), "")</f>
        <v/>
      </c>
      <c r="D121" s="39" t="str">
        <f>IFERROR(INDEX(MemberOrgs_SortedTable[FY 2018 Total], MATCH(B121, MemberOrgs_SortedTable[Unique CFDA], 0)), "")</f>
        <v/>
      </c>
      <c r="E121" s="40" t="str">
        <f>IFERROR(INDEX(MemberOrgs_SortedTable[President % Change], MATCH(B121, MemberOrgs_SortedTable[Unique CFDA], 0)), "")</f>
        <v/>
      </c>
      <c r="F121" s="39" t="str">
        <f>IFERROR(INDEX(MemberOrgs_SortedTable[President $ Change], MATCH(B121, MemberOrgs_SortedTable[Unique CFDA], 0)), "")</f>
        <v/>
      </c>
    </row>
    <row r="122" spans="2:6" x14ac:dyDescent="0.35">
      <c r="B122" s="47" t="str">
        <f>IFERROR(INDEX(MemberOrgs_SortedTable[Unique CFDA], MATCH(MemberOrgs_SortedTbl!P117, MemberOrgs_SortedTable[Final Pres. Sort], 0)), "")</f>
        <v/>
      </c>
      <c r="C122" s="35" t="str">
        <f>IFERROR(INDEX(MemberOrgs_SortedTable[Grant Name], MATCH(B122, MemberOrgs_SortedTable[Unique CFDA], 0)), "")</f>
        <v/>
      </c>
      <c r="D122" s="39" t="str">
        <f>IFERROR(INDEX(MemberOrgs_SortedTable[FY 2018 Total], MATCH(B122, MemberOrgs_SortedTable[Unique CFDA], 0)), "")</f>
        <v/>
      </c>
      <c r="E122" s="40" t="str">
        <f>IFERROR(INDEX(MemberOrgs_SortedTable[President % Change], MATCH(B122, MemberOrgs_SortedTable[Unique CFDA], 0)), "")</f>
        <v/>
      </c>
      <c r="F122" s="39" t="str">
        <f>IFERROR(INDEX(MemberOrgs_SortedTable[President $ Change], MATCH(B122, MemberOrgs_SortedTable[Unique CFDA], 0)), "")</f>
        <v/>
      </c>
    </row>
    <row r="123" spans="2:6" x14ac:dyDescent="0.35">
      <c r="B123" s="47" t="str">
        <f>IFERROR(INDEX(MemberOrgs_SortedTable[Unique CFDA], MATCH(MemberOrgs_SortedTbl!P118, MemberOrgs_SortedTable[Final Pres. Sort], 0)), "")</f>
        <v/>
      </c>
      <c r="C123" s="35" t="str">
        <f>IFERROR(INDEX(MemberOrgs_SortedTable[Grant Name], MATCH(B123, MemberOrgs_SortedTable[Unique CFDA], 0)), "")</f>
        <v/>
      </c>
      <c r="D123" s="39" t="str">
        <f>IFERROR(INDEX(MemberOrgs_SortedTable[FY 2018 Total], MATCH(B123, MemberOrgs_SortedTable[Unique CFDA], 0)), "")</f>
        <v/>
      </c>
      <c r="E123" s="40" t="str">
        <f>IFERROR(INDEX(MemberOrgs_SortedTable[President % Change], MATCH(B123, MemberOrgs_SortedTable[Unique CFDA], 0)), "")</f>
        <v/>
      </c>
      <c r="F123" s="39" t="str">
        <f>IFERROR(INDEX(MemberOrgs_SortedTable[President $ Change], MATCH(B123, MemberOrgs_SortedTable[Unique CFDA], 0)), "")</f>
        <v/>
      </c>
    </row>
    <row r="124" spans="2:6" x14ac:dyDescent="0.35">
      <c r="B124" s="47" t="str">
        <f>IFERROR(INDEX(MemberOrgs_SortedTable[Unique CFDA], MATCH(MemberOrgs_SortedTbl!P119, MemberOrgs_SortedTable[Final Pres. Sort], 0)), "")</f>
        <v/>
      </c>
      <c r="C124" s="35" t="str">
        <f>IFERROR(INDEX(MemberOrgs_SortedTable[Grant Name], MATCH(B124, MemberOrgs_SortedTable[Unique CFDA], 0)), "")</f>
        <v/>
      </c>
      <c r="D124" s="39" t="str">
        <f>IFERROR(INDEX(MemberOrgs_SortedTable[FY 2018 Total], MATCH(B124, MemberOrgs_SortedTable[Unique CFDA], 0)), "")</f>
        <v/>
      </c>
      <c r="E124" s="40" t="str">
        <f>IFERROR(INDEX(MemberOrgs_SortedTable[President % Change], MATCH(B124, MemberOrgs_SortedTable[Unique CFDA], 0)), "")</f>
        <v/>
      </c>
      <c r="F124" s="39" t="str">
        <f>IFERROR(INDEX(MemberOrgs_SortedTable[President $ Change], MATCH(B124, MemberOrgs_SortedTable[Unique CFDA], 0)), "")</f>
        <v/>
      </c>
    </row>
    <row r="125" spans="2:6" x14ac:dyDescent="0.35">
      <c r="B125" s="47" t="str">
        <f>IFERROR(INDEX(MemberOrgs_SortedTable[Unique CFDA], MATCH(MemberOrgs_SortedTbl!P120, MemberOrgs_SortedTable[Final Pres. Sort], 0)), "")</f>
        <v/>
      </c>
      <c r="C125" s="35" t="str">
        <f>IFERROR(INDEX(MemberOrgs_SortedTable[Grant Name], MATCH(B125, MemberOrgs_SortedTable[Unique CFDA], 0)), "")</f>
        <v/>
      </c>
      <c r="D125" s="39" t="str">
        <f>IFERROR(INDEX(MemberOrgs_SortedTable[FY 2018 Total], MATCH(B125, MemberOrgs_SortedTable[Unique CFDA], 0)), "")</f>
        <v/>
      </c>
      <c r="E125" s="40" t="str">
        <f>IFERROR(INDEX(MemberOrgs_SortedTable[President % Change], MATCH(B125, MemberOrgs_SortedTable[Unique CFDA], 0)), "")</f>
        <v/>
      </c>
      <c r="F125" s="39" t="str">
        <f>IFERROR(INDEX(MemberOrgs_SortedTable[President $ Change], MATCH(B125, MemberOrgs_SortedTable[Unique CFDA], 0)), "")</f>
        <v/>
      </c>
    </row>
    <row r="126" spans="2:6" x14ac:dyDescent="0.35">
      <c r="B126" s="47" t="str">
        <f>IFERROR(INDEX(MemberOrgs_SortedTable[Unique CFDA], MATCH(MemberOrgs_SortedTbl!P121, MemberOrgs_SortedTable[Final Pres. Sort], 0)), "")</f>
        <v/>
      </c>
      <c r="C126" s="35" t="str">
        <f>IFERROR(INDEX(MemberOrgs_SortedTable[Grant Name], MATCH(B126, MemberOrgs_SortedTable[Unique CFDA], 0)), "")</f>
        <v/>
      </c>
      <c r="D126" s="39" t="str">
        <f>IFERROR(INDEX(MemberOrgs_SortedTable[FY 2018 Total], MATCH(B126, MemberOrgs_SortedTable[Unique CFDA], 0)), "")</f>
        <v/>
      </c>
      <c r="E126" s="40" t="str">
        <f>IFERROR(INDEX(MemberOrgs_SortedTable[President % Change], MATCH(B126, MemberOrgs_SortedTable[Unique CFDA], 0)), "")</f>
        <v/>
      </c>
      <c r="F126" s="39" t="str">
        <f>IFERROR(INDEX(MemberOrgs_SortedTable[President $ Change], MATCH(B126, MemberOrgs_SortedTable[Unique CFDA], 0)), "")</f>
        <v/>
      </c>
    </row>
    <row r="127" spans="2:6" x14ac:dyDescent="0.35">
      <c r="B127" s="47" t="str">
        <f>IFERROR(INDEX(MemberOrgs_SortedTable[Unique CFDA], MATCH(MemberOrgs_SortedTbl!P122, MemberOrgs_SortedTable[Final Pres. Sort], 0)), "")</f>
        <v/>
      </c>
      <c r="C127" s="35" t="str">
        <f>IFERROR(INDEX(MemberOrgs_SortedTable[Grant Name], MATCH(B127, MemberOrgs_SortedTable[Unique CFDA], 0)), "")</f>
        <v/>
      </c>
      <c r="D127" s="39" t="str">
        <f>IFERROR(INDEX(MemberOrgs_SortedTable[FY 2018 Total], MATCH(B127, MemberOrgs_SortedTable[Unique CFDA], 0)), "")</f>
        <v/>
      </c>
      <c r="E127" s="40" t="str">
        <f>IFERROR(INDEX(MemberOrgs_SortedTable[President % Change], MATCH(B127, MemberOrgs_SortedTable[Unique CFDA], 0)), "")</f>
        <v/>
      </c>
      <c r="F127" s="39" t="str">
        <f>IFERROR(INDEX(MemberOrgs_SortedTable[President $ Change], MATCH(B127, MemberOrgs_SortedTable[Unique CFDA], 0)), "")</f>
        <v/>
      </c>
    </row>
    <row r="128" spans="2:6" x14ac:dyDescent="0.35">
      <c r="B128" s="47" t="str">
        <f>IFERROR(INDEX(MemberOrgs_SortedTable[Unique CFDA], MATCH(MemberOrgs_SortedTbl!P123, MemberOrgs_SortedTable[Final Pres. Sort], 0)), "")</f>
        <v/>
      </c>
      <c r="C128" s="35" t="str">
        <f>IFERROR(INDEX(MemberOrgs_SortedTable[Grant Name], MATCH(B128, MemberOrgs_SortedTable[Unique CFDA], 0)), "")</f>
        <v/>
      </c>
      <c r="D128" s="39" t="str">
        <f>IFERROR(INDEX(MemberOrgs_SortedTable[FY 2018 Total], MATCH(B128, MemberOrgs_SortedTable[Unique CFDA], 0)), "")</f>
        <v/>
      </c>
      <c r="E128" s="40" t="str">
        <f>IFERROR(INDEX(MemberOrgs_SortedTable[President % Change], MATCH(B128, MemberOrgs_SortedTable[Unique CFDA], 0)), "")</f>
        <v/>
      </c>
      <c r="F128" s="39" t="str">
        <f>IFERROR(INDEX(MemberOrgs_SortedTable[President $ Change], MATCH(B128, MemberOrgs_SortedTable[Unique CFDA], 0)), "")</f>
        <v/>
      </c>
    </row>
    <row r="129" spans="2:6" x14ac:dyDescent="0.35">
      <c r="B129" s="47" t="str">
        <f>IFERROR(INDEX(MemberOrgs_SortedTable[Unique CFDA], MATCH(MemberOrgs_SortedTbl!P124, MemberOrgs_SortedTable[Final Pres. Sort], 0)), "")</f>
        <v/>
      </c>
      <c r="C129" s="35" t="str">
        <f>IFERROR(INDEX(MemberOrgs_SortedTable[Grant Name], MATCH(B129, MemberOrgs_SortedTable[Unique CFDA], 0)), "")</f>
        <v/>
      </c>
      <c r="D129" s="39" t="str">
        <f>IFERROR(INDEX(MemberOrgs_SortedTable[FY 2018 Total], MATCH(B129, MemberOrgs_SortedTable[Unique CFDA], 0)), "")</f>
        <v/>
      </c>
      <c r="E129" s="40" t="str">
        <f>IFERROR(INDEX(MemberOrgs_SortedTable[President % Change], MATCH(B129, MemberOrgs_SortedTable[Unique CFDA], 0)), "")</f>
        <v/>
      </c>
      <c r="F129" s="39" t="str">
        <f>IFERROR(INDEX(MemberOrgs_SortedTable[President $ Change], MATCH(B129, MemberOrgs_SortedTable[Unique CFDA], 0)), "")</f>
        <v/>
      </c>
    </row>
    <row r="130" spans="2:6" x14ac:dyDescent="0.35">
      <c r="B130" s="47" t="str">
        <f>IFERROR(INDEX(MemberOrgs_SortedTable[Unique CFDA], MATCH(MemberOrgs_SortedTbl!P125, MemberOrgs_SortedTable[Final Pres. Sort], 0)), "")</f>
        <v/>
      </c>
      <c r="C130" s="35" t="str">
        <f>IFERROR(INDEX(MemberOrgs_SortedTable[Grant Name], MATCH(B130, MemberOrgs_SortedTable[Unique CFDA], 0)), "")</f>
        <v/>
      </c>
      <c r="D130" s="39" t="str">
        <f>IFERROR(INDEX(MemberOrgs_SortedTable[FY 2018 Total], MATCH(B130, MemberOrgs_SortedTable[Unique CFDA], 0)), "")</f>
        <v/>
      </c>
      <c r="E130" s="40" t="str">
        <f>IFERROR(INDEX(MemberOrgs_SortedTable[President % Change], MATCH(B130, MemberOrgs_SortedTable[Unique CFDA], 0)), "")</f>
        <v/>
      </c>
      <c r="F130" s="39" t="str">
        <f>IFERROR(INDEX(MemberOrgs_SortedTable[President $ Change], MATCH(B130, MemberOrgs_SortedTable[Unique CFDA], 0)), "")</f>
        <v/>
      </c>
    </row>
    <row r="131" spans="2:6" x14ac:dyDescent="0.35">
      <c r="B131" s="47" t="str">
        <f>IFERROR(INDEX(MemberOrgs_SortedTable[Unique CFDA], MATCH(MemberOrgs_SortedTbl!P126, MemberOrgs_SortedTable[Final Pres. Sort], 0)), "")</f>
        <v/>
      </c>
      <c r="C131" s="35" t="str">
        <f>IFERROR(INDEX(MemberOrgs_SortedTable[Grant Name], MATCH(B131, MemberOrgs_SortedTable[Unique CFDA], 0)), "")</f>
        <v/>
      </c>
      <c r="D131" s="39" t="str">
        <f>IFERROR(INDEX(MemberOrgs_SortedTable[FY 2018 Total], MATCH(B131, MemberOrgs_SortedTable[Unique CFDA], 0)), "")</f>
        <v/>
      </c>
      <c r="E131" s="40" t="str">
        <f>IFERROR(INDEX(MemberOrgs_SortedTable[President % Change], MATCH(B131, MemberOrgs_SortedTable[Unique CFDA], 0)), "")</f>
        <v/>
      </c>
      <c r="F131" s="39" t="str">
        <f>IFERROR(INDEX(MemberOrgs_SortedTable[President $ Change], MATCH(B131, MemberOrgs_SortedTable[Unique CFDA], 0)), "")</f>
        <v/>
      </c>
    </row>
    <row r="132" spans="2:6" x14ac:dyDescent="0.35">
      <c r="B132" s="47" t="str">
        <f>IFERROR(INDEX(MemberOrgs_SortedTable[Unique CFDA], MATCH(MemberOrgs_SortedTbl!P127, MemberOrgs_SortedTable[Final Pres. Sort], 0)), "")</f>
        <v/>
      </c>
      <c r="C132" s="35" t="str">
        <f>IFERROR(INDEX(MemberOrgs_SortedTable[Grant Name], MATCH(B132, MemberOrgs_SortedTable[Unique CFDA], 0)), "")</f>
        <v/>
      </c>
      <c r="D132" s="39" t="str">
        <f>IFERROR(INDEX(MemberOrgs_SortedTable[FY 2018 Total], MATCH(B132, MemberOrgs_SortedTable[Unique CFDA], 0)), "")</f>
        <v/>
      </c>
      <c r="E132" s="40" t="str">
        <f>IFERROR(INDEX(MemberOrgs_SortedTable[President % Change], MATCH(B132, MemberOrgs_SortedTable[Unique CFDA], 0)), "")</f>
        <v/>
      </c>
      <c r="F132" s="39" t="str">
        <f>IFERROR(INDEX(MemberOrgs_SortedTable[President $ Change], MATCH(B132, MemberOrgs_SortedTable[Unique CFDA], 0)), "")</f>
        <v/>
      </c>
    </row>
    <row r="133" spans="2:6" x14ac:dyDescent="0.35">
      <c r="B133" s="47" t="str">
        <f>IFERROR(INDEX(MemberOrgs_SortedTable[Unique CFDA], MATCH(MemberOrgs_SortedTbl!P128, MemberOrgs_SortedTable[Final Pres. Sort], 0)), "")</f>
        <v/>
      </c>
      <c r="C133" s="35" t="str">
        <f>IFERROR(INDEX(MemberOrgs_SortedTable[Grant Name], MATCH(B133, MemberOrgs_SortedTable[Unique CFDA], 0)), "")</f>
        <v/>
      </c>
      <c r="D133" s="39" t="str">
        <f>IFERROR(INDEX(MemberOrgs_SortedTable[FY 2018 Total], MATCH(B133, MemberOrgs_SortedTable[Unique CFDA], 0)), "")</f>
        <v/>
      </c>
      <c r="E133" s="40" t="str">
        <f>IFERROR(INDEX(MemberOrgs_SortedTable[President % Change], MATCH(B133, MemberOrgs_SortedTable[Unique CFDA], 0)), "")</f>
        <v/>
      </c>
      <c r="F133" s="39" t="str">
        <f>IFERROR(INDEX(MemberOrgs_SortedTable[President $ Change], MATCH(B133, MemberOrgs_SortedTable[Unique CFDA], 0)), "")</f>
        <v/>
      </c>
    </row>
    <row r="134" spans="2:6" x14ac:dyDescent="0.35">
      <c r="B134" s="47" t="str">
        <f>IFERROR(INDEX(MemberOrgs_SortedTable[Unique CFDA], MATCH(MemberOrgs_SortedTbl!P129, MemberOrgs_SortedTable[Final Pres. Sort], 0)), "")</f>
        <v/>
      </c>
      <c r="C134" s="35" t="str">
        <f>IFERROR(INDEX(MemberOrgs_SortedTable[Grant Name], MATCH(B134, MemberOrgs_SortedTable[Unique CFDA], 0)), "")</f>
        <v/>
      </c>
      <c r="D134" s="39" t="str">
        <f>IFERROR(INDEX(MemberOrgs_SortedTable[FY 2018 Total], MATCH(B134, MemberOrgs_SortedTable[Unique CFDA], 0)), "")</f>
        <v/>
      </c>
      <c r="E134" s="40" t="str">
        <f>IFERROR(INDEX(MemberOrgs_SortedTable[President % Change], MATCH(B134, MemberOrgs_SortedTable[Unique CFDA], 0)), "")</f>
        <v/>
      </c>
      <c r="F134" s="39" t="str">
        <f>IFERROR(INDEX(MemberOrgs_SortedTable[President $ Change], MATCH(B134, MemberOrgs_SortedTable[Unique CFDA], 0)), "")</f>
        <v/>
      </c>
    </row>
    <row r="135" spans="2:6" x14ac:dyDescent="0.35">
      <c r="B135" s="47" t="str">
        <f>IFERROR(INDEX(MemberOrgs_SortedTable[Unique CFDA], MATCH(MemberOrgs_SortedTbl!P130, MemberOrgs_SortedTable[Final Pres. Sort], 0)), "")</f>
        <v/>
      </c>
      <c r="C135" s="35" t="str">
        <f>IFERROR(INDEX(MemberOrgs_SortedTable[Grant Name], MATCH(B135, MemberOrgs_SortedTable[Unique CFDA], 0)), "")</f>
        <v/>
      </c>
      <c r="D135" s="39" t="str">
        <f>IFERROR(INDEX(MemberOrgs_SortedTable[FY 2018 Total], MATCH(B135, MemberOrgs_SortedTable[Unique CFDA], 0)), "")</f>
        <v/>
      </c>
      <c r="E135" s="40" t="str">
        <f>IFERROR(INDEX(MemberOrgs_SortedTable[President % Change], MATCH(B135, MemberOrgs_SortedTable[Unique CFDA], 0)), "")</f>
        <v/>
      </c>
      <c r="F135" s="39" t="str">
        <f>IFERROR(INDEX(MemberOrgs_SortedTable[President $ Change], MATCH(B135, MemberOrgs_SortedTable[Unique CFDA], 0)), "")</f>
        <v/>
      </c>
    </row>
    <row r="136" spans="2:6" x14ac:dyDescent="0.35">
      <c r="B136" s="47" t="str">
        <f>IFERROR(INDEX(MemberOrgs_SortedTable[Unique CFDA], MATCH(MemberOrgs_SortedTbl!P131, MemberOrgs_SortedTable[Final Pres. Sort], 0)), "")</f>
        <v/>
      </c>
      <c r="C136" s="35" t="str">
        <f>IFERROR(INDEX(MemberOrgs_SortedTable[Grant Name], MATCH(B136, MemberOrgs_SortedTable[Unique CFDA], 0)), "")</f>
        <v/>
      </c>
      <c r="D136" s="39" t="str">
        <f>IFERROR(INDEX(MemberOrgs_SortedTable[FY 2018 Total], MATCH(B136, MemberOrgs_SortedTable[Unique CFDA], 0)), "")</f>
        <v/>
      </c>
      <c r="E136" s="40" t="str">
        <f>IFERROR(INDEX(MemberOrgs_SortedTable[President % Change], MATCH(B136, MemberOrgs_SortedTable[Unique CFDA], 0)), "")</f>
        <v/>
      </c>
      <c r="F136" s="39" t="str">
        <f>IFERROR(INDEX(MemberOrgs_SortedTable[President $ Change], MATCH(B136, MemberOrgs_SortedTable[Unique CFDA], 0)), "")</f>
        <v/>
      </c>
    </row>
    <row r="137" spans="2:6" x14ac:dyDescent="0.35">
      <c r="B137" s="47" t="str">
        <f>IFERROR(INDEX(MemberOrgs_SortedTable[Unique CFDA], MATCH(MemberOrgs_SortedTbl!P132, MemberOrgs_SortedTable[Final Pres. Sort], 0)), "")</f>
        <v/>
      </c>
      <c r="C137" s="35" t="str">
        <f>IFERROR(INDEX(MemberOrgs_SortedTable[Grant Name], MATCH(B137, MemberOrgs_SortedTable[Unique CFDA], 0)), "")</f>
        <v/>
      </c>
      <c r="D137" s="39" t="str">
        <f>IFERROR(INDEX(MemberOrgs_SortedTable[FY 2018 Total], MATCH(B137, MemberOrgs_SortedTable[Unique CFDA], 0)), "")</f>
        <v/>
      </c>
      <c r="E137" s="40" t="str">
        <f>IFERROR(INDEX(MemberOrgs_SortedTable[President % Change], MATCH(B137, MemberOrgs_SortedTable[Unique CFDA], 0)), "")</f>
        <v/>
      </c>
      <c r="F137" s="39" t="str">
        <f>IFERROR(INDEX(MemberOrgs_SortedTable[President $ Change], MATCH(B137, MemberOrgs_SortedTable[Unique CFDA], 0)), "")</f>
        <v/>
      </c>
    </row>
    <row r="138" spans="2:6" x14ac:dyDescent="0.35">
      <c r="B138" s="47" t="str">
        <f>IFERROR(INDEX(MemberOrgs_SortedTable[Unique CFDA], MATCH(MemberOrgs_SortedTbl!P133, MemberOrgs_SortedTable[Final Pres. Sort], 0)), "")</f>
        <v/>
      </c>
      <c r="C138" s="35" t="str">
        <f>IFERROR(INDEX(MemberOrgs_SortedTable[Grant Name], MATCH(B138, MemberOrgs_SortedTable[Unique CFDA], 0)), "")</f>
        <v/>
      </c>
      <c r="D138" s="39" t="str">
        <f>IFERROR(INDEX(MemberOrgs_SortedTable[FY 2018 Total], MATCH(B138, MemberOrgs_SortedTable[Unique CFDA], 0)), "")</f>
        <v/>
      </c>
      <c r="E138" s="40" t="str">
        <f>IFERROR(INDEX(MemberOrgs_SortedTable[President % Change], MATCH(B138, MemberOrgs_SortedTable[Unique CFDA], 0)), "")</f>
        <v/>
      </c>
      <c r="F138" s="39" t="str">
        <f>IFERROR(INDEX(MemberOrgs_SortedTable[President $ Change], MATCH(B138, MemberOrgs_SortedTable[Unique CFDA], 0)), "")</f>
        <v/>
      </c>
    </row>
    <row r="139" spans="2:6" x14ac:dyDescent="0.35">
      <c r="B139" s="47" t="str">
        <f>IFERROR(INDEX(MemberOrgs_SortedTable[Unique CFDA], MATCH(MemberOrgs_SortedTbl!P134, MemberOrgs_SortedTable[Final Pres. Sort], 0)), "")</f>
        <v/>
      </c>
      <c r="C139" s="35" t="str">
        <f>IFERROR(INDEX(MemberOrgs_SortedTable[Grant Name], MATCH(B139, MemberOrgs_SortedTable[Unique CFDA], 0)), "")</f>
        <v/>
      </c>
      <c r="D139" s="39" t="str">
        <f>IFERROR(INDEX(MemberOrgs_SortedTable[FY 2018 Total], MATCH(B139, MemberOrgs_SortedTable[Unique CFDA], 0)), "")</f>
        <v/>
      </c>
      <c r="E139" s="40" t="str">
        <f>IFERROR(INDEX(MemberOrgs_SortedTable[President % Change], MATCH(B139, MemberOrgs_SortedTable[Unique CFDA], 0)), "")</f>
        <v/>
      </c>
      <c r="F139" s="39" t="str">
        <f>IFERROR(INDEX(MemberOrgs_SortedTable[President $ Change], MATCH(B139, MemberOrgs_SortedTable[Unique CFDA], 0)), "")</f>
        <v/>
      </c>
    </row>
    <row r="140" spans="2:6" x14ac:dyDescent="0.35">
      <c r="B140" s="47" t="str">
        <f>IFERROR(INDEX(MemberOrgs_SortedTable[Unique CFDA], MATCH(MemberOrgs_SortedTbl!P135, MemberOrgs_SortedTable[Final Pres. Sort], 0)), "")</f>
        <v/>
      </c>
      <c r="C140" s="35" t="str">
        <f>IFERROR(INDEX(MemberOrgs_SortedTable[Grant Name], MATCH(B140, MemberOrgs_SortedTable[Unique CFDA], 0)), "")</f>
        <v/>
      </c>
      <c r="D140" s="39" t="str">
        <f>IFERROR(INDEX(MemberOrgs_SortedTable[FY 2018 Total], MATCH(B140, MemberOrgs_SortedTable[Unique CFDA], 0)), "")</f>
        <v/>
      </c>
      <c r="E140" s="40" t="str">
        <f>IFERROR(INDEX(MemberOrgs_SortedTable[President % Change], MATCH(B140, MemberOrgs_SortedTable[Unique CFDA], 0)), "")</f>
        <v/>
      </c>
      <c r="F140" s="39" t="str">
        <f>IFERROR(INDEX(MemberOrgs_SortedTable[President $ Change], MATCH(B140, MemberOrgs_SortedTable[Unique CFDA], 0)), "")</f>
        <v/>
      </c>
    </row>
    <row r="141" spans="2:6" x14ac:dyDescent="0.35">
      <c r="B141" s="47" t="str">
        <f>IFERROR(INDEX(MemberOrgs_SortedTable[Unique CFDA], MATCH(MemberOrgs_SortedTbl!P136, MemberOrgs_SortedTable[Final Pres. Sort], 0)), "")</f>
        <v/>
      </c>
      <c r="C141" s="35" t="str">
        <f>IFERROR(INDEX(MemberOrgs_SortedTable[Grant Name], MATCH(B141, MemberOrgs_SortedTable[Unique CFDA], 0)), "")</f>
        <v/>
      </c>
      <c r="D141" s="39" t="str">
        <f>IFERROR(INDEX(MemberOrgs_SortedTable[FY 2018 Total], MATCH(B141, MemberOrgs_SortedTable[Unique CFDA], 0)), "")</f>
        <v/>
      </c>
      <c r="E141" s="40" t="str">
        <f>IFERROR(INDEX(MemberOrgs_SortedTable[President % Change], MATCH(B141, MemberOrgs_SortedTable[Unique CFDA], 0)), "")</f>
        <v/>
      </c>
      <c r="F141" s="39" t="str">
        <f>IFERROR(INDEX(MemberOrgs_SortedTable[President $ Change], MATCH(B141, MemberOrgs_SortedTable[Unique CFDA], 0)), "")</f>
        <v/>
      </c>
    </row>
    <row r="142" spans="2:6" x14ac:dyDescent="0.35">
      <c r="B142" s="47" t="str">
        <f>IFERROR(INDEX(MemberOrgs_SortedTable[Unique CFDA], MATCH(MemberOrgs_SortedTbl!P137, MemberOrgs_SortedTable[Final Pres. Sort], 0)), "")</f>
        <v/>
      </c>
      <c r="C142" s="35" t="str">
        <f>IFERROR(INDEX(MemberOrgs_SortedTable[Grant Name], MATCH(B142, MemberOrgs_SortedTable[Unique CFDA], 0)), "")</f>
        <v/>
      </c>
      <c r="D142" s="39" t="str">
        <f>IFERROR(INDEX(MemberOrgs_SortedTable[FY 2018 Total], MATCH(B142, MemberOrgs_SortedTable[Unique CFDA], 0)), "")</f>
        <v/>
      </c>
      <c r="E142" s="40" t="str">
        <f>IFERROR(INDEX(MemberOrgs_SortedTable[President % Change], MATCH(B142, MemberOrgs_SortedTable[Unique CFDA], 0)), "")</f>
        <v/>
      </c>
      <c r="F142" s="39" t="str">
        <f>IFERROR(INDEX(MemberOrgs_SortedTable[President $ Change], MATCH(B142, MemberOrgs_SortedTable[Unique CFDA], 0)), "")</f>
        <v/>
      </c>
    </row>
    <row r="143" spans="2:6" x14ac:dyDescent="0.35">
      <c r="B143" s="47" t="str">
        <f>IFERROR(INDEX(MemberOrgs_SortedTable[Unique CFDA], MATCH(MemberOrgs_SortedTbl!P138, MemberOrgs_SortedTable[Final Pres. Sort], 0)), "")</f>
        <v/>
      </c>
      <c r="C143" s="35" t="str">
        <f>IFERROR(INDEX(MemberOrgs_SortedTable[Grant Name], MATCH(B143, MemberOrgs_SortedTable[Unique CFDA], 0)), "")</f>
        <v/>
      </c>
      <c r="D143" s="39" t="str">
        <f>IFERROR(INDEX(MemberOrgs_SortedTable[FY 2018 Total], MATCH(B143, MemberOrgs_SortedTable[Unique CFDA], 0)), "")</f>
        <v/>
      </c>
      <c r="E143" s="40" t="str">
        <f>IFERROR(INDEX(MemberOrgs_SortedTable[President % Change], MATCH(B143, MemberOrgs_SortedTable[Unique CFDA], 0)), "")</f>
        <v/>
      </c>
      <c r="F143" s="39" t="str">
        <f>IFERROR(INDEX(MemberOrgs_SortedTable[President $ Change], MATCH(B143, MemberOrgs_SortedTable[Unique CFDA], 0)), "")</f>
        <v/>
      </c>
    </row>
    <row r="144" spans="2:6" x14ac:dyDescent="0.35">
      <c r="B144" s="47" t="str">
        <f>IFERROR(INDEX(MemberOrgs_SortedTable[Unique CFDA], MATCH(MemberOrgs_SortedTbl!P139, MemberOrgs_SortedTable[Final Pres. Sort], 0)), "")</f>
        <v/>
      </c>
      <c r="C144" s="35" t="str">
        <f>IFERROR(INDEX(MemberOrgs_SortedTable[Grant Name], MATCH(B144, MemberOrgs_SortedTable[Unique CFDA], 0)), "")</f>
        <v/>
      </c>
      <c r="D144" s="39" t="str">
        <f>IFERROR(INDEX(MemberOrgs_SortedTable[FY 2018 Total], MATCH(B144, MemberOrgs_SortedTable[Unique CFDA], 0)), "")</f>
        <v/>
      </c>
      <c r="E144" s="40" t="str">
        <f>IFERROR(INDEX(MemberOrgs_SortedTable[President % Change], MATCH(B144, MemberOrgs_SortedTable[Unique CFDA], 0)), "")</f>
        <v/>
      </c>
      <c r="F144" s="39" t="str">
        <f>IFERROR(INDEX(MemberOrgs_SortedTable[President $ Change], MATCH(B144, MemberOrgs_SortedTable[Unique CFDA], 0)), "")</f>
        <v/>
      </c>
    </row>
    <row r="145" spans="2:6" x14ac:dyDescent="0.35">
      <c r="B145" s="47" t="str">
        <f>IFERROR(INDEX(MemberOrgs_SortedTable[Unique CFDA], MATCH(MemberOrgs_SortedTbl!P140, MemberOrgs_SortedTable[Final Pres. Sort], 0)), "")</f>
        <v/>
      </c>
      <c r="C145" s="35" t="str">
        <f>IFERROR(INDEX(MemberOrgs_SortedTable[Grant Name], MATCH(B145, MemberOrgs_SortedTable[Unique CFDA], 0)), "")</f>
        <v/>
      </c>
      <c r="D145" s="39" t="str">
        <f>IFERROR(INDEX(MemberOrgs_SortedTable[FY 2018 Total], MATCH(B145, MemberOrgs_SortedTable[Unique CFDA], 0)), "")</f>
        <v/>
      </c>
      <c r="E145" s="40" t="str">
        <f>IFERROR(INDEX(MemberOrgs_SortedTable[President % Change], MATCH(B145, MemberOrgs_SortedTable[Unique CFDA], 0)), "")</f>
        <v/>
      </c>
      <c r="F145" s="39" t="str">
        <f>IFERROR(INDEX(MemberOrgs_SortedTable[President $ Change], MATCH(B145, MemberOrgs_SortedTable[Unique CFDA], 0)), "")</f>
        <v/>
      </c>
    </row>
    <row r="146" spans="2:6" x14ac:dyDescent="0.35">
      <c r="B146" s="47" t="str">
        <f>IFERROR(INDEX(MemberOrgs_SortedTable[Unique CFDA], MATCH(MemberOrgs_SortedTbl!P141, MemberOrgs_SortedTable[Final Pres. Sort], 0)), "")</f>
        <v/>
      </c>
      <c r="C146" s="35" t="str">
        <f>IFERROR(INDEX(MemberOrgs_SortedTable[Grant Name], MATCH(B146, MemberOrgs_SortedTable[Unique CFDA], 0)), "")</f>
        <v/>
      </c>
      <c r="D146" s="39" t="str">
        <f>IFERROR(INDEX(MemberOrgs_SortedTable[FY 2018 Total], MATCH(B146, MemberOrgs_SortedTable[Unique CFDA], 0)), "")</f>
        <v/>
      </c>
      <c r="E146" s="40" t="str">
        <f>IFERROR(INDEX(MemberOrgs_SortedTable[President % Change], MATCH(B146, MemberOrgs_SortedTable[Unique CFDA], 0)), "")</f>
        <v/>
      </c>
      <c r="F146" s="39" t="str">
        <f>IFERROR(INDEX(MemberOrgs_SortedTable[President $ Change], MATCH(B146, MemberOrgs_SortedTable[Unique CFDA], 0)), "")</f>
        <v/>
      </c>
    </row>
    <row r="147" spans="2:6" x14ac:dyDescent="0.35">
      <c r="B147" s="47" t="str">
        <f>IFERROR(INDEX(MemberOrgs_SortedTable[Unique CFDA], MATCH(MemberOrgs_SortedTbl!P142, MemberOrgs_SortedTable[Final Pres. Sort], 0)), "")</f>
        <v/>
      </c>
      <c r="C147" s="35" t="str">
        <f>IFERROR(INDEX(MemberOrgs_SortedTable[Grant Name], MATCH(B147, MemberOrgs_SortedTable[Unique CFDA], 0)), "")</f>
        <v/>
      </c>
      <c r="D147" s="39" t="str">
        <f>IFERROR(INDEX(MemberOrgs_SortedTable[FY 2018 Total], MATCH(B147, MemberOrgs_SortedTable[Unique CFDA], 0)), "")</f>
        <v/>
      </c>
      <c r="E147" s="40" t="str">
        <f>IFERROR(INDEX(MemberOrgs_SortedTable[President % Change], MATCH(B147, MemberOrgs_SortedTable[Unique CFDA], 0)), "")</f>
        <v/>
      </c>
      <c r="F147" s="39" t="str">
        <f>IFERROR(INDEX(MemberOrgs_SortedTable[President $ Change], MATCH(B147, MemberOrgs_SortedTable[Unique CFDA], 0)), "")</f>
        <v/>
      </c>
    </row>
    <row r="148" spans="2:6" x14ac:dyDescent="0.35">
      <c r="B148" s="47" t="str">
        <f>IFERROR(INDEX(MemberOrgs_SortedTable[Unique CFDA], MATCH(MemberOrgs_SortedTbl!P143, MemberOrgs_SortedTable[Final Pres. Sort], 0)), "")</f>
        <v/>
      </c>
      <c r="C148" s="35" t="str">
        <f>IFERROR(INDEX(MemberOrgs_SortedTable[Grant Name], MATCH(B148, MemberOrgs_SortedTable[Unique CFDA], 0)), "")</f>
        <v/>
      </c>
      <c r="D148" s="39" t="str">
        <f>IFERROR(INDEX(MemberOrgs_SortedTable[FY 2018 Total], MATCH(B148, MemberOrgs_SortedTable[Unique CFDA], 0)), "")</f>
        <v/>
      </c>
      <c r="E148" s="40" t="str">
        <f>IFERROR(INDEX(MemberOrgs_SortedTable[President % Change], MATCH(B148, MemberOrgs_SortedTable[Unique CFDA], 0)), "")</f>
        <v/>
      </c>
      <c r="F148" s="39" t="str">
        <f>IFERROR(INDEX(MemberOrgs_SortedTable[President $ Change], MATCH(B148, MemberOrgs_SortedTable[Unique CFDA], 0)), "")</f>
        <v/>
      </c>
    </row>
    <row r="149" spans="2:6" x14ac:dyDescent="0.35">
      <c r="B149" s="47" t="str">
        <f>IFERROR(INDEX(MemberOrgs_SortedTable[Unique CFDA], MATCH(MemberOrgs_SortedTbl!P144, MemberOrgs_SortedTable[Final Pres. Sort], 0)), "")</f>
        <v/>
      </c>
      <c r="C149" s="35" t="str">
        <f>IFERROR(INDEX(MemberOrgs_SortedTable[Grant Name], MATCH(B149, MemberOrgs_SortedTable[Unique CFDA], 0)), "")</f>
        <v/>
      </c>
      <c r="D149" s="39" t="str">
        <f>IFERROR(INDEX(MemberOrgs_SortedTable[FY 2018 Total], MATCH(B149, MemberOrgs_SortedTable[Unique CFDA], 0)), "")</f>
        <v/>
      </c>
      <c r="E149" s="40" t="str">
        <f>IFERROR(INDEX(MemberOrgs_SortedTable[President % Change], MATCH(B149, MemberOrgs_SortedTable[Unique CFDA], 0)), "")</f>
        <v/>
      </c>
      <c r="F149" s="39" t="str">
        <f>IFERROR(INDEX(MemberOrgs_SortedTable[President $ Change], MATCH(B149, MemberOrgs_SortedTable[Unique CFDA], 0)), "")</f>
        <v/>
      </c>
    </row>
    <row r="150" spans="2:6" x14ac:dyDescent="0.35">
      <c r="B150" s="47" t="str">
        <f>IFERROR(INDEX(MemberOrgs_SortedTable[Unique CFDA], MATCH(MemberOrgs_SortedTbl!P145, MemberOrgs_SortedTable[Final Pres. Sort], 0)), "")</f>
        <v/>
      </c>
      <c r="C150" s="35" t="str">
        <f>IFERROR(INDEX(MemberOrgs_SortedTable[Grant Name], MATCH(B150, MemberOrgs_SortedTable[Unique CFDA], 0)), "")</f>
        <v/>
      </c>
      <c r="D150" s="39" t="str">
        <f>IFERROR(INDEX(MemberOrgs_SortedTable[FY 2018 Total], MATCH(B150, MemberOrgs_SortedTable[Unique CFDA], 0)), "")</f>
        <v/>
      </c>
      <c r="E150" s="40" t="str">
        <f>IFERROR(INDEX(MemberOrgs_SortedTable[President % Change], MATCH(B150, MemberOrgs_SortedTable[Unique CFDA], 0)), "")</f>
        <v/>
      </c>
      <c r="F150" s="39" t="str">
        <f>IFERROR(INDEX(MemberOrgs_SortedTable[President $ Change], MATCH(B150, MemberOrgs_SortedTable[Unique CFDA], 0)), "")</f>
        <v/>
      </c>
    </row>
    <row r="151" spans="2:6" x14ac:dyDescent="0.35">
      <c r="B151" s="47" t="str">
        <f>IFERROR(INDEX(MemberOrgs_SortedTable[Unique CFDA], MATCH(MemberOrgs_SortedTbl!P146, MemberOrgs_SortedTable[Final Pres. Sort], 0)), "")</f>
        <v/>
      </c>
      <c r="C151" s="35" t="str">
        <f>IFERROR(INDEX(MemberOrgs_SortedTable[Grant Name], MATCH(B151, MemberOrgs_SortedTable[Unique CFDA], 0)), "")</f>
        <v/>
      </c>
      <c r="D151" s="39" t="str">
        <f>IFERROR(INDEX(MemberOrgs_SortedTable[FY 2018 Total], MATCH(B151, MemberOrgs_SortedTable[Unique CFDA], 0)), "")</f>
        <v/>
      </c>
      <c r="E151" s="40" t="str">
        <f>IFERROR(INDEX(MemberOrgs_SortedTable[President % Change], MATCH(B151, MemberOrgs_SortedTable[Unique CFDA], 0)), "")</f>
        <v/>
      </c>
      <c r="F151" s="39" t="str">
        <f>IFERROR(INDEX(MemberOrgs_SortedTable[President $ Change], MATCH(B151, MemberOrgs_SortedTable[Unique CFDA], 0)), "")</f>
        <v/>
      </c>
    </row>
    <row r="152" spans="2:6" x14ac:dyDescent="0.35">
      <c r="B152" s="47" t="str">
        <f>IFERROR(INDEX(MemberOrgs_SortedTable[Unique CFDA], MATCH(MemberOrgs_SortedTbl!P147, MemberOrgs_SortedTable[Final Pres. Sort], 0)), "")</f>
        <v/>
      </c>
      <c r="C152" s="35" t="str">
        <f>IFERROR(INDEX(MemberOrgs_SortedTable[Grant Name], MATCH(B152, MemberOrgs_SortedTable[Unique CFDA], 0)), "")</f>
        <v/>
      </c>
      <c r="D152" s="39" t="str">
        <f>IFERROR(INDEX(MemberOrgs_SortedTable[FY 2018 Total], MATCH(B152, MemberOrgs_SortedTable[Unique CFDA], 0)), "")</f>
        <v/>
      </c>
      <c r="E152" s="40" t="str">
        <f>IFERROR(INDEX(MemberOrgs_SortedTable[President % Change], MATCH(B152, MemberOrgs_SortedTable[Unique CFDA], 0)), "")</f>
        <v/>
      </c>
      <c r="F152" s="39" t="str">
        <f>IFERROR(INDEX(MemberOrgs_SortedTable[President $ Change], MATCH(B152, MemberOrgs_SortedTable[Unique CFDA], 0)), "")</f>
        <v/>
      </c>
    </row>
    <row r="153" spans="2:6" x14ac:dyDescent="0.35">
      <c r="B153" s="47" t="str">
        <f>IFERROR(INDEX(MemberOrgs_SortedTable[Unique CFDA], MATCH(MemberOrgs_SortedTbl!P148, MemberOrgs_SortedTable[Final Pres. Sort], 0)), "")</f>
        <v/>
      </c>
      <c r="C153" s="35" t="str">
        <f>IFERROR(INDEX(MemberOrgs_SortedTable[Grant Name], MATCH(B153, MemberOrgs_SortedTable[Unique CFDA], 0)), "")</f>
        <v/>
      </c>
      <c r="D153" s="39" t="str">
        <f>IFERROR(INDEX(MemberOrgs_SortedTable[FY 2018 Total], MATCH(B153, MemberOrgs_SortedTable[Unique CFDA], 0)), "")</f>
        <v/>
      </c>
      <c r="E153" s="40" t="str">
        <f>IFERROR(INDEX(MemberOrgs_SortedTable[President % Change], MATCH(B153, MemberOrgs_SortedTable[Unique CFDA], 0)), "")</f>
        <v/>
      </c>
      <c r="F153" s="39" t="str">
        <f>IFERROR(INDEX(MemberOrgs_SortedTable[President $ Change], MATCH(B153, MemberOrgs_SortedTable[Unique CFDA], 0)), "")</f>
        <v/>
      </c>
    </row>
    <row r="154" spans="2:6" x14ac:dyDescent="0.35">
      <c r="B154" s="47" t="str">
        <f>IFERROR(INDEX(MemberOrgs_SortedTable[Unique CFDA], MATCH(MemberOrgs_SortedTbl!P149, MemberOrgs_SortedTable[Final Pres. Sort], 0)), "")</f>
        <v/>
      </c>
      <c r="C154" s="35" t="str">
        <f>IFERROR(INDEX(MemberOrgs_SortedTable[Grant Name], MATCH(B154, MemberOrgs_SortedTable[Unique CFDA], 0)), "")</f>
        <v/>
      </c>
      <c r="D154" s="39" t="str">
        <f>IFERROR(INDEX(MemberOrgs_SortedTable[FY 2018 Total], MATCH(B154, MemberOrgs_SortedTable[Unique CFDA], 0)), "")</f>
        <v/>
      </c>
      <c r="E154" s="40" t="str">
        <f>IFERROR(INDEX(MemberOrgs_SortedTable[President % Change], MATCH(B154, MemberOrgs_SortedTable[Unique CFDA], 0)), "")</f>
        <v/>
      </c>
      <c r="F154" s="39" t="str">
        <f>IFERROR(INDEX(MemberOrgs_SortedTable[President $ Change], MATCH(B154, MemberOrgs_SortedTable[Unique CFDA], 0)), "")</f>
        <v/>
      </c>
    </row>
    <row r="155" spans="2:6" x14ac:dyDescent="0.35">
      <c r="B155" s="47" t="str">
        <f>IFERROR(INDEX(MemberOrgs_SortedTable[Unique CFDA], MATCH(MemberOrgs_SortedTbl!P150, MemberOrgs_SortedTable[Final Pres. Sort], 0)), "")</f>
        <v/>
      </c>
      <c r="C155" s="35" t="str">
        <f>IFERROR(INDEX(MemberOrgs_SortedTable[Grant Name], MATCH(B155, MemberOrgs_SortedTable[Unique CFDA], 0)), "")</f>
        <v/>
      </c>
      <c r="D155" s="39" t="str">
        <f>IFERROR(INDEX(MemberOrgs_SortedTable[FY 2018 Total], MATCH(B155, MemberOrgs_SortedTable[Unique CFDA], 0)), "")</f>
        <v/>
      </c>
      <c r="E155" s="40" t="str">
        <f>IFERROR(INDEX(MemberOrgs_SortedTable[President % Change], MATCH(B155, MemberOrgs_SortedTable[Unique CFDA], 0)), "")</f>
        <v/>
      </c>
      <c r="F155" s="39" t="str">
        <f>IFERROR(INDEX(MemberOrgs_SortedTable[President $ Change], MATCH(B155, MemberOrgs_SortedTable[Unique CFDA], 0)), "")</f>
        <v/>
      </c>
    </row>
    <row r="156" spans="2:6" x14ac:dyDescent="0.35">
      <c r="B156" s="47" t="str">
        <f>IFERROR(INDEX(MemberOrgs_SortedTable[Unique CFDA], MATCH(MemberOrgs_SortedTbl!P151, MemberOrgs_SortedTable[Final Pres. Sort], 0)), "")</f>
        <v/>
      </c>
      <c r="C156" s="35" t="str">
        <f>IFERROR(INDEX(MemberOrgs_SortedTable[Grant Name], MATCH(B156, MemberOrgs_SortedTable[Unique CFDA], 0)), "")</f>
        <v/>
      </c>
      <c r="D156" s="39" t="str">
        <f>IFERROR(INDEX(MemberOrgs_SortedTable[FY 2018 Total], MATCH(B156, MemberOrgs_SortedTable[Unique CFDA], 0)), "")</f>
        <v/>
      </c>
      <c r="E156" s="40" t="str">
        <f>IFERROR(INDEX(MemberOrgs_SortedTable[President % Change], MATCH(B156, MemberOrgs_SortedTable[Unique CFDA], 0)), "")</f>
        <v/>
      </c>
      <c r="F156" s="39" t="str">
        <f>IFERROR(INDEX(MemberOrgs_SortedTable[President $ Change], MATCH(B156, MemberOrgs_SortedTable[Unique CFDA], 0)), "")</f>
        <v/>
      </c>
    </row>
    <row r="157" spans="2:6" x14ac:dyDescent="0.35">
      <c r="B157" s="47" t="str">
        <f>IFERROR(INDEX(MemberOrgs_SortedTable[Unique CFDA], MATCH(MemberOrgs_SortedTbl!P152, MemberOrgs_SortedTable[Final Pres. Sort], 0)), "")</f>
        <v/>
      </c>
      <c r="C157" s="35" t="str">
        <f>IFERROR(INDEX(MemberOrgs_SortedTable[Grant Name], MATCH(B157, MemberOrgs_SortedTable[Unique CFDA], 0)), "")</f>
        <v/>
      </c>
      <c r="D157" s="39" t="str">
        <f>IFERROR(INDEX(MemberOrgs_SortedTable[FY 2018 Total], MATCH(B157, MemberOrgs_SortedTable[Unique CFDA], 0)), "")</f>
        <v/>
      </c>
      <c r="E157" s="40" t="str">
        <f>IFERROR(INDEX(MemberOrgs_SortedTable[President % Change], MATCH(B157, MemberOrgs_SortedTable[Unique CFDA], 0)), "")</f>
        <v/>
      </c>
      <c r="F157" s="39" t="str">
        <f>IFERROR(INDEX(MemberOrgs_SortedTable[President $ Change], MATCH(B157, MemberOrgs_SortedTable[Unique CFDA], 0)), "")</f>
        <v/>
      </c>
    </row>
    <row r="158" spans="2:6" x14ac:dyDescent="0.35">
      <c r="B158" s="47" t="str">
        <f>IFERROR(INDEX(MemberOrgs_SortedTable[Unique CFDA], MATCH(MemberOrgs_SortedTbl!P153, MemberOrgs_SortedTable[Final Pres. Sort], 0)), "")</f>
        <v/>
      </c>
      <c r="C158" s="35" t="str">
        <f>IFERROR(INDEX(MemberOrgs_SortedTable[Grant Name], MATCH(B158, MemberOrgs_SortedTable[Unique CFDA], 0)), "")</f>
        <v/>
      </c>
      <c r="D158" s="39" t="str">
        <f>IFERROR(INDEX(MemberOrgs_SortedTable[FY 2018 Total], MATCH(B158, MemberOrgs_SortedTable[Unique CFDA], 0)), "")</f>
        <v/>
      </c>
      <c r="E158" s="40" t="str">
        <f>IFERROR(INDEX(MemberOrgs_SortedTable[President % Change], MATCH(B158, MemberOrgs_SortedTable[Unique CFDA], 0)), "")</f>
        <v/>
      </c>
      <c r="F158" s="39" t="str">
        <f>IFERROR(INDEX(MemberOrgs_SortedTable[President $ Change], MATCH(B158, MemberOrgs_SortedTable[Unique CFDA], 0)), "")</f>
        <v/>
      </c>
    </row>
    <row r="159" spans="2:6" x14ac:dyDescent="0.35">
      <c r="B159" s="47" t="str">
        <f>IFERROR(INDEX(MemberOrgs_SortedTable[Unique CFDA], MATCH(MemberOrgs_SortedTbl!P154, MemberOrgs_SortedTable[Final Pres. Sort], 0)), "")</f>
        <v/>
      </c>
      <c r="C159" s="35" t="str">
        <f>IFERROR(INDEX(MemberOrgs_SortedTable[Grant Name], MATCH(B159, MemberOrgs_SortedTable[Unique CFDA], 0)), "")</f>
        <v/>
      </c>
      <c r="D159" s="39" t="str">
        <f>IFERROR(INDEX(MemberOrgs_SortedTable[FY 2018 Total], MATCH(B159, MemberOrgs_SortedTable[Unique CFDA], 0)), "")</f>
        <v/>
      </c>
      <c r="E159" s="40" t="str">
        <f>IFERROR(INDEX(MemberOrgs_SortedTable[President % Change], MATCH(B159, MemberOrgs_SortedTable[Unique CFDA], 0)), "")</f>
        <v/>
      </c>
      <c r="F159" s="39" t="str">
        <f>IFERROR(INDEX(MemberOrgs_SortedTable[President $ Change], MATCH(B159, MemberOrgs_SortedTable[Unique CFDA], 0)), "")</f>
        <v/>
      </c>
    </row>
    <row r="160" spans="2:6" x14ac:dyDescent="0.35">
      <c r="B160" s="47" t="str">
        <f>IFERROR(INDEX(MemberOrgs_SortedTable[Unique CFDA], MATCH(MemberOrgs_SortedTbl!P155, MemberOrgs_SortedTable[Final Pres. Sort], 0)), "")</f>
        <v/>
      </c>
      <c r="C160" s="35" t="str">
        <f>IFERROR(INDEX(MemberOrgs_SortedTable[Grant Name], MATCH(B160, MemberOrgs_SortedTable[Unique CFDA], 0)), "")</f>
        <v/>
      </c>
      <c r="D160" s="39" t="str">
        <f>IFERROR(INDEX(MemberOrgs_SortedTable[FY 2018 Total], MATCH(B160, MemberOrgs_SortedTable[Unique CFDA], 0)), "")</f>
        <v/>
      </c>
      <c r="E160" s="40" t="str">
        <f>IFERROR(INDEX(MemberOrgs_SortedTable[President % Change], MATCH(B160, MemberOrgs_SortedTable[Unique CFDA], 0)), "")</f>
        <v/>
      </c>
      <c r="F160" s="39" t="str">
        <f>IFERROR(INDEX(MemberOrgs_SortedTable[President $ Change], MATCH(B160, MemberOrgs_SortedTable[Unique CFDA], 0)), "")</f>
        <v/>
      </c>
    </row>
    <row r="161" spans="2:6" x14ac:dyDescent="0.35">
      <c r="B161" s="47" t="str">
        <f>IFERROR(INDEX(MemberOrgs_SortedTable[Unique CFDA], MATCH(MemberOrgs_SortedTbl!P156, MemberOrgs_SortedTable[Final Pres. Sort], 0)), "")</f>
        <v/>
      </c>
      <c r="C161" s="35" t="str">
        <f>IFERROR(INDEX(MemberOrgs_SortedTable[Grant Name], MATCH(B161, MemberOrgs_SortedTable[Unique CFDA], 0)), "")</f>
        <v/>
      </c>
      <c r="D161" s="39" t="str">
        <f>IFERROR(INDEX(MemberOrgs_SortedTable[FY 2018 Total], MATCH(B161, MemberOrgs_SortedTable[Unique CFDA], 0)), "")</f>
        <v/>
      </c>
      <c r="E161" s="40" t="str">
        <f>IFERROR(INDEX(MemberOrgs_SortedTable[President % Change], MATCH(B161, MemberOrgs_SortedTable[Unique CFDA], 0)), "")</f>
        <v/>
      </c>
      <c r="F161" s="39" t="str">
        <f>IFERROR(INDEX(MemberOrgs_SortedTable[President $ Change], MATCH(B161, MemberOrgs_SortedTable[Unique CFDA], 0)), "")</f>
        <v/>
      </c>
    </row>
    <row r="162" spans="2:6" x14ac:dyDescent="0.35">
      <c r="B162" s="47" t="str">
        <f>IFERROR(INDEX(MemberOrgs_SortedTable[Unique CFDA], MATCH(MemberOrgs_SortedTbl!P157, MemberOrgs_SortedTable[Final Pres. Sort], 0)), "")</f>
        <v/>
      </c>
      <c r="C162" s="35" t="str">
        <f>IFERROR(INDEX(MemberOrgs_SortedTable[Grant Name], MATCH(B162, MemberOrgs_SortedTable[Unique CFDA], 0)), "")</f>
        <v/>
      </c>
      <c r="D162" s="39" t="str">
        <f>IFERROR(INDEX(MemberOrgs_SortedTable[FY 2018 Total], MATCH(B162, MemberOrgs_SortedTable[Unique CFDA], 0)), "")</f>
        <v/>
      </c>
      <c r="E162" s="40" t="str">
        <f>IFERROR(INDEX(MemberOrgs_SortedTable[President % Change], MATCH(B162, MemberOrgs_SortedTable[Unique CFDA], 0)), "")</f>
        <v/>
      </c>
      <c r="F162" s="39" t="str">
        <f>IFERROR(INDEX(MemberOrgs_SortedTable[President $ Change], MATCH(B162, MemberOrgs_SortedTable[Unique CFDA], 0)), "")</f>
        <v/>
      </c>
    </row>
    <row r="163" spans="2:6" x14ac:dyDescent="0.35">
      <c r="B163" s="47" t="str">
        <f>IFERROR(INDEX(MemberOrgs_SortedTable[Unique CFDA], MATCH(MemberOrgs_SortedTbl!P158, MemberOrgs_SortedTable[Final Pres. Sort], 0)), "")</f>
        <v/>
      </c>
      <c r="C163" s="35" t="str">
        <f>IFERROR(INDEX(MemberOrgs_SortedTable[Grant Name], MATCH(B163, MemberOrgs_SortedTable[Unique CFDA], 0)), "")</f>
        <v/>
      </c>
      <c r="D163" s="39" t="str">
        <f>IFERROR(INDEX(MemberOrgs_SortedTable[FY 2018 Total], MATCH(B163, MemberOrgs_SortedTable[Unique CFDA], 0)), "")</f>
        <v/>
      </c>
      <c r="E163" s="40" t="str">
        <f>IFERROR(INDEX(MemberOrgs_SortedTable[President % Change], MATCH(B163, MemberOrgs_SortedTable[Unique CFDA], 0)), "")</f>
        <v/>
      </c>
      <c r="F163" s="39" t="str">
        <f>IFERROR(INDEX(MemberOrgs_SortedTable[President $ Change], MATCH(B163, MemberOrgs_SortedTable[Unique CFDA], 0)), "")</f>
        <v/>
      </c>
    </row>
    <row r="164" spans="2:6" x14ac:dyDescent="0.35">
      <c r="B164" s="47" t="str">
        <f>IFERROR(INDEX(MemberOrgs_SortedTable[Unique CFDA], MATCH(MemberOrgs_SortedTbl!P159, MemberOrgs_SortedTable[Final Pres. Sort], 0)), "")</f>
        <v/>
      </c>
      <c r="C164" s="35" t="str">
        <f>IFERROR(INDEX(MemberOrgs_SortedTable[Grant Name], MATCH(B164, MemberOrgs_SortedTable[Unique CFDA], 0)), "")</f>
        <v/>
      </c>
      <c r="D164" s="39" t="str">
        <f>IFERROR(INDEX(MemberOrgs_SortedTable[FY 2018 Total], MATCH(B164, MemberOrgs_SortedTable[Unique CFDA], 0)), "")</f>
        <v/>
      </c>
      <c r="E164" s="40" t="str">
        <f>IFERROR(INDEX(MemberOrgs_SortedTable[President % Change], MATCH(B164, MemberOrgs_SortedTable[Unique CFDA], 0)), "")</f>
        <v/>
      </c>
      <c r="F164" s="39" t="str">
        <f>IFERROR(INDEX(MemberOrgs_SortedTable[President $ Change], MATCH(B164, MemberOrgs_SortedTable[Unique CFDA], 0)), "")</f>
        <v/>
      </c>
    </row>
    <row r="165" spans="2:6" x14ac:dyDescent="0.35">
      <c r="B165" s="47" t="str">
        <f>IFERROR(INDEX(MemberOrgs_SortedTable[Unique CFDA], MATCH(MemberOrgs_SortedTbl!P160, MemberOrgs_SortedTable[Final Pres. Sort], 0)), "")</f>
        <v/>
      </c>
      <c r="C165" s="35" t="str">
        <f>IFERROR(INDEX(MemberOrgs_SortedTable[Grant Name], MATCH(B165, MemberOrgs_SortedTable[Unique CFDA], 0)), "")</f>
        <v/>
      </c>
      <c r="D165" s="39" t="str">
        <f>IFERROR(INDEX(MemberOrgs_SortedTable[FY 2018 Total], MATCH(B165, MemberOrgs_SortedTable[Unique CFDA], 0)), "")</f>
        <v/>
      </c>
      <c r="E165" s="40" t="str">
        <f>IFERROR(INDEX(MemberOrgs_SortedTable[President % Change], MATCH(B165, MemberOrgs_SortedTable[Unique CFDA], 0)), "")</f>
        <v/>
      </c>
      <c r="F165" s="39" t="str">
        <f>IFERROR(INDEX(MemberOrgs_SortedTable[President $ Change], MATCH(B165, MemberOrgs_SortedTable[Unique CFDA], 0)), "")</f>
        <v/>
      </c>
    </row>
    <row r="166" spans="2:6" x14ac:dyDescent="0.35">
      <c r="B166" s="47" t="str">
        <f>IFERROR(INDEX(MemberOrgs_SortedTable[Unique CFDA], MATCH(MemberOrgs_SortedTbl!P161, MemberOrgs_SortedTable[Final Pres. Sort], 0)), "")</f>
        <v/>
      </c>
      <c r="C166" s="35" t="str">
        <f>IFERROR(INDEX(MemberOrgs_SortedTable[Grant Name], MATCH(B166, MemberOrgs_SortedTable[Unique CFDA], 0)), "")</f>
        <v/>
      </c>
      <c r="D166" s="39" t="str">
        <f>IFERROR(INDEX(MemberOrgs_SortedTable[FY 2018 Total], MATCH(B166, MemberOrgs_SortedTable[Unique CFDA], 0)), "")</f>
        <v/>
      </c>
      <c r="E166" s="40" t="str">
        <f>IFERROR(INDEX(MemberOrgs_SortedTable[President % Change], MATCH(B166, MemberOrgs_SortedTable[Unique CFDA], 0)), "")</f>
        <v/>
      </c>
      <c r="F166" s="39" t="str">
        <f>IFERROR(INDEX(MemberOrgs_SortedTable[President $ Change], MATCH(B166, MemberOrgs_SortedTable[Unique CFDA], 0)), "")</f>
        <v/>
      </c>
    </row>
    <row r="167" spans="2:6" x14ac:dyDescent="0.35">
      <c r="B167" s="47" t="str">
        <f>IFERROR(INDEX(MemberOrgs_SortedTable[Unique CFDA], MATCH(MemberOrgs_SortedTbl!P162, MemberOrgs_SortedTable[Final Pres. Sort], 0)), "")</f>
        <v/>
      </c>
      <c r="C167" s="35" t="str">
        <f>IFERROR(INDEX(MemberOrgs_SortedTable[Grant Name], MATCH(B167, MemberOrgs_SortedTable[Unique CFDA], 0)), "")</f>
        <v/>
      </c>
      <c r="D167" s="39" t="str">
        <f>IFERROR(INDEX(MemberOrgs_SortedTable[FY 2018 Total], MATCH(B167, MemberOrgs_SortedTable[Unique CFDA], 0)), "")</f>
        <v/>
      </c>
      <c r="E167" s="40" t="str">
        <f>IFERROR(INDEX(MemberOrgs_SortedTable[President % Change], MATCH(B167, MemberOrgs_SortedTable[Unique CFDA], 0)), "")</f>
        <v/>
      </c>
      <c r="F167" s="39" t="str">
        <f>IFERROR(INDEX(MemberOrgs_SortedTable[President $ Change], MATCH(B167, MemberOrgs_SortedTable[Unique CFDA], 0)), "")</f>
        <v/>
      </c>
    </row>
    <row r="168" spans="2:6" x14ac:dyDescent="0.35">
      <c r="B168" s="47" t="str">
        <f>IFERROR(INDEX(MemberOrgs_SortedTable[Unique CFDA], MATCH(MemberOrgs_SortedTbl!P163, MemberOrgs_SortedTable[Final Pres. Sort], 0)), "")</f>
        <v/>
      </c>
      <c r="C168" s="35" t="str">
        <f>IFERROR(INDEX(MemberOrgs_SortedTable[Grant Name], MATCH(B168, MemberOrgs_SortedTable[Unique CFDA], 0)), "")</f>
        <v/>
      </c>
      <c r="D168" s="39" t="str">
        <f>IFERROR(INDEX(MemberOrgs_SortedTable[FY 2018 Total], MATCH(B168, MemberOrgs_SortedTable[Unique CFDA], 0)), "")</f>
        <v/>
      </c>
      <c r="E168" s="40" t="str">
        <f>IFERROR(INDEX(MemberOrgs_SortedTable[President % Change], MATCH(B168, MemberOrgs_SortedTable[Unique CFDA], 0)), "")</f>
        <v/>
      </c>
      <c r="F168" s="39" t="str">
        <f>IFERROR(INDEX(MemberOrgs_SortedTable[President $ Change], MATCH(B168, MemberOrgs_SortedTable[Unique CFDA], 0)), "")</f>
        <v/>
      </c>
    </row>
    <row r="169" spans="2:6" x14ac:dyDescent="0.35">
      <c r="B169" s="47" t="str">
        <f>IFERROR(INDEX(MemberOrgs_SortedTable[Unique CFDA], MATCH(MemberOrgs_SortedTbl!P164, MemberOrgs_SortedTable[Final Pres. Sort], 0)), "")</f>
        <v/>
      </c>
      <c r="C169" s="35" t="str">
        <f>IFERROR(INDEX(MemberOrgs_SortedTable[Grant Name], MATCH(B169, MemberOrgs_SortedTable[Unique CFDA], 0)), "")</f>
        <v/>
      </c>
      <c r="D169" s="39" t="str">
        <f>IFERROR(INDEX(MemberOrgs_SortedTable[FY 2018 Total], MATCH(B169, MemberOrgs_SortedTable[Unique CFDA], 0)), "")</f>
        <v/>
      </c>
      <c r="E169" s="40" t="str">
        <f>IFERROR(INDEX(MemberOrgs_SortedTable[President % Change], MATCH(B169, MemberOrgs_SortedTable[Unique CFDA], 0)), "")</f>
        <v/>
      </c>
      <c r="F169" s="39" t="str">
        <f>IFERROR(INDEX(MemberOrgs_SortedTable[President $ Change], MATCH(B169, MemberOrgs_SortedTable[Unique CFDA], 0)), "")</f>
        <v/>
      </c>
    </row>
    <row r="170" spans="2:6" x14ac:dyDescent="0.35">
      <c r="B170" s="47" t="str">
        <f>IFERROR(INDEX(MemberOrgs_SortedTable[Unique CFDA], MATCH(MemberOrgs_SortedTbl!P165, MemberOrgs_SortedTable[Final Pres. Sort], 0)), "")</f>
        <v/>
      </c>
      <c r="C170" s="35" t="str">
        <f>IFERROR(INDEX(MemberOrgs_SortedTable[Grant Name], MATCH(B170, MemberOrgs_SortedTable[Unique CFDA], 0)), "")</f>
        <v/>
      </c>
      <c r="D170" s="39" t="str">
        <f>IFERROR(INDEX(MemberOrgs_SortedTable[FY 2018 Total], MATCH(B170, MemberOrgs_SortedTable[Unique CFDA], 0)), "")</f>
        <v/>
      </c>
      <c r="E170" s="40" t="str">
        <f>IFERROR(INDEX(MemberOrgs_SortedTable[President % Change], MATCH(B170, MemberOrgs_SortedTable[Unique CFDA], 0)), "")</f>
        <v/>
      </c>
      <c r="F170" s="39" t="str">
        <f>IFERROR(INDEX(MemberOrgs_SortedTable[President $ Change], MATCH(B170, MemberOrgs_SortedTable[Unique CFDA], 0)), "")</f>
        <v/>
      </c>
    </row>
    <row r="171" spans="2:6" x14ac:dyDescent="0.35">
      <c r="B171" s="47" t="str">
        <f>IFERROR(INDEX(MemberOrgs_SortedTable[Unique CFDA], MATCH(MemberOrgs_SortedTbl!P166, MemberOrgs_SortedTable[Final Pres. Sort], 0)), "")</f>
        <v/>
      </c>
      <c r="C171" s="35" t="str">
        <f>IFERROR(INDEX(MemberOrgs_SortedTable[Grant Name], MATCH(B171, MemberOrgs_SortedTable[Unique CFDA], 0)), "")</f>
        <v/>
      </c>
      <c r="D171" s="39" t="str">
        <f>IFERROR(INDEX(MemberOrgs_SortedTable[FY 2018 Total], MATCH(B171, MemberOrgs_SortedTable[Unique CFDA], 0)), "")</f>
        <v/>
      </c>
      <c r="E171" s="40" t="str">
        <f>IFERROR(INDEX(MemberOrgs_SortedTable[President % Change], MATCH(B171, MemberOrgs_SortedTable[Unique CFDA], 0)), "")</f>
        <v/>
      </c>
      <c r="F171" s="39" t="str">
        <f>IFERROR(INDEX(MemberOrgs_SortedTable[President $ Change], MATCH(B171, MemberOrgs_SortedTable[Unique CFDA], 0)), "")</f>
        <v/>
      </c>
    </row>
    <row r="172" spans="2:6" x14ac:dyDescent="0.35">
      <c r="B172" s="47" t="str">
        <f>IFERROR(INDEX(MemberOrgs_SortedTable[Unique CFDA], MATCH(MemberOrgs_SortedTbl!P167, MemberOrgs_SortedTable[Final Pres. Sort], 0)), "")</f>
        <v/>
      </c>
      <c r="C172" s="35" t="str">
        <f>IFERROR(INDEX(MemberOrgs_SortedTable[Grant Name], MATCH(B172, MemberOrgs_SortedTable[Unique CFDA], 0)), "")</f>
        <v/>
      </c>
      <c r="D172" s="39" t="str">
        <f>IFERROR(INDEX(MemberOrgs_SortedTable[FY 2018 Total], MATCH(B172, MemberOrgs_SortedTable[Unique CFDA], 0)), "")</f>
        <v/>
      </c>
      <c r="E172" s="40" t="str">
        <f>IFERROR(INDEX(MemberOrgs_SortedTable[President % Change], MATCH(B172, MemberOrgs_SortedTable[Unique CFDA], 0)), "")</f>
        <v/>
      </c>
      <c r="F172" s="39" t="str">
        <f>IFERROR(INDEX(MemberOrgs_SortedTable[President $ Change], MATCH(B172, MemberOrgs_SortedTable[Unique CFDA], 0)), "")</f>
        <v/>
      </c>
    </row>
    <row r="173" spans="2:6" x14ac:dyDescent="0.35">
      <c r="B173" s="47" t="str">
        <f>IFERROR(INDEX(MemberOrgs_SortedTable[Unique CFDA], MATCH(MemberOrgs_SortedTbl!P168, MemberOrgs_SortedTable[Final Pres. Sort], 0)), "")</f>
        <v/>
      </c>
      <c r="C173" s="35" t="str">
        <f>IFERROR(INDEX(MemberOrgs_SortedTable[Grant Name], MATCH(B173, MemberOrgs_SortedTable[Unique CFDA], 0)), "")</f>
        <v/>
      </c>
      <c r="D173" s="39" t="str">
        <f>IFERROR(INDEX(MemberOrgs_SortedTable[FY 2018 Total], MATCH(B173, MemberOrgs_SortedTable[Unique CFDA], 0)), "")</f>
        <v/>
      </c>
      <c r="E173" s="40" t="str">
        <f>IFERROR(INDEX(MemberOrgs_SortedTable[President % Change], MATCH(B173, MemberOrgs_SortedTable[Unique CFDA], 0)), "")</f>
        <v/>
      </c>
      <c r="F173" s="39" t="str">
        <f>IFERROR(INDEX(MemberOrgs_SortedTable[President $ Change], MATCH(B173, MemberOrgs_SortedTable[Unique CFDA], 0)), "")</f>
        <v/>
      </c>
    </row>
    <row r="174" spans="2:6" x14ac:dyDescent="0.35">
      <c r="B174" s="47" t="str">
        <f>IFERROR(INDEX(MemberOrgs_SortedTable[Unique CFDA], MATCH(MemberOrgs_SortedTbl!P169, MemberOrgs_SortedTable[Final Pres. Sort], 0)), "")</f>
        <v/>
      </c>
      <c r="C174" s="35" t="str">
        <f>IFERROR(INDEX(MemberOrgs_SortedTable[Grant Name], MATCH(B174, MemberOrgs_SortedTable[Unique CFDA], 0)), "")</f>
        <v/>
      </c>
      <c r="D174" s="39" t="str">
        <f>IFERROR(INDEX(MemberOrgs_SortedTable[FY 2018 Total], MATCH(B174, MemberOrgs_SortedTable[Unique CFDA], 0)), "")</f>
        <v/>
      </c>
      <c r="E174" s="40" t="str">
        <f>IFERROR(INDEX(MemberOrgs_SortedTable[President % Change], MATCH(B174, MemberOrgs_SortedTable[Unique CFDA], 0)), "")</f>
        <v/>
      </c>
      <c r="F174" s="39" t="str">
        <f>IFERROR(INDEX(MemberOrgs_SortedTable[President $ Change], MATCH(B174, MemberOrgs_SortedTable[Unique CFDA], 0)), "")</f>
        <v/>
      </c>
    </row>
    <row r="175" spans="2:6" x14ac:dyDescent="0.35">
      <c r="B175" s="47" t="str">
        <f>IFERROR(INDEX(MemberOrgs_SortedTable[Unique CFDA], MATCH(MemberOrgs_SortedTbl!P170, MemberOrgs_SortedTable[Final Pres. Sort], 0)), "")</f>
        <v/>
      </c>
      <c r="C175" s="35" t="str">
        <f>IFERROR(INDEX(MemberOrgs_SortedTable[Grant Name], MATCH(B175, MemberOrgs_SortedTable[Unique CFDA], 0)), "")</f>
        <v/>
      </c>
      <c r="D175" s="39" t="str">
        <f>IFERROR(INDEX(MemberOrgs_SortedTable[FY 2018 Total], MATCH(B175, MemberOrgs_SortedTable[Unique CFDA], 0)), "")</f>
        <v/>
      </c>
      <c r="E175" s="40" t="str">
        <f>IFERROR(INDEX(MemberOrgs_SortedTable[President % Change], MATCH(B175, MemberOrgs_SortedTable[Unique CFDA], 0)), "")</f>
        <v/>
      </c>
      <c r="F175" s="39" t="str">
        <f>IFERROR(INDEX(MemberOrgs_SortedTable[President $ Change], MATCH(B175, MemberOrgs_SortedTable[Unique CFDA], 0)), "")</f>
        <v/>
      </c>
    </row>
    <row r="176" spans="2:6" x14ac:dyDescent="0.35">
      <c r="B176" s="47" t="str">
        <f>IFERROR(INDEX(MemberOrgs_SortedTable[Unique CFDA], MATCH(MemberOrgs_SortedTbl!P171, MemberOrgs_SortedTable[Final Pres. Sort], 0)), "")</f>
        <v/>
      </c>
      <c r="C176" s="35" t="str">
        <f>IFERROR(INDEX(MemberOrgs_SortedTable[Grant Name], MATCH(B176, MemberOrgs_SortedTable[Unique CFDA], 0)), "")</f>
        <v/>
      </c>
      <c r="D176" s="39" t="str">
        <f>IFERROR(INDEX(MemberOrgs_SortedTable[FY 2018 Total], MATCH(B176, MemberOrgs_SortedTable[Unique CFDA], 0)), "")</f>
        <v/>
      </c>
      <c r="E176" s="40" t="str">
        <f>IFERROR(INDEX(MemberOrgs_SortedTable[President % Change], MATCH(B176, MemberOrgs_SortedTable[Unique CFDA], 0)), "")</f>
        <v/>
      </c>
      <c r="F176" s="39" t="str">
        <f>IFERROR(INDEX(MemberOrgs_SortedTable[President $ Change], MATCH(B176, MemberOrgs_SortedTable[Unique CFDA], 0)), "")</f>
        <v/>
      </c>
    </row>
    <row r="177" spans="2:6" x14ac:dyDescent="0.35">
      <c r="B177" s="47" t="str">
        <f>IFERROR(INDEX(MemberOrgs_SortedTable[Unique CFDA], MATCH(MemberOrgs_SortedTbl!P172, MemberOrgs_SortedTable[Final Pres. Sort], 0)), "")</f>
        <v/>
      </c>
      <c r="C177" s="35" t="str">
        <f>IFERROR(INDEX(MemberOrgs_SortedTable[Grant Name], MATCH(B177, MemberOrgs_SortedTable[Unique CFDA], 0)), "")</f>
        <v/>
      </c>
      <c r="D177" s="39" t="str">
        <f>IFERROR(INDEX(MemberOrgs_SortedTable[FY 2018 Total], MATCH(B177, MemberOrgs_SortedTable[Unique CFDA], 0)), "")</f>
        <v/>
      </c>
      <c r="E177" s="40" t="str">
        <f>IFERROR(INDEX(MemberOrgs_SortedTable[President % Change], MATCH(B177, MemberOrgs_SortedTable[Unique CFDA], 0)), "")</f>
        <v/>
      </c>
      <c r="F177" s="39" t="str">
        <f>IFERROR(INDEX(MemberOrgs_SortedTable[President $ Change], MATCH(B177, MemberOrgs_SortedTable[Unique CFDA], 0)), "")</f>
        <v/>
      </c>
    </row>
    <row r="178" spans="2:6" x14ac:dyDescent="0.35">
      <c r="B178" s="47" t="str">
        <f>IFERROR(INDEX(MemberOrgs_SortedTable[Unique CFDA], MATCH(MemberOrgs_SortedTbl!P173, MemberOrgs_SortedTable[Final Pres. Sort], 0)), "")</f>
        <v/>
      </c>
      <c r="C178" s="35" t="str">
        <f>IFERROR(INDEX(MemberOrgs_SortedTable[Grant Name], MATCH(B178, MemberOrgs_SortedTable[Unique CFDA], 0)), "")</f>
        <v/>
      </c>
      <c r="D178" s="39" t="str">
        <f>IFERROR(INDEX(MemberOrgs_SortedTable[FY 2018 Total], MATCH(B178, MemberOrgs_SortedTable[Unique CFDA], 0)), "")</f>
        <v/>
      </c>
      <c r="E178" s="40" t="str">
        <f>IFERROR(INDEX(MemberOrgs_SortedTable[President % Change], MATCH(B178, MemberOrgs_SortedTable[Unique CFDA], 0)), "")</f>
        <v/>
      </c>
      <c r="F178" s="39" t="str">
        <f>IFERROR(INDEX(MemberOrgs_SortedTable[President $ Change], MATCH(B178, MemberOrgs_SortedTable[Unique CFDA], 0)), "")</f>
        <v/>
      </c>
    </row>
    <row r="179" spans="2:6" x14ac:dyDescent="0.35">
      <c r="B179" s="47" t="str">
        <f>IFERROR(INDEX(MemberOrgs_SortedTable[Unique CFDA], MATCH(MemberOrgs_SortedTbl!P174, MemberOrgs_SortedTable[Final Pres. Sort], 0)), "")</f>
        <v/>
      </c>
      <c r="C179" s="35" t="str">
        <f>IFERROR(INDEX(MemberOrgs_SortedTable[Grant Name], MATCH(B179, MemberOrgs_SortedTable[Unique CFDA], 0)), "")</f>
        <v/>
      </c>
      <c r="D179" s="39" t="str">
        <f>IFERROR(INDEX(MemberOrgs_SortedTable[FY 2018 Total], MATCH(B179, MemberOrgs_SortedTable[Unique CFDA], 0)), "")</f>
        <v/>
      </c>
      <c r="E179" s="40" t="str">
        <f>IFERROR(INDEX(MemberOrgs_SortedTable[President % Change], MATCH(B179, MemberOrgs_SortedTable[Unique CFDA], 0)), "")</f>
        <v/>
      </c>
      <c r="F179" s="39" t="str">
        <f>IFERROR(INDEX(MemberOrgs_SortedTable[President $ Change], MATCH(B179, MemberOrgs_SortedTable[Unique CFDA], 0)), "")</f>
        <v/>
      </c>
    </row>
    <row r="180" spans="2:6" x14ac:dyDescent="0.35">
      <c r="B180" s="47" t="str">
        <f>IFERROR(INDEX(MemberOrgs_SortedTable[Unique CFDA], MATCH(MemberOrgs_SortedTbl!P175, MemberOrgs_SortedTable[Final Pres. Sort], 0)), "")</f>
        <v/>
      </c>
      <c r="C180" s="35" t="str">
        <f>IFERROR(INDEX(MemberOrgs_SortedTable[Grant Name], MATCH(B180, MemberOrgs_SortedTable[Unique CFDA], 0)), "")</f>
        <v/>
      </c>
      <c r="D180" s="39" t="str">
        <f>IFERROR(INDEX(MemberOrgs_SortedTable[FY 2018 Total], MATCH(B180, MemberOrgs_SortedTable[Unique CFDA], 0)), "")</f>
        <v/>
      </c>
      <c r="E180" s="40" t="str">
        <f>IFERROR(INDEX(MemberOrgs_SortedTable[President % Change], MATCH(B180, MemberOrgs_SortedTable[Unique CFDA], 0)), "")</f>
        <v/>
      </c>
      <c r="F180" s="39" t="str">
        <f>IFERROR(INDEX(MemberOrgs_SortedTable[President $ Change], MATCH(B180, MemberOrgs_SortedTable[Unique CFDA], 0)), "")</f>
        <v/>
      </c>
    </row>
    <row r="181" spans="2:6" x14ac:dyDescent="0.35">
      <c r="B181" s="47" t="str">
        <f>IFERROR(INDEX(MemberOrgs_SortedTable[Unique CFDA], MATCH(MemberOrgs_SortedTbl!P176, MemberOrgs_SortedTable[Final Pres. Sort], 0)), "")</f>
        <v/>
      </c>
      <c r="C181" s="35" t="str">
        <f>IFERROR(INDEX(MemberOrgs_SortedTable[Grant Name], MATCH(B181, MemberOrgs_SortedTable[Unique CFDA], 0)), "")</f>
        <v/>
      </c>
      <c r="D181" s="39" t="str">
        <f>IFERROR(INDEX(MemberOrgs_SortedTable[FY 2018 Total], MATCH(B181, MemberOrgs_SortedTable[Unique CFDA], 0)), "")</f>
        <v/>
      </c>
      <c r="E181" s="40" t="str">
        <f>IFERROR(INDEX(MemberOrgs_SortedTable[President % Change], MATCH(B181, MemberOrgs_SortedTable[Unique CFDA], 0)), "")</f>
        <v/>
      </c>
      <c r="F181" s="39" t="str">
        <f>IFERROR(INDEX(MemberOrgs_SortedTable[President $ Change], MATCH(B181, MemberOrgs_SortedTable[Unique CFDA], 0)), "")</f>
        <v/>
      </c>
    </row>
    <row r="182" spans="2:6" x14ac:dyDescent="0.35">
      <c r="B182" s="47" t="str">
        <f>IFERROR(INDEX(MemberOrgs_SortedTable[Unique CFDA], MATCH(MemberOrgs_SortedTbl!P177, MemberOrgs_SortedTable[Final Pres. Sort], 0)), "")</f>
        <v/>
      </c>
      <c r="C182" s="35" t="str">
        <f>IFERROR(INDEX(MemberOrgs_SortedTable[Grant Name], MATCH(B182, MemberOrgs_SortedTable[Unique CFDA], 0)), "")</f>
        <v/>
      </c>
      <c r="D182" s="39" t="str">
        <f>IFERROR(INDEX(MemberOrgs_SortedTable[FY 2018 Total], MATCH(B182, MemberOrgs_SortedTable[Unique CFDA], 0)), "")</f>
        <v/>
      </c>
      <c r="E182" s="40" t="str">
        <f>IFERROR(INDEX(MemberOrgs_SortedTable[President % Change], MATCH(B182, MemberOrgs_SortedTable[Unique CFDA], 0)), "")</f>
        <v/>
      </c>
      <c r="F182" s="39" t="str">
        <f>IFERROR(INDEX(MemberOrgs_SortedTable[President $ Change], MATCH(B182, MemberOrgs_SortedTable[Unique CFDA], 0)), "")</f>
        <v/>
      </c>
    </row>
    <row r="183" spans="2:6" x14ac:dyDescent="0.35">
      <c r="B183" s="47" t="str">
        <f>IFERROR(INDEX(MemberOrgs_SortedTable[Unique CFDA], MATCH(MemberOrgs_SortedTbl!P178, MemberOrgs_SortedTable[Final Pres. Sort], 0)), "")</f>
        <v/>
      </c>
      <c r="C183" s="35" t="str">
        <f>IFERROR(INDEX(MemberOrgs_SortedTable[Grant Name], MATCH(B183, MemberOrgs_SortedTable[Unique CFDA], 0)), "")</f>
        <v/>
      </c>
      <c r="D183" s="39" t="str">
        <f>IFERROR(INDEX(MemberOrgs_SortedTable[FY 2018 Total], MATCH(B183, MemberOrgs_SortedTable[Unique CFDA], 0)), "")</f>
        <v/>
      </c>
      <c r="E183" s="40" t="str">
        <f>IFERROR(INDEX(MemberOrgs_SortedTable[President % Change], MATCH(B183, MemberOrgs_SortedTable[Unique CFDA], 0)), "")</f>
        <v/>
      </c>
      <c r="F183" s="39" t="str">
        <f>IFERROR(INDEX(MemberOrgs_SortedTable[President $ Change], MATCH(B183, MemberOrgs_SortedTable[Unique CFDA], 0)), "")</f>
        <v/>
      </c>
    </row>
    <row r="184" spans="2:6" x14ac:dyDescent="0.35">
      <c r="B184" s="47" t="str">
        <f>IFERROR(INDEX(MemberOrgs_SortedTable[Unique CFDA], MATCH(MemberOrgs_SortedTbl!P179, MemberOrgs_SortedTable[Final Pres. Sort], 0)), "")</f>
        <v/>
      </c>
      <c r="C184" s="35" t="str">
        <f>IFERROR(INDEX(MemberOrgs_SortedTable[Grant Name], MATCH(B184, MemberOrgs_SortedTable[Unique CFDA], 0)), "")</f>
        <v/>
      </c>
      <c r="D184" s="39" t="str">
        <f>IFERROR(INDEX(MemberOrgs_SortedTable[FY 2018 Total], MATCH(B184, MemberOrgs_SortedTable[Unique CFDA], 0)), "")</f>
        <v/>
      </c>
      <c r="E184" s="40" t="str">
        <f>IFERROR(INDEX(MemberOrgs_SortedTable[President % Change], MATCH(B184, MemberOrgs_SortedTable[Unique CFDA], 0)), "")</f>
        <v/>
      </c>
      <c r="F184" s="39" t="str">
        <f>IFERROR(INDEX(MemberOrgs_SortedTable[President $ Change], MATCH(B184, MemberOrgs_SortedTable[Unique CFDA], 0)), "")</f>
        <v/>
      </c>
    </row>
    <row r="185" spans="2:6" x14ac:dyDescent="0.35">
      <c r="B185" s="47" t="str">
        <f>IFERROR(INDEX(MemberOrgs_SortedTable[Unique CFDA], MATCH(MemberOrgs_SortedTbl!P180, MemberOrgs_SortedTable[Final Pres. Sort], 0)), "")</f>
        <v/>
      </c>
      <c r="C185" s="35" t="str">
        <f>IFERROR(INDEX(MemberOrgs_SortedTable[Grant Name], MATCH(B185, MemberOrgs_SortedTable[Unique CFDA], 0)), "")</f>
        <v/>
      </c>
      <c r="D185" s="39" t="str">
        <f>IFERROR(INDEX(MemberOrgs_SortedTable[FY 2018 Total], MATCH(B185, MemberOrgs_SortedTable[Unique CFDA], 0)), "")</f>
        <v/>
      </c>
      <c r="E185" s="40" t="str">
        <f>IFERROR(INDEX(MemberOrgs_SortedTable[President % Change], MATCH(B185, MemberOrgs_SortedTable[Unique CFDA], 0)), "")</f>
        <v/>
      </c>
      <c r="F185" s="39" t="str">
        <f>IFERROR(INDEX(MemberOrgs_SortedTable[President $ Change], MATCH(B185, MemberOrgs_SortedTable[Unique CFDA], 0)), "")</f>
        <v/>
      </c>
    </row>
    <row r="186" spans="2:6" x14ac:dyDescent="0.35">
      <c r="B186" s="47" t="str">
        <f>IFERROR(INDEX(MemberOrgs_SortedTable[Unique CFDA], MATCH(MemberOrgs_SortedTbl!P181, MemberOrgs_SortedTable[Final Pres. Sort], 0)), "")</f>
        <v/>
      </c>
      <c r="C186" s="35" t="str">
        <f>IFERROR(INDEX(MemberOrgs_SortedTable[Grant Name], MATCH(B186, MemberOrgs_SortedTable[Unique CFDA], 0)), "")</f>
        <v/>
      </c>
      <c r="D186" s="39" t="str">
        <f>IFERROR(INDEX(MemberOrgs_SortedTable[FY 2018 Total], MATCH(B186, MemberOrgs_SortedTable[Unique CFDA], 0)), "")</f>
        <v/>
      </c>
      <c r="E186" s="40" t="str">
        <f>IFERROR(INDEX(MemberOrgs_SortedTable[President % Change], MATCH(B186, MemberOrgs_SortedTable[Unique CFDA], 0)), "")</f>
        <v/>
      </c>
      <c r="F186" s="39" t="str">
        <f>IFERROR(INDEX(MemberOrgs_SortedTable[President $ Change], MATCH(B186, MemberOrgs_SortedTable[Unique CFDA], 0)), "")</f>
        <v/>
      </c>
    </row>
    <row r="187" spans="2:6" x14ac:dyDescent="0.35">
      <c r="B187" s="47" t="str">
        <f>IFERROR(INDEX(MemberOrgs_SortedTable[Unique CFDA], MATCH(MemberOrgs_SortedTbl!P182, MemberOrgs_SortedTable[Final Pres. Sort], 0)), "")</f>
        <v/>
      </c>
      <c r="C187" s="35" t="str">
        <f>IFERROR(INDEX(MemberOrgs_SortedTable[Grant Name], MATCH(B187, MemberOrgs_SortedTable[Unique CFDA], 0)), "")</f>
        <v/>
      </c>
      <c r="D187" s="39" t="str">
        <f>IFERROR(INDEX(MemberOrgs_SortedTable[FY 2018 Total], MATCH(B187, MemberOrgs_SortedTable[Unique CFDA], 0)), "")</f>
        <v/>
      </c>
      <c r="E187" s="40" t="str">
        <f>IFERROR(INDEX(MemberOrgs_SortedTable[President % Change], MATCH(B187, MemberOrgs_SortedTable[Unique CFDA], 0)), "")</f>
        <v/>
      </c>
      <c r="F187" s="39" t="str">
        <f>IFERROR(INDEX(MemberOrgs_SortedTable[President $ Change], MATCH(B187, MemberOrgs_SortedTable[Unique CFDA], 0)), "")</f>
        <v/>
      </c>
    </row>
    <row r="188" spans="2:6" x14ac:dyDescent="0.35">
      <c r="B188" s="47" t="str">
        <f>IFERROR(INDEX(MemberOrgs_SortedTable[Unique CFDA], MATCH(MemberOrgs_SortedTbl!P183, MemberOrgs_SortedTable[Final Pres. Sort], 0)), "")</f>
        <v/>
      </c>
      <c r="C188" s="35" t="str">
        <f>IFERROR(INDEX(MemberOrgs_SortedTable[Grant Name], MATCH(B188, MemberOrgs_SortedTable[Unique CFDA], 0)), "")</f>
        <v/>
      </c>
      <c r="D188" s="39" t="str">
        <f>IFERROR(INDEX(MemberOrgs_SortedTable[FY 2018 Total], MATCH(B188, MemberOrgs_SortedTable[Unique CFDA], 0)), "")</f>
        <v/>
      </c>
      <c r="E188" s="40" t="str">
        <f>IFERROR(INDEX(MemberOrgs_SortedTable[President % Change], MATCH(B188, MemberOrgs_SortedTable[Unique CFDA], 0)), "")</f>
        <v/>
      </c>
      <c r="F188" s="39" t="str">
        <f>IFERROR(INDEX(MemberOrgs_SortedTable[President $ Change], MATCH(B188, MemberOrgs_SortedTable[Unique CFDA], 0)), "")</f>
        <v/>
      </c>
    </row>
    <row r="189" spans="2:6" x14ac:dyDescent="0.35">
      <c r="B189" s="47" t="str">
        <f>IFERROR(INDEX(MemberOrgs_SortedTable[Unique CFDA], MATCH(MemberOrgs_SortedTbl!P184, MemberOrgs_SortedTable[Final Pres. Sort], 0)), "")</f>
        <v/>
      </c>
      <c r="C189" s="35" t="str">
        <f>IFERROR(INDEX(MemberOrgs_SortedTable[Grant Name], MATCH(B189, MemberOrgs_SortedTable[Unique CFDA], 0)), "")</f>
        <v/>
      </c>
      <c r="D189" s="39" t="str">
        <f>IFERROR(INDEX(MemberOrgs_SortedTable[FY 2018 Total], MATCH(B189, MemberOrgs_SortedTable[Unique CFDA], 0)), "")</f>
        <v/>
      </c>
      <c r="E189" s="40" t="str">
        <f>IFERROR(INDEX(MemberOrgs_SortedTable[President % Change], MATCH(B189, MemberOrgs_SortedTable[Unique CFDA], 0)), "")</f>
        <v/>
      </c>
      <c r="F189" s="39" t="str">
        <f>IFERROR(INDEX(MemberOrgs_SortedTable[President $ Change], MATCH(B189, MemberOrgs_SortedTable[Unique CFDA], 0)), "")</f>
        <v/>
      </c>
    </row>
    <row r="190" spans="2:6" x14ac:dyDescent="0.35">
      <c r="B190" s="47" t="str">
        <f>IFERROR(INDEX(MemberOrgs_SortedTable[Unique CFDA], MATCH(MemberOrgs_SortedTbl!P185, MemberOrgs_SortedTable[Final Pres. Sort], 0)), "")</f>
        <v/>
      </c>
      <c r="C190" s="35" t="str">
        <f>IFERROR(INDEX(MemberOrgs_SortedTable[Grant Name], MATCH(B190, MemberOrgs_SortedTable[Unique CFDA], 0)), "")</f>
        <v/>
      </c>
      <c r="D190" s="39" t="str">
        <f>IFERROR(INDEX(MemberOrgs_SortedTable[FY 2018 Total], MATCH(B190, MemberOrgs_SortedTable[Unique CFDA], 0)), "")</f>
        <v/>
      </c>
      <c r="E190" s="40" t="str">
        <f>IFERROR(INDEX(MemberOrgs_SortedTable[President % Change], MATCH(B190, MemberOrgs_SortedTable[Unique CFDA], 0)), "")</f>
        <v/>
      </c>
      <c r="F190" s="39" t="str">
        <f>IFERROR(INDEX(MemberOrgs_SortedTable[President $ Change], MATCH(B190, MemberOrgs_SortedTable[Unique CFDA], 0)), "")</f>
        <v/>
      </c>
    </row>
    <row r="191" spans="2:6" x14ac:dyDescent="0.35">
      <c r="B191" s="47" t="str">
        <f>IFERROR(INDEX(MemberOrgs_SortedTable[Unique CFDA], MATCH(MemberOrgs_SortedTbl!P186, MemberOrgs_SortedTable[Final Pres. Sort], 0)), "")</f>
        <v/>
      </c>
      <c r="C191" s="35" t="str">
        <f>IFERROR(INDEX(MemberOrgs_SortedTable[Grant Name], MATCH(B191, MemberOrgs_SortedTable[Unique CFDA], 0)), "")</f>
        <v/>
      </c>
      <c r="D191" s="39" t="str">
        <f>IFERROR(INDEX(MemberOrgs_SortedTable[FY 2018 Total], MATCH(B191, MemberOrgs_SortedTable[Unique CFDA], 0)), "")</f>
        <v/>
      </c>
      <c r="E191" s="40" t="str">
        <f>IFERROR(INDEX(MemberOrgs_SortedTable[President % Change], MATCH(B191, MemberOrgs_SortedTable[Unique CFDA], 0)), "")</f>
        <v/>
      </c>
      <c r="F191" s="39" t="str">
        <f>IFERROR(INDEX(MemberOrgs_SortedTable[President $ Change], MATCH(B191, MemberOrgs_SortedTable[Unique CFDA], 0)), "")</f>
        <v/>
      </c>
    </row>
    <row r="192" spans="2:6" x14ac:dyDescent="0.35">
      <c r="B192" s="47" t="str">
        <f>IFERROR(INDEX(MemberOrgs_SortedTable[Unique CFDA], MATCH(MemberOrgs_SortedTbl!P187, MemberOrgs_SortedTable[Final Pres. Sort], 0)), "")</f>
        <v/>
      </c>
      <c r="C192" s="35" t="str">
        <f>IFERROR(INDEX(MemberOrgs_SortedTable[Grant Name], MATCH(B192, MemberOrgs_SortedTable[Unique CFDA], 0)), "")</f>
        <v/>
      </c>
      <c r="D192" s="39" t="str">
        <f>IFERROR(INDEX(MemberOrgs_SortedTable[FY 2018 Total], MATCH(B192, MemberOrgs_SortedTable[Unique CFDA], 0)), "")</f>
        <v/>
      </c>
      <c r="E192" s="40" t="str">
        <f>IFERROR(INDEX(MemberOrgs_SortedTable[President % Change], MATCH(B192, MemberOrgs_SortedTable[Unique CFDA], 0)), "")</f>
        <v/>
      </c>
      <c r="F192" s="39" t="str">
        <f>IFERROR(INDEX(MemberOrgs_SortedTable[President $ Change], MATCH(B192, MemberOrgs_SortedTable[Unique CFDA], 0)), "")</f>
        <v/>
      </c>
    </row>
    <row r="193" spans="2:6" x14ac:dyDescent="0.35">
      <c r="B193" s="47" t="str">
        <f>IFERROR(INDEX(MemberOrgs_SortedTable[Unique CFDA], MATCH(MemberOrgs_SortedTbl!P188, MemberOrgs_SortedTable[Final Pres. Sort], 0)), "")</f>
        <v/>
      </c>
      <c r="C193" s="35" t="str">
        <f>IFERROR(INDEX(MemberOrgs_SortedTable[Grant Name], MATCH(B193, MemberOrgs_SortedTable[Unique CFDA], 0)), "")</f>
        <v/>
      </c>
      <c r="D193" s="39" t="str">
        <f>IFERROR(INDEX(MemberOrgs_SortedTable[FY 2018 Total], MATCH(B193, MemberOrgs_SortedTable[Unique CFDA], 0)), "")</f>
        <v/>
      </c>
      <c r="E193" s="40" t="str">
        <f>IFERROR(INDEX(MemberOrgs_SortedTable[President % Change], MATCH(B193, MemberOrgs_SortedTable[Unique CFDA], 0)), "")</f>
        <v/>
      </c>
      <c r="F193" s="39" t="str">
        <f>IFERROR(INDEX(MemberOrgs_SortedTable[President $ Change], MATCH(B193, MemberOrgs_SortedTable[Unique CFDA], 0)), "")</f>
        <v/>
      </c>
    </row>
    <row r="194" spans="2:6" x14ac:dyDescent="0.35">
      <c r="B194" s="47" t="str">
        <f>IFERROR(INDEX(MemberOrgs_SortedTable[Unique CFDA], MATCH(MemberOrgs_SortedTbl!P189, MemberOrgs_SortedTable[Final Pres. Sort], 0)), "")</f>
        <v/>
      </c>
      <c r="C194" s="35" t="str">
        <f>IFERROR(INDEX(MemberOrgs_SortedTable[Grant Name], MATCH(B194, MemberOrgs_SortedTable[Unique CFDA], 0)), "")</f>
        <v/>
      </c>
      <c r="D194" s="39" t="str">
        <f>IFERROR(INDEX(MemberOrgs_SortedTable[FY 2018 Total], MATCH(B194, MemberOrgs_SortedTable[Unique CFDA], 0)), "")</f>
        <v/>
      </c>
      <c r="E194" s="40" t="str">
        <f>IFERROR(INDEX(MemberOrgs_SortedTable[President % Change], MATCH(B194, MemberOrgs_SortedTable[Unique CFDA], 0)), "")</f>
        <v/>
      </c>
      <c r="F194" s="39" t="str">
        <f>IFERROR(INDEX(MemberOrgs_SortedTable[President $ Change], MATCH(B194, MemberOrgs_SortedTable[Unique CFDA], 0)), "")</f>
        <v/>
      </c>
    </row>
    <row r="195" spans="2:6" x14ac:dyDescent="0.35">
      <c r="B195" s="47" t="str">
        <f>IFERROR(INDEX(MemberOrgs_SortedTable[Unique CFDA], MATCH(MemberOrgs_SortedTbl!P190, MemberOrgs_SortedTable[Final Pres. Sort], 0)), "")</f>
        <v/>
      </c>
      <c r="C195" s="35" t="str">
        <f>IFERROR(INDEX(MemberOrgs_SortedTable[Grant Name], MATCH(B195, MemberOrgs_SortedTable[Unique CFDA], 0)), "")</f>
        <v/>
      </c>
      <c r="D195" s="39" t="str">
        <f>IFERROR(INDEX(MemberOrgs_SortedTable[FY 2018 Total], MATCH(B195, MemberOrgs_SortedTable[Unique CFDA], 0)), "")</f>
        <v/>
      </c>
      <c r="E195" s="40" t="str">
        <f>IFERROR(INDEX(MemberOrgs_SortedTable[President % Change], MATCH(B195, MemberOrgs_SortedTable[Unique CFDA], 0)), "")</f>
        <v/>
      </c>
      <c r="F195" s="39" t="str">
        <f>IFERROR(INDEX(MemberOrgs_SortedTable[President $ Change], MATCH(B195, MemberOrgs_SortedTable[Unique CFDA], 0)), "")</f>
        <v/>
      </c>
    </row>
    <row r="196" spans="2:6" x14ac:dyDescent="0.35">
      <c r="B196" s="47" t="str">
        <f>IFERROR(INDEX(MemberOrgs_SortedTable[Unique CFDA], MATCH(MemberOrgs_SortedTbl!P191, MemberOrgs_SortedTable[Final Pres. Sort], 0)), "")</f>
        <v/>
      </c>
      <c r="C196" s="35" t="str">
        <f>IFERROR(INDEX(MemberOrgs_SortedTable[Grant Name], MATCH(B196, MemberOrgs_SortedTable[Unique CFDA], 0)), "")</f>
        <v/>
      </c>
      <c r="D196" s="39" t="str">
        <f>IFERROR(INDEX(MemberOrgs_SortedTable[FY 2018 Total], MATCH(B196, MemberOrgs_SortedTable[Unique CFDA], 0)), "")</f>
        <v/>
      </c>
      <c r="E196" s="40" t="str">
        <f>IFERROR(INDEX(MemberOrgs_SortedTable[President % Change], MATCH(B196, MemberOrgs_SortedTable[Unique CFDA], 0)), "")</f>
        <v/>
      </c>
      <c r="F196" s="39" t="str">
        <f>IFERROR(INDEX(MemberOrgs_SortedTable[President $ Change], MATCH(B196, MemberOrgs_SortedTable[Unique CFDA], 0)), "")</f>
        <v/>
      </c>
    </row>
    <row r="197" spans="2:6" x14ac:dyDescent="0.35">
      <c r="B197" s="47" t="str">
        <f>IFERROR(INDEX(MemberOrgs_SortedTable[Unique CFDA], MATCH(MemberOrgs_SortedTbl!P192, MemberOrgs_SortedTable[Final Pres. Sort], 0)), "")</f>
        <v/>
      </c>
      <c r="C197" s="35" t="str">
        <f>IFERROR(INDEX(MemberOrgs_SortedTable[Grant Name], MATCH(B197, MemberOrgs_SortedTable[Unique CFDA], 0)), "")</f>
        <v/>
      </c>
      <c r="D197" s="39" t="str">
        <f>IFERROR(INDEX(MemberOrgs_SortedTable[FY 2018 Total], MATCH(B197, MemberOrgs_SortedTable[Unique CFDA], 0)), "")</f>
        <v/>
      </c>
      <c r="E197" s="40" t="str">
        <f>IFERROR(INDEX(MemberOrgs_SortedTable[President % Change], MATCH(B197, MemberOrgs_SortedTable[Unique CFDA], 0)), "")</f>
        <v/>
      </c>
      <c r="F197" s="39" t="str">
        <f>IFERROR(INDEX(MemberOrgs_SortedTable[President $ Change], MATCH(B197, MemberOrgs_SortedTable[Unique CFDA], 0)), "")</f>
        <v/>
      </c>
    </row>
    <row r="198" spans="2:6" x14ac:dyDescent="0.35">
      <c r="B198" s="47" t="str">
        <f>IFERROR(INDEX(MemberOrgs_SortedTable[Unique CFDA], MATCH(MemberOrgs_SortedTbl!P193, MemberOrgs_SortedTable[Final Pres. Sort], 0)), "")</f>
        <v/>
      </c>
      <c r="C198" s="35" t="str">
        <f>IFERROR(INDEX(MemberOrgs_SortedTable[Grant Name], MATCH(B198, MemberOrgs_SortedTable[Unique CFDA], 0)), "")</f>
        <v/>
      </c>
      <c r="D198" s="39" t="str">
        <f>IFERROR(INDEX(MemberOrgs_SortedTable[FY 2018 Total], MATCH(B198, MemberOrgs_SortedTable[Unique CFDA], 0)), "")</f>
        <v/>
      </c>
      <c r="E198" s="40" t="str">
        <f>IFERROR(INDEX(MemberOrgs_SortedTable[President % Change], MATCH(B198, MemberOrgs_SortedTable[Unique CFDA], 0)), "")</f>
        <v/>
      </c>
      <c r="F198" s="39" t="str">
        <f>IFERROR(INDEX(MemberOrgs_SortedTable[President $ Change], MATCH(B198, MemberOrgs_SortedTable[Unique CFDA], 0)), "")</f>
        <v/>
      </c>
    </row>
    <row r="199" spans="2:6" x14ac:dyDescent="0.35">
      <c r="B199" s="47" t="str">
        <f>IFERROR(INDEX(MemberOrgs_SortedTable[Unique CFDA], MATCH(MemberOrgs_SortedTbl!P194, MemberOrgs_SortedTable[Final Pres. Sort], 0)), "")</f>
        <v/>
      </c>
      <c r="C199" s="35" t="str">
        <f>IFERROR(INDEX(MemberOrgs_SortedTable[Grant Name], MATCH(B199, MemberOrgs_SortedTable[Unique CFDA], 0)), "")</f>
        <v/>
      </c>
      <c r="D199" s="39" t="str">
        <f>IFERROR(INDEX(MemberOrgs_SortedTable[FY 2018 Total], MATCH(B199, MemberOrgs_SortedTable[Unique CFDA], 0)), "")</f>
        <v/>
      </c>
      <c r="E199" s="40" t="str">
        <f>IFERROR(INDEX(MemberOrgs_SortedTable[President % Change], MATCH(B199, MemberOrgs_SortedTable[Unique CFDA], 0)), "")</f>
        <v/>
      </c>
      <c r="F199" s="39" t="str">
        <f>IFERROR(INDEX(MemberOrgs_SortedTable[President $ Change], MATCH(B199, MemberOrgs_SortedTable[Unique CFDA], 0)), "")</f>
        <v/>
      </c>
    </row>
    <row r="200" spans="2:6" x14ac:dyDescent="0.35">
      <c r="B200" s="47" t="str">
        <f>IFERROR(INDEX(MemberOrgs_SortedTable[Unique CFDA], MATCH(MemberOrgs_SortedTbl!P195, MemberOrgs_SortedTable[Final Pres. Sort], 0)), "")</f>
        <v/>
      </c>
      <c r="C200" s="35" t="str">
        <f>IFERROR(INDEX(MemberOrgs_SortedTable[Grant Name], MATCH(B200, MemberOrgs_SortedTable[Unique CFDA], 0)), "")</f>
        <v/>
      </c>
      <c r="D200" s="39" t="str">
        <f>IFERROR(INDEX(MemberOrgs_SortedTable[FY 2018 Total], MATCH(B200, MemberOrgs_SortedTable[Unique CFDA], 0)), "")</f>
        <v/>
      </c>
      <c r="E200" s="40" t="str">
        <f>IFERROR(INDEX(MemberOrgs_SortedTable[President % Change], MATCH(B200, MemberOrgs_SortedTable[Unique CFDA], 0)), "")</f>
        <v/>
      </c>
      <c r="F200" s="39" t="str">
        <f>IFERROR(INDEX(MemberOrgs_SortedTable[President $ Change], MATCH(B200, MemberOrgs_SortedTable[Unique CFDA], 0)), "")</f>
        <v/>
      </c>
    </row>
    <row r="201" spans="2:6" x14ac:dyDescent="0.35">
      <c r="B201" s="47" t="str">
        <f>IFERROR(INDEX(MemberOrgs_SortedTable[Unique CFDA], MATCH(MemberOrgs_SortedTbl!P196, MemberOrgs_SortedTable[Final Pres. Sort], 0)), "")</f>
        <v/>
      </c>
      <c r="C201" s="35" t="str">
        <f>IFERROR(INDEX(MemberOrgs_SortedTable[Grant Name], MATCH(B201, MemberOrgs_SortedTable[Unique CFDA], 0)), "")</f>
        <v/>
      </c>
      <c r="D201" s="39" t="str">
        <f>IFERROR(INDEX(MemberOrgs_SortedTable[FY 2018 Total], MATCH(B201, MemberOrgs_SortedTable[Unique CFDA], 0)), "")</f>
        <v/>
      </c>
      <c r="E201" s="40" t="str">
        <f>IFERROR(INDEX(MemberOrgs_SortedTable[President % Change], MATCH(B201, MemberOrgs_SortedTable[Unique CFDA], 0)), "")</f>
        <v/>
      </c>
      <c r="F201" s="39" t="str">
        <f>IFERROR(INDEX(MemberOrgs_SortedTable[President $ Change], MATCH(B201, MemberOrgs_SortedTable[Unique CFDA], 0)), "")</f>
        <v/>
      </c>
    </row>
    <row r="202" spans="2:6" x14ac:dyDescent="0.35">
      <c r="B202" s="47" t="str">
        <f>IFERROR(INDEX(MemberOrgs_SortedTable[Unique CFDA], MATCH(MemberOrgs_SortedTbl!P197, MemberOrgs_SortedTable[Final Pres. Sort], 0)), "")</f>
        <v/>
      </c>
      <c r="C202" s="35" t="str">
        <f>IFERROR(INDEX(MemberOrgs_SortedTable[Grant Name], MATCH(B202, MemberOrgs_SortedTable[Unique CFDA], 0)), "")</f>
        <v/>
      </c>
      <c r="D202" s="39" t="str">
        <f>IFERROR(INDEX(MemberOrgs_SortedTable[FY 2018 Total], MATCH(B202, MemberOrgs_SortedTable[Unique CFDA], 0)), "")</f>
        <v/>
      </c>
      <c r="E202" s="40" t="str">
        <f>IFERROR(INDEX(MemberOrgs_SortedTable[President % Change], MATCH(B202, MemberOrgs_SortedTable[Unique CFDA], 0)), "")</f>
        <v/>
      </c>
      <c r="F202" s="39" t="str">
        <f>IFERROR(INDEX(MemberOrgs_SortedTable[President $ Change], MATCH(B202, MemberOrgs_SortedTable[Unique CFDA], 0)), "")</f>
        <v/>
      </c>
    </row>
    <row r="203" spans="2:6" x14ac:dyDescent="0.35">
      <c r="B203" s="47" t="str">
        <f>IFERROR(INDEX(MemberOrgs_SortedTable[Unique CFDA], MATCH(MemberOrgs_SortedTbl!P198, MemberOrgs_SortedTable[Final Pres. Sort], 0)), "")</f>
        <v/>
      </c>
      <c r="C203" s="35" t="str">
        <f>IFERROR(INDEX(MemberOrgs_SortedTable[Grant Name], MATCH(B203, MemberOrgs_SortedTable[Unique CFDA], 0)), "")</f>
        <v/>
      </c>
      <c r="D203" s="39" t="str">
        <f>IFERROR(INDEX(MemberOrgs_SortedTable[FY 2018 Total], MATCH(B203, MemberOrgs_SortedTable[Unique CFDA], 0)), "")</f>
        <v/>
      </c>
      <c r="E203" s="40" t="str">
        <f>IFERROR(INDEX(MemberOrgs_SortedTable[President % Change], MATCH(B203, MemberOrgs_SortedTable[Unique CFDA], 0)), "")</f>
        <v/>
      </c>
      <c r="F203" s="39" t="str">
        <f>IFERROR(INDEX(MemberOrgs_SortedTable[President $ Change], MATCH(B203, MemberOrgs_SortedTable[Unique CFDA], 0)), "")</f>
        <v/>
      </c>
    </row>
    <row r="204" spans="2:6" x14ac:dyDescent="0.35">
      <c r="B204" s="47" t="str">
        <f>IFERROR(INDEX(MemberOrgs_SortedTable[Unique CFDA], MATCH(MemberOrgs_SortedTbl!P199, MemberOrgs_SortedTable[Final Pres. Sort], 0)), "")</f>
        <v/>
      </c>
      <c r="C204" s="35" t="str">
        <f>IFERROR(INDEX(MemberOrgs_SortedTable[Grant Name], MATCH(B204, MemberOrgs_SortedTable[Unique CFDA], 0)), "")</f>
        <v/>
      </c>
      <c r="D204" s="39" t="str">
        <f>IFERROR(INDEX(MemberOrgs_SortedTable[FY 2018 Total], MATCH(B204, MemberOrgs_SortedTable[Unique CFDA], 0)), "")</f>
        <v/>
      </c>
      <c r="E204" s="40" t="str">
        <f>IFERROR(INDEX(MemberOrgs_SortedTable[President % Change], MATCH(B204, MemberOrgs_SortedTable[Unique CFDA], 0)), "")</f>
        <v/>
      </c>
      <c r="F204" s="39" t="str">
        <f>IFERROR(INDEX(MemberOrgs_SortedTable[President $ Change], MATCH(B204, MemberOrgs_SortedTable[Unique CFDA], 0)), "")</f>
        <v/>
      </c>
    </row>
    <row r="205" spans="2:6" x14ac:dyDescent="0.35">
      <c r="B205" s="47" t="str">
        <f>IFERROR(INDEX(MemberOrgs_SortedTable[Unique CFDA], MATCH(MemberOrgs_SortedTbl!P200, MemberOrgs_SortedTable[Final Pres. Sort], 0)), "")</f>
        <v/>
      </c>
      <c r="C205" s="35" t="str">
        <f>IFERROR(INDEX(MemberOrgs_SortedTable[Grant Name], MATCH(B205, MemberOrgs_SortedTable[Unique CFDA], 0)), "")</f>
        <v/>
      </c>
      <c r="D205" s="39" t="str">
        <f>IFERROR(INDEX(MemberOrgs_SortedTable[FY 2018 Total], MATCH(B205, MemberOrgs_SortedTable[Unique CFDA], 0)), "")</f>
        <v/>
      </c>
      <c r="E205" s="40" t="str">
        <f>IFERROR(INDEX(MemberOrgs_SortedTable[President % Change], MATCH(B205, MemberOrgs_SortedTable[Unique CFDA], 0)), "")</f>
        <v/>
      </c>
      <c r="F205" s="39" t="str">
        <f>IFERROR(INDEX(MemberOrgs_SortedTable[President $ Change], MATCH(B205, MemberOrgs_SortedTable[Unique CFDA], 0)), "")</f>
        <v/>
      </c>
    </row>
    <row r="206" spans="2:6" x14ac:dyDescent="0.35">
      <c r="B206" s="47" t="str">
        <f>IFERROR(INDEX(MemberOrgs_SortedTable[Unique CFDA], MATCH(MemberOrgs_SortedTbl!P201, MemberOrgs_SortedTable[Final Pres. Sort], 0)), "")</f>
        <v/>
      </c>
      <c r="C206" s="35" t="str">
        <f>IFERROR(INDEX(MemberOrgs_SortedTable[Grant Name], MATCH(B206, MemberOrgs_SortedTable[Unique CFDA], 0)), "")</f>
        <v/>
      </c>
      <c r="D206" s="39" t="str">
        <f>IFERROR(INDEX(MemberOrgs_SortedTable[FY 2018 Total], MATCH(B206, MemberOrgs_SortedTable[Unique CFDA], 0)), "")</f>
        <v/>
      </c>
      <c r="E206" s="40" t="str">
        <f>IFERROR(INDEX(MemberOrgs_SortedTable[President % Change], MATCH(B206, MemberOrgs_SortedTable[Unique CFDA], 0)), "")</f>
        <v/>
      </c>
      <c r="F206" s="39" t="str">
        <f>IFERROR(INDEX(MemberOrgs_SortedTable[President $ Change], MATCH(B206, MemberOrgs_SortedTable[Unique CFDA], 0)), "")</f>
        <v/>
      </c>
    </row>
    <row r="207" spans="2:6" x14ac:dyDescent="0.35">
      <c r="B207" s="47" t="str">
        <f>IFERROR(INDEX(MemberOrgs_SortedTable[Unique CFDA], MATCH(MemberOrgs_SortedTbl!P202, MemberOrgs_SortedTable[Final Pres. Sort], 0)), "")</f>
        <v/>
      </c>
      <c r="C207" s="35" t="str">
        <f>IFERROR(INDEX(MemberOrgs_SortedTable[Grant Name], MATCH(B207, MemberOrgs_SortedTable[Unique CFDA], 0)), "")</f>
        <v/>
      </c>
      <c r="D207" s="39" t="str">
        <f>IFERROR(INDEX(MemberOrgs_SortedTable[FY 2018 Total], MATCH(B207, MemberOrgs_SortedTable[Unique CFDA], 0)), "")</f>
        <v/>
      </c>
      <c r="E207" s="40" t="str">
        <f>IFERROR(INDEX(MemberOrgs_SortedTable[President % Change], MATCH(B207, MemberOrgs_SortedTable[Unique CFDA], 0)), "")</f>
        <v/>
      </c>
      <c r="F207" s="39" t="str">
        <f>IFERROR(INDEX(MemberOrgs_SortedTable[President $ Change], MATCH(B207, MemberOrgs_SortedTable[Unique CFDA], 0)), "")</f>
        <v/>
      </c>
    </row>
    <row r="208" spans="2:6" x14ac:dyDescent="0.35">
      <c r="B208" s="47" t="str">
        <f>IFERROR(INDEX(MemberOrgs_SortedTable[Unique CFDA], MATCH(MemberOrgs_SortedTbl!P203, MemberOrgs_SortedTable[Final Pres. Sort], 0)), "")</f>
        <v/>
      </c>
      <c r="C208" s="35" t="str">
        <f>IFERROR(INDEX(MemberOrgs_SortedTable[Grant Name], MATCH(B208, MemberOrgs_SortedTable[Unique CFDA], 0)), "")</f>
        <v/>
      </c>
      <c r="D208" s="39" t="str">
        <f>IFERROR(INDEX(MemberOrgs_SortedTable[FY 2018 Total], MATCH(B208, MemberOrgs_SortedTable[Unique CFDA], 0)), "")</f>
        <v/>
      </c>
      <c r="E208" s="40" t="str">
        <f>IFERROR(INDEX(MemberOrgs_SortedTable[President % Change], MATCH(B208, MemberOrgs_SortedTable[Unique CFDA], 0)), "")</f>
        <v/>
      </c>
      <c r="F208" s="39" t="str">
        <f>IFERROR(INDEX(MemberOrgs_SortedTable[President $ Change], MATCH(B208, MemberOrgs_SortedTable[Unique CFDA], 0)), "")</f>
        <v/>
      </c>
    </row>
    <row r="209" spans="2:6" x14ac:dyDescent="0.35">
      <c r="B209" s="47" t="str">
        <f>IFERROR(INDEX(MemberOrgs_SortedTable[Unique CFDA], MATCH(MemberOrgs_SortedTbl!P204, MemberOrgs_SortedTable[Final Pres. Sort], 0)), "")</f>
        <v/>
      </c>
      <c r="C209" s="35" t="str">
        <f>IFERROR(INDEX(MemberOrgs_SortedTable[Grant Name], MATCH(B209, MemberOrgs_SortedTable[Unique CFDA], 0)), "")</f>
        <v/>
      </c>
      <c r="D209" s="39" t="str">
        <f>IFERROR(INDEX(MemberOrgs_SortedTable[FY 2018 Total], MATCH(B209, MemberOrgs_SortedTable[Unique CFDA], 0)), "")</f>
        <v/>
      </c>
      <c r="E209" s="40" t="str">
        <f>IFERROR(INDEX(MemberOrgs_SortedTable[President % Change], MATCH(B209, MemberOrgs_SortedTable[Unique CFDA], 0)), "")</f>
        <v/>
      </c>
      <c r="F209" s="39" t="str">
        <f>IFERROR(INDEX(MemberOrgs_SortedTable[President $ Change], MATCH(B209, MemberOrgs_SortedTable[Unique CFDA], 0)), "")</f>
        <v/>
      </c>
    </row>
    <row r="210" spans="2:6" x14ac:dyDescent="0.35">
      <c r="B210" s="47" t="str">
        <f>IFERROR(INDEX(MemberOrgs_SortedTable[Unique CFDA], MATCH(MemberOrgs_SortedTbl!P205, MemberOrgs_SortedTable[Final Pres. Sort], 0)), "")</f>
        <v/>
      </c>
      <c r="C210" s="35" t="str">
        <f>IFERROR(INDEX(MemberOrgs_SortedTable[Grant Name], MATCH(B210, MemberOrgs_SortedTable[Unique CFDA], 0)), "")</f>
        <v/>
      </c>
      <c r="D210" s="39" t="str">
        <f>IFERROR(INDEX(MemberOrgs_SortedTable[FY 2018 Total], MATCH(B210, MemberOrgs_SortedTable[Unique CFDA], 0)), "")</f>
        <v/>
      </c>
      <c r="E210" s="40" t="str">
        <f>IFERROR(INDEX(MemberOrgs_SortedTable[President % Change], MATCH(B210, MemberOrgs_SortedTable[Unique CFDA], 0)), "")</f>
        <v/>
      </c>
      <c r="F210" s="39" t="str">
        <f>IFERROR(INDEX(MemberOrgs_SortedTable[President $ Change], MATCH(B210, MemberOrgs_SortedTable[Unique CFDA], 0)), "")</f>
        <v/>
      </c>
    </row>
    <row r="211" spans="2:6" x14ac:dyDescent="0.35">
      <c r="B211" s="47" t="str">
        <f>IFERROR(INDEX(MemberOrgs_SortedTable[Unique CFDA], MATCH(MemberOrgs_SortedTbl!P206, MemberOrgs_SortedTable[Final Pres. Sort], 0)), "")</f>
        <v/>
      </c>
      <c r="C211" s="35" t="str">
        <f>IFERROR(INDEX(MemberOrgs_SortedTable[Grant Name], MATCH(B211, MemberOrgs_SortedTable[Unique CFDA], 0)), "")</f>
        <v/>
      </c>
      <c r="D211" s="39" t="str">
        <f>IFERROR(INDEX(MemberOrgs_SortedTable[FY 2018 Total], MATCH(B211, MemberOrgs_SortedTable[Unique CFDA], 0)), "")</f>
        <v/>
      </c>
      <c r="E211" s="40" t="str">
        <f>IFERROR(INDEX(MemberOrgs_SortedTable[President % Change], MATCH(B211, MemberOrgs_SortedTable[Unique CFDA], 0)), "")</f>
        <v/>
      </c>
      <c r="F211" s="39" t="str">
        <f>IFERROR(INDEX(MemberOrgs_SortedTable[President $ Change], MATCH(B211, MemberOrgs_SortedTable[Unique CFDA], 0)), "")</f>
        <v/>
      </c>
    </row>
  </sheetData>
  <mergeCells count="2">
    <mergeCell ref="B7:F7"/>
    <mergeCell ref="H7:I7"/>
  </mergeCells>
  <dataValidations count="1">
    <dataValidation type="list" allowBlank="1" showInputMessage="1" showErrorMessage="1" sqref="C5" xr:uid="{BF911C86-99F1-422A-9932-F0932B4547FC}">
      <formula1>SelectMemOrgs</formula1>
    </dataValidation>
  </dataValidations>
  <pageMargins left="0.7" right="0.7" top="0.75" bottom="0.75" header="0.3" footer="0.3"/>
  <pageSetup orientation="portrait" verticalDpi="0" r:id="rId1"/>
  <drawing r:id="rId2"/>
  <tableParts count="2"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B5368407-77F9-482A-8A2B-BAD3F08D6D14}">
            <xm:f>AND(ISODD(MemberOrgs_SortedTbl!$R4), MemberOrgs_SortedTbl!$P4 &lt;&gt; "")</xm:f>
            <x14:dxf>
              <fill>
                <patternFill>
                  <bgColor theme="9" tint="0.79998168889431442"/>
                </patternFill>
              </fill>
            </x14:dxf>
          </x14:cfRule>
          <xm:sqref>B9:F211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EA3E287-1303-4B5C-989B-E6646EC67917}">
          <x14:formula1>
            <xm:f>MemberOrgControl!$F$3:$F$3</xm:f>
          </x14:formula1>
          <xm:sqref>C3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179D1-33F8-4E66-BFD7-553B825CE1C1}">
  <sheetPr codeName="Sheet7">
    <tabColor theme="9" tint="-0.499984740745262"/>
  </sheetPr>
  <dimension ref="B1:Y5"/>
  <sheetViews>
    <sheetView showGridLines="0" topLeftCell="M1" zoomScale="70" zoomScaleNormal="70" workbookViewId="0">
      <selection activeCell="AK3" sqref="AK3"/>
    </sheetView>
  </sheetViews>
  <sheetFormatPr defaultRowHeight="16.5" x14ac:dyDescent="0.3"/>
  <cols>
    <col min="1" max="1" width="9.140625" style="34"/>
    <col min="2" max="2" width="19.42578125" style="34" customWidth="1"/>
    <col min="3" max="3" width="20.85546875" style="34" customWidth="1"/>
    <col min="4" max="4" width="34.42578125" style="34" customWidth="1"/>
    <col min="5" max="5" width="9.140625" style="34" customWidth="1"/>
    <col min="6" max="6" width="9.140625" style="34"/>
    <col min="7" max="7" width="9.140625" style="34" customWidth="1"/>
    <col min="8" max="9" width="9.140625" style="34"/>
    <col min="10" max="10" width="8.5703125" style="34" customWidth="1"/>
    <col min="11" max="16" width="9.140625" style="34"/>
    <col min="17" max="17" width="29.5703125" style="34" customWidth="1"/>
    <col min="18" max="18" width="16.140625" style="34" customWidth="1"/>
    <col min="19" max="20" width="7" style="34" customWidth="1"/>
    <col min="21" max="21" width="17.140625" style="34" customWidth="1"/>
    <col min="22" max="16384" width="9.140625" style="34"/>
  </cols>
  <sheetData>
    <row r="1" spans="2:25" ht="9.75" customHeight="1" x14ac:dyDescent="0.3"/>
    <row r="2" spans="2:25" ht="29.25" customHeight="1" thickBot="1" x14ac:dyDescent="0.35">
      <c r="C2" s="80" t="str">
        <f>CONCATENATE(SelectMemberOrgs, " ", "ANALYSIS DASHBOARD")</f>
        <v>UNIVERSITY SETTLEMENT SOCIETY OF NEW YORK, INC ANALYSIS DASHBOARD</v>
      </c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54"/>
      <c r="S2" s="54"/>
      <c r="T2" s="54"/>
      <c r="U2" s="54"/>
      <c r="V2" s="54"/>
      <c r="W2" s="54"/>
      <c r="X2" s="54"/>
      <c r="Y2" s="54"/>
    </row>
    <row r="3" spans="2:25" ht="56.25" customHeight="1" thickTop="1" x14ac:dyDescent="0.3">
      <c r="C3" s="71" t="s">
        <v>293</v>
      </c>
      <c r="D3" s="81" t="str">
        <f>MemberOrgControl!S6</f>
        <v>President Trump's Budget Would Cut the Federal Grants That UNIVERSITY SETTLEMENT SOCIETY OF NEW YORK, INC Relies On By 8%, or, $621 Thousand</v>
      </c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54"/>
      <c r="S3" s="54"/>
      <c r="T3" s="54"/>
      <c r="U3" s="54"/>
      <c r="V3" s="54"/>
      <c r="W3" s="54"/>
      <c r="X3" s="54"/>
      <c r="Y3" s="54"/>
    </row>
    <row r="4" spans="2:25" ht="12" customHeight="1" x14ac:dyDescent="0.3"/>
    <row r="5" spans="2:25" ht="29.25" customHeight="1" x14ac:dyDescent="0.3">
      <c r="B5" s="78" t="s">
        <v>291</v>
      </c>
      <c r="C5" s="78"/>
      <c r="D5" s="78"/>
      <c r="E5" s="78"/>
      <c r="F5" s="78"/>
      <c r="G5" s="78"/>
      <c r="H5" s="78"/>
      <c r="I5" s="78"/>
      <c r="K5" s="79" t="s">
        <v>292</v>
      </c>
      <c r="L5" s="79"/>
      <c r="M5" s="79"/>
      <c r="N5" s="79"/>
      <c r="O5" s="79"/>
      <c r="P5" s="79"/>
      <c r="Q5" s="79"/>
      <c r="R5" s="79"/>
      <c r="S5" s="79"/>
      <c r="T5" s="70"/>
    </row>
  </sheetData>
  <mergeCells count="4">
    <mergeCell ref="B5:I5"/>
    <mergeCell ref="K5:S5"/>
    <mergeCell ref="C2:Q2"/>
    <mergeCell ref="D3:Q3"/>
  </mergeCells>
  <dataValidations count="1">
    <dataValidation type="list" allowBlank="1" showInputMessage="1" showErrorMessage="1" sqref="C4 E4" xr:uid="{132E07D5-471B-4FD4-B572-FE7A0CAEE540}">
      <formula1>SelectMemOrgs</formula1>
    </dataValidation>
  </dataValidations>
  <pageMargins left="0.7" right="0.7" top="0.75" bottom="0.75" header="0.3" footer="0.3"/>
  <pageSetup orientation="portrait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99A21-6D0E-432D-AFD8-FBAA1B70BD94}">
  <sheetPr codeName="Sheet8">
    <tabColor rgb="FF7030A0"/>
  </sheetPr>
  <dimension ref="B2:F5"/>
  <sheetViews>
    <sheetView showGridLines="0" zoomScale="80" zoomScaleNormal="80" workbookViewId="0">
      <selection activeCell="C2" sqref="C2"/>
    </sheetView>
  </sheetViews>
  <sheetFormatPr defaultRowHeight="16.5" x14ac:dyDescent="0.3"/>
  <cols>
    <col min="1" max="1" width="9.140625" style="34"/>
    <col min="2" max="2" width="28" style="34" bestFit="1" customWidth="1"/>
    <col min="3" max="3" width="58.140625" style="34" customWidth="1"/>
    <col min="4" max="4" width="24.140625" style="34" bestFit="1" customWidth="1"/>
    <col min="5" max="5" width="27.85546875" style="34" customWidth="1"/>
    <col min="6" max="6" width="39.42578125" style="34" customWidth="1"/>
    <col min="7" max="16384" width="9.140625" style="34"/>
  </cols>
  <sheetData>
    <row r="2" spans="2:6" ht="21.75" thickBot="1" x14ac:dyDescent="0.45">
      <c r="B2" s="68" t="s">
        <v>274</v>
      </c>
      <c r="C2" s="69" t="s">
        <v>218</v>
      </c>
    </row>
    <row r="3" spans="2:6" ht="17.25" thickTop="1" x14ac:dyDescent="0.3"/>
    <row r="4" spans="2:6" ht="18.75" thickBot="1" x14ac:dyDescent="0.35">
      <c r="B4" s="55" t="s">
        <v>4</v>
      </c>
      <c r="C4" s="55" t="s">
        <v>226</v>
      </c>
      <c r="D4" s="55" t="s">
        <v>227</v>
      </c>
      <c r="E4" s="55" t="s">
        <v>275</v>
      </c>
      <c r="F4" s="55" t="s">
        <v>228</v>
      </c>
    </row>
    <row r="5" spans="2:6" x14ac:dyDescent="0.3">
      <c r="B5" s="56">
        <f>IF(FedGrantControl!$F10 = "", "", INDEX(FedGrant_Data[CFDA], FedGrantControl!$F10))</f>
        <v>93.659000000000006</v>
      </c>
      <c r="C5" s="56" t="str">
        <f>IFERROR(INDEX(FedGrant_Data[Grant Name], MATCH(B5, FedGrant_Data[CFDA], 0)), "")</f>
        <v>Adoption Assistance</v>
      </c>
      <c r="D5" s="57">
        <f>IFERROR(INDEX(FedGrant_Data[FY 2018 Actuals],MATCH(B5, FedGrant_Data[CFDA], 0)), "")</f>
        <v>92303969</v>
      </c>
      <c r="E5" s="58">
        <f>IFERROR(INDEX(BudgetAppropData[President % Change], MATCH(B5, BudgetAppropData[CFDA], 0)), "")</f>
        <v>3.5186488388458829E-2</v>
      </c>
      <c r="F5" s="59">
        <f>IFERROR(D5*E5, "No NYC FY 2018 Funding")</f>
        <v>3247852.533427164</v>
      </c>
    </row>
  </sheetData>
  <dataValidations count="1">
    <dataValidation type="list" allowBlank="1" showInputMessage="1" showErrorMessage="1" sqref="C2" xr:uid="{6DB55098-AB21-46DF-93F6-B208D875A2A3}">
      <formula1>FedGrant</formula1>
    </dataValidation>
  </dataValidation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MemberOrgsData</vt:lpstr>
      <vt:lpstr>FedGrantData</vt:lpstr>
      <vt:lpstr>BudgetAppropData</vt:lpstr>
      <vt:lpstr>MemberOrgControl</vt:lpstr>
      <vt:lpstr>FedGrantControl</vt:lpstr>
      <vt:lpstr>MemberOrgs_SortedTbl</vt:lpstr>
      <vt:lpstr>MemberOrgs_FilteredSortedTbl</vt:lpstr>
      <vt:lpstr>FPWA Member Grants</vt:lpstr>
      <vt:lpstr>FPWA Member Grants Dashboard</vt:lpstr>
      <vt:lpstr>Individual Grants</vt:lpstr>
      <vt:lpstr>MemberOrgsData!Extract</vt:lpstr>
      <vt:lpstr>FedGrant</vt:lpstr>
      <vt:lpstr>FedGrant_NumRow</vt:lpstr>
      <vt:lpstr>FedGrant_Top_Row</vt:lpstr>
      <vt:lpstr>MemberOrgs_NumRow</vt:lpstr>
      <vt:lpstr>MemberOrgs_TopRow</vt:lpstr>
      <vt:lpstr>SelectBudgetYear</vt:lpstr>
      <vt:lpstr>SelectFedGrant</vt:lpstr>
      <vt:lpstr>SelectFiscalYear</vt:lpstr>
      <vt:lpstr>SelectMemberOrgs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Gupta-Casale</dc:creator>
  <cp:lastModifiedBy>Gaurav Gupta-Casale</cp:lastModifiedBy>
  <dcterms:created xsi:type="dcterms:W3CDTF">2019-06-27T14:53:24Z</dcterms:created>
  <dcterms:modified xsi:type="dcterms:W3CDTF">2019-07-18T19:27:53Z</dcterms:modified>
</cp:coreProperties>
</file>