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640"/>
  </bookViews>
  <sheets>
    <sheet name="Citywide_Revenue" sheetId="1" r:id="rId1"/>
    <sheet name="Sheet1" sheetId="2" r:id="rId2"/>
  </sheets>
  <definedNames>
    <definedName name="_xlnm._FilterDatabase" localSheetId="0" hidden="1">Citywide_Revenue!$A$1:$N$339</definedName>
  </definedNames>
  <calcPr calcId="144525"/>
</workbook>
</file>

<file path=xl/sharedStrings.xml><?xml version="1.0" encoding="utf-8"?>
<sst xmlns="http://schemas.openxmlformats.org/spreadsheetml/2006/main" count="414" uniqueCount="75">
  <si>
    <t>year</t>
  </si>
  <si>
    <t>Revenue.Category</t>
  </si>
  <si>
    <t>Recognized.Categorical.Citywide.Rev</t>
  </si>
  <si>
    <t>Remaining.Categorical.Citywide.Rev</t>
  </si>
  <si>
    <t>Citywide.Recognized.Rev</t>
  </si>
  <si>
    <t>Remaining Citywide Rev</t>
  </si>
  <si>
    <t>Citywide.Committed.Budget</t>
  </si>
  <si>
    <t>Remaining.Budget</t>
  </si>
  <si>
    <t>Path</t>
  </si>
  <si>
    <t>FY_CPI</t>
  </si>
  <si>
    <t>Adjusted.Recognized.Categorical.Citywide.Rev</t>
  </si>
  <si>
    <t>Adjusted.Total.Recognized.Citywide.Rev</t>
  </si>
  <si>
    <t>Adjusted.Total.Citywide.Committed.Budget</t>
  </si>
  <si>
    <t>Adjusted.Remaining.Budget</t>
  </si>
  <si>
    <t>ANTICIPATED REVENUE INCREASES</t>
  </si>
  <si>
    <t>TRANSFERS FROM OTHER FUNDS</t>
  </si>
  <si>
    <t>INTEREST INCOME</t>
  </si>
  <si>
    <t>UNRESTRICTED FEDERAL AND STATE AID</t>
  </si>
  <si>
    <t>CHARGES FOR SERVICES</t>
  </si>
  <si>
    <t>NON-GOVERNMENTAL GRANTS</t>
  </si>
  <si>
    <t>DISALLOWANCE CAT. GRANTS</t>
  </si>
  <si>
    <t>MISCELLANEOUS</t>
  </si>
  <si>
    <t>STATE GRANTS AND CONTRACTS-CATEGORICAL</t>
  </si>
  <si>
    <t>FEDERAL GRANTS AND CONTRACTS-CATEGORICAL</t>
  </si>
  <si>
    <t>FINES AND FOREITURES</t>
  </si>
  <si>
    <t>TAXES</t>
  </si>
  <si>
    <t>LICENS. PERM. PRIV, FRANCHISES</t>
  </si>
  <si>
    <t>$38.92B</t>
  </si>
  <si>
    <t>$40.18B</t>
  </si>
  <si>
    <t>$40.35B</t>
  </si>
  <si>
    <t>-$168.98M</t>
  </si>
  <si>
    <t>$11.28B</t>
  </si>
  <si>
    <t>$11.49B</t>
  </si>
  <si>
    <t>$11.33B</t>
  </si>
  <si>
    <t>$160.88M</t>
  </si>
  <si>
    <t>$6.80B</t>
  </si>
  <si>
    <t>$8.12B</t>
  </si>
  <si>
    <t>$7.93B</t>
  </si>
  <si>
    <t>$191.79M</t>
  </si>
  <si>
    <t>$3.94B</t>
  </si>
  <si>
    <t>$4.22B</t>
  </si>
  <si>
    <t>$4.20B</t>
  </si>
  <si>
    <t>$19.85M</t>
  </si>
  <si>
    <t>$1.23B</t>
  </si>
  <si>
    <t>$1.58B</t>
  </si>
  <si>
    <t>$1.53B</t>
  </si>
  <si>
    <t>$51.39M</t>
  </si>
  <si>
    <t>$593.17M</t>
  </si>
  <si>
    <t>$1.17B</t>
  </si>
  <si>
    <t>$1.06B</t>
  </si>
  <si>
    <t>$108.61M</t>
  </si>
  <si>
    <t>$848.47M</t>
  </si>
  <si>
    <t>$807.02M</t>
  </si>
  <si>
    <t>$820.09M</t>
  </si>
  <si>
    <t>-$13.06M</t>
  </si>
  <si>
    <t>$558.16M</t>
  </si>
  <si>
    <t>$561.49M</t>
  </si>
  <si>
    <t>$561.48M</t>
  </si>
  <si>
    <t>$8.60K</t>
  </si>
  <si>
    <t>$480.85M</t>
  </si>
  <si>
    <t>$522.51M</t>
  </si>
  <si>
    <t>$524.67M</t>
  </si>
  <si>
    <t>-$2.16M</t>
  </si>
  <si>
    <t>$14.41M</t>
  </si>
  <si>
    <t>$51.40M</t>
  </si>
  <si>
    <t>$39.00M</t>
  </si>
  <si>
    <t>$12.41M</t>
  </si>
  <si>
    <t>$47.80M</t>
  </si>
  <si>
    <t>$22.23M</t>
  </si>
  <si>
    <t>$20.79M</t>
  </si>
  <si>
    <t>$1.44M</t>
  </si>
  <si>
    <t>-$12.40M</t>
  </si>
  <si>
    <t>-$15.00M</t>
  </si>
  <si>
    <t>-$111.66M</t>
  </si>
  <si>
    <t>$96.66M</t>
  </si>
</sst>
</file>

<file path=xl/styles.xml><?xml version="1.0" encoding="utf-8"?>
<styleSheet xmlns="http://schemas.openxmlformats.org/spreadsheetml/2006/main">
  <numFmts count="6">
    <numFmt numFmtId="176" formatCode="0_);[Red]\(0\)"/>
    <numFmt numFmtId="26" formatCode="\$#,##0.00_);[Red]\(\$#,##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1F82C9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8" fillId="25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26" fontId="0" fillId="3" borderId="0" xfId="0" applyNumberFormat="1" applyFill="1" applyAlignment="1">
      <alignment horizontal="right" vertical="center" wrapText="1"/>
    </xf>
    <xf numFmtId="26" fontId="1" fillId="3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heckbooknyc.com/revenue/yeartype/B/year/112?expandBottomContURL=/revenue/transactions/revenue_transactions/smnid/580/yeartype/B/year/112/revcat/16" TargetMode="External"/><Relationship Id="rId8" Type="http://schemas.openxmlformats.org/officeDocument/2006/relationships/hyperlink" Target="https://www.checkbooknyc.com/revenue/yeartype/B/year/112?expandBottomContURL=/revenue/transactions/revenue_transactions/smnid/580/yeartype/B/year/112/revcat/18" TargetMode="External"/><Relationship Id="rId7" Type="http://schemas.openxmlformats.org/officeDocument/2006/relationships/hyperlink" Target="https://www.checkbooknyc.com/revenue/yeartype/B/year/112?expandBottomContURL=/revenue/transactions/revenue_transactions/smnid/580/yeartype/B/year/112/revcat/23" TargetMode="External"/><Relationship Id="rId6" Type="http://schemas.openxmlformats.org/officeDocument/2006/relationships/hyperlink" Target="https://www.checkbooknyc.com/revenue/yeartype/B/year/112?expandBottomContURL=/revenue/transactions/revenue_transactions/smnid/580/yeartype/B/year/112/revcat/5" TargetMode="External"/><Relationship Id="rId5" Type="http://schemas.openxmlformats.org/officeDocument/2006/relationships/hyperlink" Target="https://www.checkbooknyc.com/revenue/yeartype/B/year/112?expandBottomContURL=/revenue/transactions/revenue_transactions/smnid/580/yeartype/B/year/112/revcat/14" TargetMode="External"/><Relationship Id="rId4" Type="http://schemas.openxmlformats.org/officeDocument/2006/relationships/hyperlink" Target="https://www.checkbooknyc.com/revenue/yeartype/B/year/112?expandBottomContURL=/revenue/transactions/revenue_transactions/smnid/580/yeartype/B/year/112/revcat/26" TargetMode="External"/><Relationship Id="rId3" Type="http://schemas.openxmlformats.org/officeDocument/2006/relationships/hyperlink" Target="https://www.checkbooknyc.com/revenue/yeartype/B/year/112?expandBottomContURL=/revenue/transactions/revenue_transactions/smnid/580/yeartype/B/year/112/revcat/1" TargetMode="External"/><Relationship Id="rId2" Type="http://schemas.openxmlformats.org/officeDocument/2006/relationships/hyperlink" Target="https://www.checkbooknyc.com/revenue/yeartype/B/year/112?expandBottomContURL=/revenue/transactions/revenue_transactions/smnid/580/yeartype/B/year/112/revcat/15" TargetMode="External"/><Relationship Id="rId13" Type="http://schemas.openxmlformats.org/officeDocument/2006/relationships/hyperlink" Target="https://www.checkbooknyc.com/revenue/yeartype/B/year/112?expandBottomContURL=/revenue/transactions/revenue_transactions/smnid/580/yeartype/B/year/112/revcat/7" TargetMode="External"/><Relationship Id="rId12" Type="http://schemas.openxmlformats.org/officeDocument/2006/relationships/hyperlink" Target="https://www.checkbooknyc.com/revenue/yeartype/B/year/112?expandBottomContURL=/revenue/transactions/revenue_transactions/smnid/580/yeartype/B/year/112/revcat/35" TargetMode="External"/><Relationship Id="rId11" Type="http://schemas.openxmlformats.org/officeDocument/2006/relationships/hyperlink" Target="https://www.checkbooknyc.com/revenue/yeartype/B/year/112?expandBottomContURL=/revenue/transactions/revenue_transactions/smnid/580/yeartype/B/year/112/revcat/31" TargetMode="External"/><Relationship Id="rId10" Type="http://schemas.openxmlformats.org/officeDocument/2006/relationships/hyperlink" Target="https://www.checkbooknyc.com/revenue/yeartype/B/year/112?expandBottomContURL=/revenue/transactions/revenue_transactions/smnid/580/yeartype/B/year/112/revcat/12" TargetMode="External"/><Relationship Id="rId1" Type="http://schemas.openxmlformats.org/officeDocument/2006/relationships/hyperlink" Target="https://www.checkbooknyc.com/revenue/yeartype/B/year/112?expandBottomContURL=/revenue/transactions/revenue_transactions/smnid/580/yeartype/B/year/112/revcat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9"/>
  <sheetViews>
    <sheetView tabSelected="1" zoomScaleSheetLayoutView="60" topLeftCell="B1" workbookViewId="0">
      <selection activeCell="Q12" sqref="Q12"/>
    </sheetView>
  </sheetViews>
  <sheetFormatPr defaultColWidth="8.4375" defaultRowHeight="14"/>
  <cols>
    <col min="2" max="2" width="23.6875" customWidth="1"/>
    <col min="3" max="3" width="16.7890625" style="11" customWidth="1"/>
    <col min="4" max="4" width="20.5703125" style="11" customWidth="1"/>
    <col min="5" max="5" width="22.1328125" customWidth="1"/>
    <col min="6" max="6" width="22.1328125" style="12" customWidth="1"/>
    <col min="7" max="7" width="22.78125" customWidth="1"/>
    <col min="8" max="8" width="18.359375" customWidth="1"/>
    <col min="10" max="10" width="9.5"/>
    <col min="11" max="11" width="11.1953125" customWidth="1"/>
    <col min="12" max="12" width="13.796875" customWidth="1"/>
    <col min="13" max="13" width="14.3203125" customWidth="1"/>
    <col min="14" max="14" width="21.21875" customWidth="1"/>
  </cols>
  <sheetData>
    <row r="1" spans="1:14">
      <c r="A1" t="s">
        <v>0</v>
      </c>
      <c r="B1" t="s">
        <v>1</v>
      </c>
      <c r="C1" s="11" t="s">
        <v>2</v>
      </c>
      <c r="D1" s="11" t="s">
        <v>3</v>
      </c>
      <c r="E1" t="s">
        <v>4</v>
      </c>
      <c r="F1" s="1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2011</v>
      </c>
      <c r="B2" s="13" t="s">
        <v>14</v>
      </c>
      <c r="C2" s="11">
        <v>0</v>
      </c>
      <c r="D2" s="11">
        <v>0</v>
      </c>
      <c r="E2" s="12">
        <f t="shared" ref="E2:E14" si="0">68.25*1000000000</f>
        <v>68250000000</v>
      </c>
      <c r="F2" s="12">
        <f t="shared" ref="F2:F14" si="1">458.82*1000000</f>
        <v>458820000</v>
      </c>
      <c r="G2" s="12">
        <v>68240000000</v>
      </c>
      <c r="H2">
        <v>469590000</v>
      </c>
      <c r="I2">
        <v>0</v>
      </c>
      <c r="J2">
        <v>221.237</v>
      </c>
      <c r="K2">
        <f>C2*299.6855/J2</f>
        <v>0</v>
      </c>
      <c r="L2">
        <f>E2*299.6855/J2</f>
        <v>92450789763.9183</v>
      </c>
      <c r="M2">
        <f>G2*299.6855/J2</f>
        <v>92437243860.6562</v>
      </c>
      <c r="N2">
        <f>H2*299.6855/J2</f>
        <v>636102071.285545</v>
      </c>
    </row>
    <row r="3" spans="1:14">
      <c r="A3">
        <v>2011</v>
      </c>
      <c r="B3" s="13" t="s">
        <v>15</v>
      </c>
      <c r="C3" s="11">
        <f>561.48*1000000</f>
        <v>561480000</v>
      </c>
      <c r="D3" s="11">
        <f>8.6*1000</f>
        <v>8600</v>
      </c>
      <c r="E3" s="12">
        <f t="shared" si="0"/>
        <v>68250000000</v>
      </c>
      <c r="F3" s="12">
        <f t="shared" si="1"/>
        <v>458820000</v>
      </c>
      <c r="G3" s="12">
        <v>68240000000</v>
      </c>
      <c r="H3">
        <v>469590000</v>
      </c>
      <c r="I3">
        <v>0</v>
      </c>
      <c r="J3">
        <v>221.237</v>
      </c>
      <c r="K3">
        <f t="shared" ref="K3:K66" si="2">C3*299.6855/J3</f>
        <v>760575376.361097</v>
      </c>
      <c r="L3">
        <f t="shared" ref="L3:L66" si="3">E3*299.6855/J3</f>
        <v>92450789763.9183</v>
      </c>
      <c r="M3">
        <f t="shared" ref="M3:M66" si="4">G3*299.6855/J3</f>
        <v>92437243860.6562</v>
      </c>
      <c r="N3">
        <f t="shared" ref="N3:N66" si="5">H3*299.6855/J3</f>
        <v>636102071.285545</v>
      </c>
    </row>
    <row r="4" spans="1:14">
      <c r="A4">
        <v>2011</v>
      </c>
      <c r="B4" s="13" t="s">
        <v>16</v>
      </c>
      <c r="C4" s="11">
        <f>20.79*1000000</f>
        <v>20790000</v>
      </c>
      <c r="D4" s="11">
        <f>1.44*1000000</f>
        <v>1440000</v>
      </c>
      <c r="E4" s="12">
        <f t="shared" si="0"/>
        <v>68250000000</v>
      </c>
      <c r="F4" s="12">
        <f t="shared" si="1"/>
        <v>458820000</v>
      </c>
      <c r="G4" s="12">
        <v>68240000000</v>
      </c>
      <c r="H4">
        <v>469590000</v>
      </c>
      <c r="I4">
        <v>0</v>
      </c>
      <c r="J4">
        <v>221.237</v>
      </c>
      <c r="K4">
        <f t="shared" si="2"/>
        <v>28161932.881932</v>
      </c>
      <c r="L4">
        <f t="shared" si="3"/>
        <v>92450789763.9183</v>
      </c>
      <c r="M4">
        <f t="shared" si="4"/>
        <v>92437243860.6562</v>
      </c>
      <c r="N4">
        <f t="shared" si="5"/>
        <v>636102071.285545</v>
      </c>
    </row>
    <row r="5" spans="1:14">
      <c r="A5">
        <v>2011</v>
      </c>
      <c r="B5" s="13" t="s">
        <v>17</v>
      </c>
      <c r="C5" s="11">
        <f>39*1000000</f>
        <v>39000000</v>
      </c>
      <c r="D5" s="11">
        <f>12.41*1000000</f>
        <v>12410000</v>
      </c>
      <c r="E5" s="12">
        <f t="shared" si="0"/>
        <v>68250000000</v>
      </c>
      <c r="F5" s="12">
        <f t="shared" si="1"/>
        <v>458820000</v>
      </c>
      <c r="G5" s="12">
        <v>68240000000</v>
      </c>
      <c r="H5">
        <v>469590000</v>
      </c>
      <c r="I5">
        <v>0</v>
      </c>
      <c r="J5">
        <v>221.237</v>
      </c>
      <c r="K5">
        <f t="shared" si="2"/>
        <v>52829022.722239</v>
      </c>
      <c r="L5">
        <f t="shared" si="3"/>
        <v>92450789763.9183</v>
      </c>
      <c r="M5">
        <f t="shared" si="4"/>
        <v>92437243860.6562</v>
      </c>
      <c r="N5">
        <f t="shared" si="5"/>
        <v>636102071.285545</v>
      </c>
    </row>
    <row r="6" spans="1:14">
      <c r="A6">
        <v>2011</v>
      </c>
      <c r="B6" s="13" t="s">
        <v>18</v>
      </c>
      <c r="C6" s="11">
        <f>4.2*1000000000</f>
        <v>4200000000</v>
      </c>
      <c r="D6" s="11">
        <f>19.85*1000000</f>
        <v>19850000</v>
      </c>
      <c r="E6" s="12">
        <f t="shared" si="0"/>
        <v>68250000000</v>
      </c>
      <c r="F6" s="12">
        <f t="shared" si="1"/>
        <v>458820000</v>
      </c>
      <c r="G6" s="12">
        <v>68240000000</v>
      </c>
      <c r="H6">
        <v>469590000</v>
      </c>
      <c r="I6">
        <v>0</v>
      </c>
      <c r="J6">
        <v>221.237</v>
      </c>
      <c r="K6">
        <f t="shared" si="2"/>
        <v>5689279370.08728</v>
      </c>
      <c r="L6">
        <f t="shared" si="3"/>
        <v>92450789763.9183</v>
      </c>
      <c r="M6">
        <f t="shared" si="4"/>
        <v>92437243860.6562</v>
      </c>
      <c r="N6">
        <f t="shared" si="5"/>
        <v>636102071.285545</v>
      </c>
    </row>
    <row r="7" spans="1:14">
      <c r="A7">
        <v>2011</v>
      </c>
      <c r="B7" s="13" t="s">
        <v>19</v>
      </c>
      <c r="C7" s="11">
        <f>1.53*1000000000</f>
        <v>1530000000</v>
      </c>
      <c r="D7" s="11">
        <f>51.39*1000000</f>
        <v>51390000</v>
      </c>
      <c r="E7" s="12">
        <f t="shared" si="0"/>
        <v>68250000000</v>
      </c>
      <c r="F7" s="12">
        <f t="shared" si="1"/>
        <v>458820000</v>
      </c>
      <c r="G7" s="12">
        <v>68240000000</v>
      </c>
      <c r="H7">
        <v>469590000</v>
      </c>
      <c r="I7">
        <v>0</v>
      </c>
      <c r="J7">
        <v>221.237</v>
      </c>
      <c r="K7">
        <f t="shared" si="2"/>
        <v>2072523199.10322</v>
      </c>
      <c r="L7">
        <f t="shared" si="3"/>
        <v>92450789763.9183</v>
      </c>
      <c r="M7">
        <f t="shared" si="4"/>
        <v>92437243860.6562</v>
      </c>
      <c r="N7">
        <f t="shared" si="5"/>
        <v>636102071.285545</v>
      </c>
    </row>
    <row r="8" spans="1:14">
      <c r="A8">
        <v>2011</v>
      </c>
      <c r="B8" s="13" t="s">
        <v>20</v>
      </c>
      <c r="C8" s="11">
        <f>-111.66*1000000</f>
        <v>-111660000</v>
      </c>
      <c r="D8" s="11">
        <f>96.66*1000000</f>
        <v>96660000</v>
      </c>
      <c r="E8" s="12">
        <f t="shared" si="0"/>
        <v>68250000000</v>
      </c>
      <c r="F8" s="12">
        <f t="shared" si="1"/>
        <v>458820000</v>
      </c>
      <c r="G8" s="12">
        <v>68240000000</v>
      </c>
      <c r="H8">
        <v>469590000</v>
      </c>
      <c r="I8">
        <v>0</v>
      </c>
      <c r="J8">
        <v>221.237</v>
      </c>
      <c r="K8">
        <f t="shared" si="2"/>
        <v>-151253555.824749</v>
      </c>
      <c r="L8">
        <f t="shared" si="3"/>
        <v>92450789763.9183</v>
      </c>
      <c r="M8">
        <f t="shared" si="4"/>
        <v>92437243860.6562</v>
      </c>
      <c r="N8">
        <f t="shared" si="5"/>
        <v>636102071.285545</v>
      </c>
    </row>
    <row r="9" spans="1:14">
      <c r="A9">
        <v>2011</v>
      </c>
      <c r="B9" s="13" t="s">
        <v>21</v>
      </c>
      <c r="C9" s="11">
        <f>1.06*1000000000</f>
        <v>1060000000</v>
      </c>
      <c r="D9" s="11">
        <f>108.61*1000000</f>
        <v>108610000</v>
      </c>
      <c r="E9" s="12">
        <f t="shared" si="0"/>
        <v>68250000000</v>
      </c>
      <c r="F9" s="12">
        <f t="shared" si="1"/>
        <v>458820000</v>
      </c>
      <c r="G9" s="12">
        <v>68240000000</v>
      </c>
      <c r="H9">
        <v>469590000</v>
      </c>
      <c r="I9">
        <v>0</v>
      </c>
      <c r="J9">
        <v>221.237</v>
      </c>
      <c r="K9">
        <f t="shared" si="2"/>
        <v>1435865745.78393</v>
      </c>
      <c r="L9">
        <f t="shared" si="3"/>
        <v>92450789763.9183</v>
      </c>
      <c r="M9">
        <f t="shared" si="4"/>
        <v>92437243860.6562</v>
      </c>
      <c r="N9">
        <f t="shared" si="5"/>
        <v>636102071.285545</v>
      </c>
    </row>
    <row r="10" spans="1:14">
      <c r="A10">
        <v>2011</v>
      </c>
      <c r="B10" s="13" t="s">
        <v>22</v>
      </c>
      <c r="C10" s="11">
        <f>11.33*1000000000</f>
        <v>11330000000</v>
      </c>
      <c r="D10" s="11">
        <f>160.88*1000000</f>
        <v>160880000</v>
      </c>
      <c r="E10" s="12">
        <f t="shared" si="0"/>
        <v>68250000000</v>
      </c>
      <c r="F10" s="12">
        <f t="shared" si="1"/>
        <v>458820000</v>
      </c>
      <c r="G10" s="12">
        <v>68240000000</v>
      </c>
      <c r="H10">
        <v>469590000</v>
      </c>
      <c r="I10">
        <v>0</v>
      </c>
      <c r="J10">
        <v>221.237</v>
      </c>
      <c r="K10">
        <f t="shared" si="2"/>
        <v>15347508395.9735</v>
      </c>
      <c r="L10">
        <f t="shared" si="3"/>
        <v>92450789763.9183</v>
      </c>
      <c r="M10">
        <f t="shared" si="4"/>
        <v>92437243860.6562</v>
      </c>
      <c r="N10">
        <f t="shared" si="5"/>
        <v>636102071.285545</v>
      </c>
    </row>
    <row r="11" spans="1:14">
      <c r="A11">
        <v>2011</v>
      </c>
      <c r="B11" s="13" t="s">
        <v>23</v>
      </c>
      <c r="C11" s="11">
        <f>7.93*1000000000</f>
        <v>7930000000</v>
      </c>
      <c r="D11" s="11">
        <f>191.79*1000000</f>
        <v>191790000</v>
      </c>
      <c r="E11" s="12">
        <f t="shared" si="0"/>
        <v>68250000000</v>
      </c>
      <c r="F11" s="12">
        <f t="shared" si="1"/>
        <v>458820000</v>
      </c>
      <c r="G11" s="12">
        <v>68240000000</v>
      </c>
      <c r="H11">
        <v>469590000</v>
      </c>
      <c r="I11">
        <v>0</v>
      </c>
      <c r="J11">
        <v>221.237</v>
      </c>
      <c r="K11">
        <f t="shared" si="2"/>
        <v>10741901286.8553</v>
      </c>
      <c r="L11">
        <f t="shared" si="3"/>
        <v>92450789763.9183</v>
      </c>
      <c r="M11">
        <f t="shared" si="4"/>
        <v>92437243860.6562</v>
      </c>
      <c r="N11">
        <f t="shared" si="5"/>
        <v>636102071.285545</v>
      </c>
    </row>
    <row r="12" spans="1:14">
      <c r="A12">
        <v>2011</v>
      </c>
      <c r="B12" s="13" t="s">
        <v>24</v>
      </c>
      <c r="C12" s="11">
        <f>820.09*1000000</f>
        <v>820090000</v>
      </c>
      <c r="D12" s="11">
        <f>-13.06*1000000</f>
        <v>-13060000</v>
      </c>
      <c r="E12" s="12">
        <f t="shared" si="0"/>
        <v>68250000000</v>
      </c>
      <c r="F12" s="12">
        <f t="shared" si="1"/>
        <v>458820000</v>
      </c>
      <c r="G12" s="12">
        <v>68240000000</v>
      </c>
      <c r="H12">
        <v>469590000</v>
      </c>
      <c r="I12">
        <v>0</v>
      </c>
      <c r="J12">
        <v>221.237</v>
      </c>
      <c r="K12">
        <f t="shared" si="2"/>
        <v>1110885980.62259</v>
      </c>
      <c r="L12">
        <f t="shared" si="3"/>
        <v>92450789763.9183</v>
      </c>
      <c r="M12">
        <f t="shared" si="4"/>
        <v>92437243860.6562</v>
      </c>
      <c r="N12">
        <f t="shared" si="5"/>
        <v>636102071.285545</v>
      </c>
    </row>
    <row r="13" spans="1:14">
      <c r="A13">
        <v>2011</v>
      </c>
      <c r="B13" s="13" t="s">
        <v>25</v>
      </c>
      <c r="C13" s="11">
        <f>40.35*1000000000</f>
        <v>40350000000</v>
      </c>
      <c r="D13" s="11">
        <f>-168.98*1000000</f>
        <v>-168980000</v>
      </c>
      <c r="E13" s="12">
        <f t="shared" si="0"/>
        <v>68250000000</v>
      </c>
      <c r="F13" s="12">
        <f t="shared" si="1"/>
        <v>458820000</v>
      </c>
      <c r="G13" s="12">
        <v>68240000000</v>
      </c>
      <c r="H13">
        <v>469590000</v>
      </c>
      <c r="I13">
        <v>0</v>
      </c>
      <c r="J13">
        <v>221.237</v>
      </c>
      <c r="K13">
        <f t="shared" si="2"/>
        <v>54657719662.6242</v>
      </c>
      <c r="L13">
        <f t="shared" si="3"/>
        <v>92450789763.9183</v>
      </c>
      <c r="M13">
        <f t="shared" si="4"/>
        <v>92437243860.6562</v>
      </c>
      <c r="N13">
        <f t="shared" si="5"/>
        <v>636102071.285545</v>
      </c>
    </row>
    <row r="14" spans="1:14">
      <c r="A14">
        <v>2011</v>
      </c>
      <c r="B14" s="13" t="s">
        <v>26</v>
      </c>
      <c r="C14" s="11">
        <f>524.67*1000000</f>
        <v>524670000</v>
      </c>
      <c r="D14" s="11">
        <f>-2.16*1000000</f>
        <v>-2160000</v>
      </c>
      <c r="E14" s="12">
        <f t="shared" si="0"/>
        <v>68250000000</v>
      </c>
      <c r="F14" s="12">
        <f t="shared" si="1"/>
        <v>458820000</v>
      </c>
      <c r="G14" s="12">
        <v>68240000000</v>
      </c>
      <c r="H14">
        <v>469590000</v>
      </c>
      <c r="I14">
        <v>0</v>
      </c>
      <c r="J14">
        <v>221.237</v>
      </c>
      <c r="K14">
        <f t="shared" si="2"/>
        <v>710712906.453261</v>
      </c>
      <c r="L14">
        <f t="shared" si="3"/>
        <v>92450789763.9183</v>
      </c>
      <c r="M14">
        <f t="shared" si="4"/>
        <v>92437243860.6562</v>
      </c>
      <c r="N14">
        <f t="shared" si="5"/>
        <v>636102071.285545</v>
      </c>
    </row>
    <row r="15" spans="1:14">
      <c r="A15">
        <v>2012</v>
      </c>
      <c r="B15" s="13" t="s">
        <v>17</v>
      </c>
      <c r="C15" s="11">
        <f>25*1000000</f>
        <v>25000000</v>
      </c>
      <c r="D15" s="11">
        <v>0</v>
      </c>
      <c r="E15" s="12">
        <f t="shared" ref="E15:E27" si="6">69.68*1000000000</f>
        <v>69680000000</v>
      </c>
      <c r="F15" s="12">
        <f t="shared" ref="F15:F27" si="7">506.41*1000000</f>
        <v>506410000</v>
      </c>
      <c r="G15" s="12">
        <v>69600000000</v>
      </c>
      <c r="H15">
        <v>586390000</v>
      </c>
      <c r="I15">
        <v>0</v>
      </c>
      <c r="J15">
        <v>226.596</v>
      </c>
      <c r="K15">
        <f t="shared" si="2"/>
        <v>33063855.9374393</v>
      </c>
      <c r="L15">
        <f t="shared" si="3"/>
        <v>92155579268.8309</v>
      </c>
      <c r="M15">
        <f t="shared" si="4"/>
        <v>92049774929.8311</v>
      </c>
      <c r="N15">
        <f t="shared" si="5"/>
        <v>775532579.326202</v>
      </c>
    </row>
    <row r="16" spans="1:14">
      <c r="A16">
        <v>2012</v>
      </c>
      <c r="B16" s="13" t="s">
        <v>14</v>
      </c>
      <c r="C16" s="11">
        <v>0</v>
      </c>
      <c r="D16" s="11">
        <v>0</v>
      </c>
      <c r="E16" s="12">
        <f t="shared" si="6"/>
        <v>69680000000</v>
      </c>
      <c r="F16" s="12">
        <f t="shared" si="7"/>
        <v>506410000</v>
      </c>
      <c r="G16" s="12">
        <v>69600000000</v>
      </c>
      <c r="H16">
        <v>586390000</v>
      </c>
      <c r="I16">
        <v>0</v>
      </c>
      <c r="J16">
        <v>226.596</v>
      </c>
      <c r="K16">
        <f t="shared" si="2"/>
        <v>0</v>
      </c>
      <c r="L16">
        <f t="shared" si="3"/>
        <v>92155579268.8309</v>
      </c>
      <c r="M16">
        <f t="shared" si="4"/>
        <v>92049774929.8311</v>
      </c>
      <c r="N16">
        <f t="shared" si="5"/>
        <v>775532579.326202</v>
      </c>
    </row>
    <row r="17" spans="1:14">
      <c r="A17">
        <v>2012</v>
      </c>
      <c r="B17" s="13" t="s">
        <v>16</v>
      </c>
      <c r="C17" s="11">
        <f>16.23*1000000</f>
        <v>16230000</v>
      </c>
      <c r="D17" s="11">
        <f>1.1*1000000</f>
        <v>1100000</v>
      </c>
      <c r="E17" s="12">
        <f t="shared" si="6"/>
        <v>69680000000</v>
      </c>
      <c r="F17" s="12">
        <f t="shared" si="7"/>
        <v>506410000</v>
      </c>
      <c r="G17" s="12">
        <v>69600000000</v>
      </c>
      <c r="H17">
        <v>586390000</v>
      </c>
      <c r="I17">
        <v>0</v>
      </c>
      <c r="J17">
        <v>226.596</v>
      </c>
      <c r="K17">
        <f t="shared" si="2"/>
        <v>21465055.2745856</v>
      </c>
      <c r="L17">
        <f t="shared" si="3"/>
        <v>92155579268.8309</v>
      </c>
      <c r="M17">
        <f t="shared" si="4"/>
        <v>92049774929.8311</v>
      </c>
      <c r="N17">
        <f t="shared" si="5"/>
        <v>775532579.326202</v>
      </c>
    </row>
    <row r="18" spans="1:14">
      <c r="A18">
        <v>2012</v>
      </c>
      <c r="B18" s="13" t="s">
        <v>24</v>
      </c>
      <c r="C18" s="11">
        <f>858.56*1000000</f>
        <v>858560000</v>
      </c>
      <c r="D18" s="11">
        <f>4.63*1000000</f>
        <v>4630000</v>
      </c>
      <c r="E18" s="12">
        <f t="shared" si="6"/>
        <v>69680000000</v>
      </c>
      <c r="F18" s="12">
        <f t="shared" si="7"/>
        <v>506410000</v>
      </c>
      <c r="G18" s="12">
        <v>69600000000</v>
      </c>
      <c r="H18">
        <v>586390000</v>
      </c>
      <c r="I18">
        <v>0</v>
      </c>
      <c r="J18">
        <v>226.596</v>
      </c>
      <c r="K18">
        <f t="shared" si="2"/>
        <v>1135492166.14592</v>
      </c>
      <c r="L18">
        <f t="shared" si="3"/>
        <v>92155579268.8309</v>
      </c>
      <c r="M18">
        <f t="shared" si="4"/>
        <v>92049774929.8311</v>
      </c>
      <c r="N18">
        <f t="shared" si="5"/>
        <v>775532579.326202</v>
      </c>
    </row>
    <row r="19" spans="1:14">
      <c r="A19">
        <v>2012</v>
      </c>
      <c r="B19" s="13" t="s">
        <v>22</v>
      </c>
      <c r="C19" s="11">
        <f>11.22*1000000000</f>
        <v>11220000000</v>
      </c>
      <c r="D19" s="11">
        <f>12.65*1000000</f>
        <v>12650000</v>
      </c>
      <c r="E19" s="12">
        <f t="shared" si="6"/>
        <v>69680000000</v>
      </c>
      <c r="F19" s="12">
        <f t="shared" si="7"/>
        <v>506410000</v>
      </c>
      <c r="G19" s="12">
        <v>69600000000</v>
      </c>
      <c r="H19">
        <v>586390000</v>
      </c>
      <c r="I19">
        <v>0</v>
      </c>
      <c r="J19">
        <v>226.596</v>
      </c>
      <c r="K19">
        <f t="shared" si="2"/>
        <v>14839058544.7228</v>
      </c>
      <c r="L19">
        <f t="shared" si="3"/>
        <v>92155579268.8309</v>
      </c>
      <c r="M19">
        <f t="shared" si="4"/>
        <v>92049774929.8311</v>
      </c>
      <c r="N19">
        <f t="shared" si="5"/>
        <v>775532579.326202</v>
      </c>
    </row>
    <row r="20" spans="1:14">
      <c r="A20">
        <v>2012</v>
      </c>
      <c r="B20" s="13" t="s">
        <v>18</v>
      </c>
      <c r="C20" s="11">
        <f>4.28*1000000000</f>
        <v>4280000000</v>
      </c>
      <c r="D20" s="11">
        <f>19.29*1000000</f>
        <v>19290000</v>
      </c>
      <c r="E20" s="12">
        <f t="shared" si="6"/>
        <v>69680000000</v>
      </c>
      <c r="F20" s="12">
        <f t="shared" si="7"/>
        <v>506410000</v>
      </c>
      <c r="G20" s="12">
        <v>69600000000</v>
      </c>
      <c r="H20">
        <v>586390000</v>
      </c>
      <c r="I20">
        <v>0</v>
      </c>
      <c r="J20">
        <v>226.596</v>
      </c>
      <c r="K20">
        <f t="shared" si="2"/>
        <v>5660532136.48961</v>
      </c>
      <c r="L20">
        <f t="shared" si="3"/>
        <v>92155579268.8309</v>
      </c>
      <c r="M20">
        <f t="shared" si="4"/>
        <v>92049774929.8311</v>
      </c>
      <c r="N20">
        <f t="shared" si="5"/>
        <v>775532579.326202</v>
      </c>
    </row>
    <row r="21" spans="1:14">
      <c r="A21">
        <v>2012</v>
      </c>
      <c r="B21" s="13" t="s">
        <v>19</v>
      </c>
      <c r="C21" s="11">
        <f>1.14*1000000000</f>
        <v>1140000000</v>
      </c>
      <c r="D21" s="11">
        <f>101.33*1000000</f>
        <v>101330000</v>
      </c>
      <c r="E21" s="12">
        <f t="shared" si="6"/>
        <v>69680000000</v>
      </c>
      <c r="F21" s="12">
        <f t="shared" si="7"/>
        <v>506410000</v>
      </c>
      <c r="G21" s="12">
        <v>69600000000</v>
      </c>
      <c r="H21">
        <v>586390000</v>
      </c>
      <c r="I21">
        <v>0</v>
      </c>
      <c r="J21">
        <v>226.596</v>
      </c>
      <c r="K21">
        <f t="shared" si="2"/>
        <v>1507711830.74723</v>
      </c>
      <c r="L21">
        <f t="shared" si="3"/>
        <v>92155579268.8309</v>
      </c>
      <c r="M21">
        <f t="shared" si="4"/>
        <v>92049774929.8311</v>
      </c>
      <c r="N21">
        <f t="shared" si="5"/>
        <v>775532579.326202</v>
      </c>
    </row>
    <row r="22" spans="1:14">
      <c r="A22">
        <v>2012</v>
      </c>
      <c r="B22" s="13" t="s">
        <v>23</v>
      </c>
      <c r="C22" s="11">
        <f>7.26*1000000000</f>
        <v>7260000000</v>
      </c>
      <c r="D22" s="11">
        <f>172.58*1000000</f>
        <v>172580000</v>
      </c>
      <c r="E22" s="12">
        <f t="shared" si="6"/>
        <v>69680000000</v>
      </c>
      <c r="F22" s="12">
        <f t="shared" si="7"/>
        <v>506410000</v>
      </c>
      <c r="G22" s="12">
        <v>69600000000</v>
      </c>
      <c r="H22">
        <v>586390000</v>
      </c>
      <c r="I22">
        <v>0</v>
      </c>
      <c r="J22">
        <v>226.596</v>
      </c>
      <c r="K22">
        <f t="shared" si="2"/>
        <v>9601743764.23238</v>
      </c>
      <c r="L22">
        <f t="shared" si="3"/>
        <v>92155579268.8309</v>
      </c>
      <c r="M22">
        <f t="shared" si="4"/>
        <v>92049774929.8311</v>
      </c>
      <c r="N22">
        <f t="shared" si="5"/>
        <v>775532579.326202</v>
      </c>
    </row>
    <row r="23" spans="1:14">
      <c r="A23">
        <v>2012</v>
      </c>
      <c r="B23" s="13" t="s">
        <v>21</v>
      </c>
      <c r="C23" s="11">
        <f>1.47*1000000000</f>
        <v>1470000000</v>
      </c>
      <c r="D23" s="11">
        <f>274.17*1000000</f>
        <v>274170000</v>
      </c>
      <c r="E23" s="12">
        <f t="shared" si="6"/>
        <v>69680000000</v>
      </c>
      <c r="F23" s="12">
        <f t="shared" si="7"/>
        <v>506410000</v>
      </c>
      <c r="G23" s="12">
        <v>69600000000</v>
      </c>
      <c r="H23">
        <v>586390000</v>
      </c>
      <c r="I23">
        <v>0</v>
      </c>
      <c r="J23">
        <v>226.596</v>
      </c>
      <c r="K23">
        <f t="shared" si="2"/>
        <v>1944154729.12143</v>
      </c>
      <c r="L23">
        <f t="shared" si="3"/>
        <v>92155579268.8309</v>
      </c>
      <c r="M23">
        <f t="shared" si="4"/>
        <v>92049774929.8311</v>
      </c>
      <c r="N23">
        <f t="shared" si="5"/>
        <v>775532579.326202</v>
      </c>
    </row>
    <row r="24" spans="1:14">
      <c r="A24">
        <v>2012</v>
      </c>
      <c r="B24" s="13" t="s">
        <v>20</v>
      </c>
      <c r="C24" s="11">
        <f>166.02*1000000</f>
        <v>166020000</v>
      </c>
      <c r="D24" s="11">
        <f>-1.02*1000000</f>
        <v>-1020000</v>
      </c>
      <c r="E24" s="12">
        <f t="shared" si="6"/>
        <v>69680000000</v>
      </c>
      <c r="F24" s="12">
        <f t="shared" si="7"/>
        <v>506410000</v>
      </c>
      <c r="G24" s="12">
        <v>69600000000</v>
      </c>
      <c r="H24">
        <v>586390000</v>
      </c>
      <c r="I24">
        <v>0</v>
      </c>
      <c r="J24">
        <v>226.596</v>
      </c>
      <c r="K24">
        <f t="shared" si="2"/>
        <v>219570454.509347</v>
      </c>
      <c r="L24">
        <f t="shared" si="3"/>
        <v>92155579268.8309</v>
      </c>
      <c r="M24">
        <f t="shared" si="4"/>
        <v>92049774929.8311</v>
      </c>
      <c r="N24">
        <f t="shared" si="5"/>
        <v>775532579.326202</v>
      </c>
    </row>
    <row r="25" spans="1:14">
      <c r="A25">
        <v>2012</v>
      </c>
      <c r="B25" s="13" t="s">
        <v>15</v>
      </c>
      <c r="C25" s="11">
        <f>551.32*1000000</f>
        <v>551320000</v>
      </c>
      <c r="D25" s="11">
        <f>-155.61*1000</f>
        <v>-155610</v>
      </c>
      <c r="E25" s="12">
        <f t="shared" si="6"/>
        <v>69680000000</v>
      </c>
      <c r="F25" s="12">
        <f t="shared" si="7"/>
        <v>506410000</v>
      </c>
      <c r="G25" s="12">
        <v>69600000000</v>
      </c>
      <c r="H25">
        <v>586390000</v>
      </c>
      <c r="I25">
        <v>0</v>
      </c>
      <c r="J25">
        <v>226.596</v>
      </c>
      <c r="K25">
        <f t="shared" si="2"/>
        <v>729150602.217162</v>
      </c>
      <c r="L25">
        <f t="shared" si="3"/>
        <v>92155579268.8309</v>
      </c>
      <c r="M25">
        <f t="shared" si="4"/>
        <v>92049774929.8311</v>
      </c>
      <c r="N25">
        <f t="shared" si="5"/>
        <v>775532579.326202</v>
      </c>
    </row>
    <row r="26" spans="1:14">
      <c r="A26">
        <v>2012</v>
      </c>
      <c r="B26" s="13" t="s">
        <v>26</v>
      </c>
      <c r="C26" s="11">
        <f>583.25*1000000</f>
        <v>583250000</v>
      </c>
      <c r="D26" s="11">
        <f>-19.5*1000000</f>
        <v>-19500000</v>
      </c>
      <c r="E26" s="12">
        <f t="shared" si="6"/>
        <v>69680000000</v>
      </c>
      <c r="F26" s="12">
        <f t="shared" si="7"/>
        <v>506410000</v>
      </c>
      <c r="G26" s="12">
        <v>69600000000</v>
      </c>
      <c r="H26">
        <v>586390000</v>
      </c>
      <c r="I26">
        <v>0</v>
      </c>
      <c r="J26">
        <v>226.596</v>
      </c>
      <c r="K26">
        <f t="shared" si="2"/>
        <v>771379759.020459</v>
      </c>
      <c r="L26">
        <f t="shared" si="3"/>
        <v>92155579268.8309</v>
      </c>
      <c r="M26">
        <f t="shared" si="4"/>
        <v>92049774929.8311</v>
      </c>
      <c r="N26">
        <f t="shared" si="5"/>
        <v>775532579.326202</v>
      </c>
    </row>
    <row r="27" spans="1:14">
      <c r="A27">
        <v>2012</v>
      </c>
      <c r="B27" s="13" t="s">
        <v>25</v>
      </c>
      <c r="C27" s="11">
        <f>42.11*1000000000</f>
        <v>42110000000</v>
      </c>
      <c r="D27" s="11">
        <f>-58.66*1000000</f>
        <v>-58660000</v>
      </c>
      <c r="E27" s="12">
        <f t="shared" si="6"/>
        <v>69680000000</v>
      </c>
      <c r="F27" s="12">
        <f t="shared" si="7"/>
        <v>506410000</v>
      </c>
      <c r="G27" s="12">
        <v>69600000000</v>
      </c>
      <c r="H27">
        <v>586390000</v>
      </c>
      <c r="I27">
        <v>0</v>
      </c>
      <c r="J27">
        <v>226.596</v>
      </c>
      <c r="K27">
        <f t="shared" si="2"/>
        <v>55692758941.0228</v>
      </c>
      <c r="L27">
        <f t="shared" si="3"/>
        <v>92155579268.8309</v>
      </c>
      <c r="M27">
        <f t="shared" si="4"/>
        <v>92049774929.8311</v>
      </c>
      <c r="N27">
        <f t="shared" si="5"/>
        <v>775532579.326202</v>
      </c>
    </row>
    <row r="28" spans="1:14">
      <c r="A28">
        <v>2013</v>
      </c>
      <c r="B28" s="13" t="s">
        <v>14</v>
      </c>
      <c r="C28" s="11">
        <v>0</v>
      </c>
      <c r="D28" s="11">
        <v>0</v>
      </c>
      <c r="E28" s="12">
        <f t="shared" ref="E28:E40" si="8">73.01*1000000000</f>
        <v>73010000000</v>
      </c>
      <c r="F28" s="12">
        <f t="shared" ref="F28:F40" si="9">1.48*1000000000</f>
        <v>1480000000</v>
      </c>
      <c r="G28" s="12">
        <v>73620000000</v>
      </c>
      <c r="H28">
        <v>875460000</v>
      </c>
      <c r="I28">
        <v>0</v>
      </c>
      <c r="J28">
        <v>230.608</v>
      </c>
      <c r="K28">
        <f t="shared" si="2"/>
        <v>0</v>
      </c>
      <c r="L28">
        <f t="shared" si="3"/>
        <v>94879788884.1671</v>
      </c>
      <c r="M28">
        <f t="shared" si="4"/>
        <v>95672511404.6347</v>
      </c>
      <c r="N28">
        <f t="shared" si="5"/>
        <v>1137699766.83376</v>
      </c>
    </row>
    <row r="29" spans="1:14">
      <c r="A29">
        <v>2013</v>
      </c>
      <c r="B29" s="13" t="s">
        <v>17</v>
      </c>
      <c r="C29" s="11">
        <v>0</v>
      </c>
      <c r="D29" s="11">
        <v>0</v>
      </c>
      <c r="E29" s="12">
        <f t="shared" si="8"/>
        <v>73010000000</v>
      </c>
      <c r="F29" s="12">
        <f t="shared" si="9"/>
        <v>1480000000</v>
      </c>
      <c r="G29" s="12">
        <v>73620000000</v>
      </c>
      <c r="H29">
        <v>875460000</v>
      </c>
      <c r="I29">
        <v>0</v>
      </c>
      <c r="J29">
        <v>230.608</v>
      </c>
      <c r="K29">
        <f t="shared" si="2"/>
        <v>0</v>
      </c>
      <c r="L29">
        <f t="shared" si="3"/>
        <v>94879788884.1671</v>
      </c>
      <c r="M29">
        <f t="shared" si="4"/>
        <v>95672511404.6347</v>
      </c>
      <c r="N29">
        <f t="shared" si="5"/>
        <v>1137699766.83376</v>
      </c>
    </row>
    <row r="30" spans="1:14">
      <c r="A30">
        <v>2013</v>
      </c>
      <c r="B30" s="13" t="s">
        <v>16</v>
      </c>
      <c r="C30" s="11">
        <f>16.2*1000000</f>
        <v>16200000</v>
      </c>
      <c r="D30" s="11">
        <f>53.26*1000</f>
        <v>53260</v>
      </c>
      <c r="E30" s="12">
        <f t="shared" si="8"/>
        <v>73010000000</v>
      </c>
      <c r="F30" s="12">
        <f t="shared" si="9"/>
        <v>1480000000</v>
      </c>
      <c r="G30" s="12">
        <v>73620000000</v>
      </c>
      <c r="H30">
        <v>875460000</v>
      </c>
      <c r="I30">
        <v>0</v>
      </c>
      <c r="J30">
        <v>230.608</v>
      </c>
      <c r="K30">
        <f t="shared" si="2"/>
        <v>21052630.8714355</v>
      </c>
      <c r="L30">
        <f t="shared" si="3"/>
        <v>94879788884.1671</v>
      </c>
      <c r="M30">
        <f t="shared" si="4"/>
        <v>95672511404.6347</v>
      </c>
      <c r="N30">
        <f t="shared" si="5"/>
        <v>1137699766.83376</v>
      </c>
    </row>
    <row r="31" spans="1:14">
      <c r="A31">
        <v>2013</v>
      </c>
      <c r="B31" s="13" t="s">
        <v>15</v>
      </c>
      <c r="C31" s="11">
        <f>524.12*1000000</f>
        <v>524120000</v>
      </c>
      <c r="D31" s="11">
        <f>27.08*1000000</f>
        <v>27080000</v>
      </c>
      <c r="E31" s="12">
        <f t="shared" si="8"/>
        <v>73010000000</v>
      </c>
      <c r="F31" s="12">
        <f t="shared" si="9"/>
        <v>1480000000</v>
      </c>
      <c r="G31" s="12">
        <v>73620000000</v>
      </c>
      <c r="H31">
        <v>875460000</v>
      </c>
      <c r="I31">
        <v>0</v>
      </c>
      <c r="J31">
        <v>230.608</v>
      </c>
      <c r="K31">
        <f t="shared" si="2"/>
        <v>681117585.946715</v>
      </c>
      <c r="L31">
        <f t="shared" si="3"/>
        <v>94879788884.1671</v>
      </c>
      <c r="M31">
        <f t="shared" si="4"/>
        <v>95672511404.6347</v>
      </c>
      <c r="N31">
        <f t="shared" si="5"/>
        <v>1137699766.83376</v>
      </c>
    </row>
    <row r="32" spans="1:14">
      <c r="A32">
        <v>2013</v>
      </c>
      <c r="B32" s="13" t="s">
        <v>20</v>
      </c>
      <c r="C32" s="11">
        <f>-59.2*1000000</f>
        <v>-59200000</v>
      </c>
      <c r="D32" s="11">
        <f>44.2*1000000</f>
        <v>44200000</v>
      </c>
      <c r="E32" s="12">
        <f t="shared" si="8"/>
        <v>73010000000</v>
      </c>
      <c r="F32" s="12">
        <f t="shared" si="9"/>
        <v>1480000000</v>
      </c>
      <c r="G32" s="12">
        <v>73620000000</v>
      </c>
      <c r="H32">
        <v>875460000</v>
      </c>
      <c r="I32">
        <v>0</v>
      </c>
      <c r="J32">
        <v>230.608</v>
      </c>
      <c r="K32">
        <f t="shared" si="2"/>
        <v>-76933070.8388261</v>
      </c>
      <c r="L32">
        <f t="shared" si="3"/>
        <v>94879788884.1671</v>
      </c>
      <c r="M32">
        <f t="shared" si="4"/>
        <v>95672511404.6347</v>
      </c>
      <c r="N32">
        <f t="shared" si="5"/>
        <v>1137699766.83376</v>
      </c>
    </row>
    <row r="33" spans="1:14">
      <c r="A33">
        <v>2013</v>
      </c>
      <c r="B33" s="13" t="s">
        <v>18</v>
      </c>
      <c r="C33" s="11">
        <f>4.28*1000000000</f>
        <v>4280000000</v>
      </c>
      <c r="D33" s="11">
        <f>51.63*1000000</f>
        <v>51630000</v>
      </c>
      <c r="E33" s="12">
        <f t="shared" si="8"/>
        <v>73010000000</v>
      </c>
      <c r="F33" s="12">
        <f t="shared" si="9"/>
        <v>1480000000</v>
      </c>
      <c r="G33" s="12">
        <v>73620000000</v>
      </c>
      <c r="H33">
        <v>875460000</v>
      </c>
      <c r="I33">
        <v>0</v>
      </c>
      <c r="J33">
        <v>230.608</v>
      </c>
      <c r="K33">
        <f t="shared" si="2"/>
        <v>5562053094.42864</v>
      </c>
      <c r="L33">
        <f t="shared" si="3"/>
        <v>94879788884.1671</v>
      </c>
      <c r="M33">
        <f t="shared" si="4"/>
        <v>95672511404.6347</v>
      </c>
      <c r="N33">
        <f t="shared" si="5"/>
        <v>1137699766.83376</v>
      </c>
    </row>
    <row r="34" spans="1:14">
      <c r="A34">
        <v>2013</v>
      </c>
      <c r="B34" s="13" t="s">
        <v>19</v>
      </c>
      <c r="C34" s="11">
        <f>1.07*1000000000</f>
        <v>1070000000</v>
      </c>
      <c r="D34" s="11">
        <f>76.35*1000000</f>
        <v>76350000</v>
      </c>
      <c r="E34" s="12">
        <f t="shared" si="8"/>
        <v>73010000000</v>
      </c>
      <c r="F34" s="12">
        <f t="shared" si="9"/>
        <v>1480000000</v>
      </c>
      <c r="G34" s="12">
        <v>73620000000</v>
      </c>
      <c r="H34">
        <v>875460000</v>
      </c>
      <c r="I34">
        <v>0</v>
      </c>
      <c r="J34">
        <v>230.608</v>
      </c>
      <c r="K34">
        <f t="shared" si="2"/>
        <v>1390513273.60716</v>
      </c>
      <c r="L34">
        <f t="shared" si="3"/>
        <v>94879788884.1671</v>
      </c>
      <c r="M34">
        <f t="shared" si="4"/>
        <v>95672511404.6347</v>
      </c>
      <c r="N34">
        <f t="shared" si="5"/>
        <v>1137699766.83376</v>
      </c>
    </row>
    <row r="35" spans="1:14">
      <c r="A35">
        <v>2013</v>
      </c>
      <c r="B35" s="13" t="s">
        <v>22</v>
      </c>
      <c r="C35" s="11">
        <f>11.15*1000000000</f>
        <v>11150000000</v>
      </c>
      <c r="D35" s="11">
        <f>121.2*1000000</f>
        <v>121200000</v>
      </c>
      <c r="E35" s="12">
        <f t="shared" si="8"/>
        <v>73010000000</v>
      </c>
      <c r="F35" s="12">
        <f t="shared" si="9"/>
        <v>1480000000</v>
      </c>
      <c r="G35" s="12">
        <v>73620000000</v>
      </c>
      <c r="H35">
        <v>875460000</v>
      </c>
      <c r="I35">
        <v>0</v>
      </c>
      <c r="J35">
        <v>230.608</v>
      </c>
      <c r="K35">
        <f t="shared" si="2"/>
        <v>14489928038.0559</v>
      </c>
      <c r="L35">
        <f t="shared" si="3"/>
        <v>94879788884.1671</v>
      </c>
      <c r="M35">
        <f t="shared" si="4"/>
        <v>95672511404.6347</v>
      </c>
      <c r="N35">
        <f t="shared" si="5"/>
        <v>1137699766.83376</v>
      </c>
    </row>
    <row r="36" spans="1:14">
      <c r="A36">
        <v>2013</v>
      </c>
      <c r="B36" s="13" t="s">
        <v>21</v>
      </c>
      <c r="C36" s="11">
        <f>838.81*1000000</f>
        <v>838810000</v>
      </c>
      <c r="D36" s="11">
        <f>306.49*1000000</f>
        <v>306490000</v>
      </c>
      <c r="E36" s="12">
        <f t="shared" si="8"/>
        <v>73010000000</v>
      </c>
      <c r="F36" s="12">
        <f t="shared" si="9"/>
        <v>1480000000</v>
      </c>
      <c r="G36" s="12">
        <v>73620000000</v>
      </c>
      <c r="H36">
        <v>875460000</v>
      </c>
      <c r="I36">
        <v>0</v>
      </c>
      <c r="J36">
        <v>230.608</v>
      </c>
      <c r="K36">
        <f t="shared" si="2"/>
        <v>1090071438.34993</v>
      </c>
      <c r="L36">
        <f t="shared" si="3"/>
        <v>94879788884.1671</v>
      </c>
      <c r="M36">
        <f t="shared" si="4"/>
        <v>95672511404.6347</v>
      </c>
      <c r="N36">
        <f t="shared" si="5"/>
        <v>1137699766.83376</v>
      </c>
    </row>
    <row r="37" spans="1:14">
      <c r="A37">
        <v>2013</v>
      </c>
      <c r="B37" s="13" t="s">
        <v>23</v>
      </c>
      <c r="C37" s="11">
        <f>8.66*1000000000</f>
        <v>8660000000</v>
      </c>
      <c r="D37" s="11">
        <f>306.82*1000000</f>
        <v>306820000</v>
      </c>
      <c r="E37" s="12">
        <f t="shared" si="8"/>
        <v>73010000000</v>
      </c>
      <c r="F37" s="12">
        <f t="shared" si="9"/>
        <v>1480000000</v>
      </c>
      <c r="G37" s="12">
        <v>73620000000</v>
      </c>
      <c r="H37">
        <v>875460000</v>
      </c>
      <c r="I37">
        <v>0</v>
      </c>
      <c r="J37">
        <v>230.608</v>
      </c>
      <c r="K37">
        <f t="shared" si="2"/>
        <v>11254060700.4094</v>
      </c>
      <c r="L37">
        <f t="shared" si="3"/>
        <v>94879788884.1671</v>
      </c>
      <c r="M37">
        <f t="shared" si="4"/>
        <v>95672511404.6347</v>
      </c>
      <c r="N37">
        <f t="shared" si="5"/>
        <v>1137699766.83376</v>
      </c>
    </row>
    <row r="38" spans="1:14">
      <c r="A38">
        <v>2013</v>
      </c>
      <c r="B38" s="13" t="s">
        <v>25</v>
      </c>
      <c r="C38" s="11">
        <f>45.12*1000000000</f>
        <v>45120000000</v>
      </c>
      <c r="D38" s="11">
        <f>570.53*1000000</f>
        <v>570530000</v>
      </c>
      <c r="E38" s="12">
        <f t="shared" si="8"/>
        <v>73010000000</v>
      </c>
      <c r="F38" s="12">
        <f t="shared" si="9"/>
        <v>1480000000</v>
      </c>
      <c r="G38" s="12">
        <v>73620000000</v>
      </c>
      <c r="H38">
        <v>875460000</v>
      </c>
      <c r="I38">
        <v>0</v>
      </c>
      <c r="J38">
        <v>230.608</v>
      </c>
      <c r="K38">
        <f t="shared" si="2"/>
        <v>58635475612.2945</v>
      </c>
      <c r="L38">
        <f t="shared" si="3"/>
        <v>94879788884.1671</v>
      </c>
      <c r="M38">
        <f t="shared" si="4"/>
        <v>95672511404.6347</v>
      </c>
      <c r="N38">
        <f t="shared" si="5"/>
        <v>1137699766.83376</v>
      </c>
    </row>
    <row r="39" spans="1:14">
      <c r="A39">
        <v>2013</v>
      </c>
      <c r="B39" s="13" t="s">
        <v>26</v>
      </c>
      <c r="C39" s="11">
        <f>591.66*1000000</f>
        <v>591660000</v>
      </c>
      <c r="D39" s="11">
        <f>-15*1000000</f>
        <v>-15000000</v>
      </c>
      <c r="E39" s="12">
        <f t="shared" si="8"/>
        <v>73010000000</v>
      </c>
      <c r="F39" s="12">
        <f t="shared" si="9"/>
        <v>1480000000</v>
      </c>
      <c r="G39" s="12">
        <v>73620000000</v>
      </c>
      <c r="H39">
        <v>875460000</v>
      </c>
      <c r="I39">
        <v>0</v>
      </c>
      <c r="J39">
        <v>230.608</v>
      </c>
      <c r="K39">
        <f t="shared" si="2"/>
        <v>768888863.048984</v>
      </c>
      <c r="L39">
        <f t="shared" si="3"/>
        <v>94879788884.1671</v>
      </c>
      <c r="M39">
        <f t="shared" si="4"/>
        <v>95672511404.6347</v>
      </c>
      <c r="N39">
        <f t="shared" si="5"/>
        <v>1137699766.83376</v>
      </c>
    </row>
    <row r="40" spans="1:14">
      <c r="A40">
        <v>2013</v>
      </c>
      <c r="B40" s="13" t="s">
        <v>24</v>
      </c>
      <c r="C40" s="11">
        <f>810.01*1000000</f>
        <v>810010000</v>
      </c>
      <c r="D40" s="11">
        <f>-6.17*1000000</f>
        <v>-6170000</v>
      </c>
      <c r="E40" s="12">
        <f t="shared" si="8"/>
        <v>73010000000</v>
      </c>
      <c r="F40" s="12">
        <f t="shared" si="9"/>
        <v>1480000000</v>
      </c>
      <c r="G40" s="12">
        <v>73620000000</v>
      </c>
      <c r="H40">
        <v>875460000</v>
      </c>
      <c r="I40">
        <v>0</v>
      </c>
      <c r="J40">
        <v>230.608</v>
      </c>
      <c r="K40">
        <f t="shared" si="2"/>
        <v>1052644539.02293</v>
      </c>
      <c r="L40">
        <f t="shared" si="3"/>
        <v>94879788884.1671</v>
      </c>
      <c r="M40">
        <f t="shared" si="4"/>
        <v>95672511404.6347</v>
      </c>
      <c r="N40">
        <f t="shared" si="5"/>
        <v>1137699766.83376</v>
      </c>
    </row>
    <row r="41" spans="1:14">
      <c r="A41">
        <v>2014</v>
      </c>
      <c r="B41" s="13" t="s">
        <v>14</v>
      </c>
      <c r="C41" s="11">
        <v>0</v>
      </c>
      <c r="D41" s="11">
        <v>0</v>
      </c>
      <c r="E41" s="12">
        <f t="shared" ref="E41:E53" si="10">76.97*1000000000</f>
        <v>76970000000</v>
      </c>
      <c r="F41" s="12">
        <f t="shared" ref="F41:F53" si="11">525.14*1000000</f>
        <v>525140000</v>
      </c>
      <c r="G41" s="12">
        <v>76910000000</v>
      </c>
      <c r="H41">
        <v>579900000</v>
      </c>
      <c r="I41">
        <v>0</v>
      </c>
      <c r="J41">
        <v>234.966</v>
      </c>
      <c r="K41">
        <f t="shared" si="2"/>
        <v>0</v>
      </c>
      <c r="L41">
        <f t="shared" si="3"/>
        <v>98170769111.2757</v>
      </c>
      <c r="M41">
        <f t="shared" si="4"/>
        <v>98094242592.5453</v>
      </c>
      <c r="N41">
        <f t="shared" si="5"/>
        <v>739628803.529021</v>
      </c>
    </row>
    <row r="42" spans="1:14">
      <c r="A42">
        <v>2014</v>
      </c>
      <c r="B42" s="13" t="s">
        <v>16</v>
      </c>
      <c r="C42" s="11">
        <f>15.99*1000000</f>
        <v>15990000</v>
      </c>
      <c r="D42" s="11">
        <f>264.73*1000</f>
        <v>264730</v>
      </c>
      <c r="E42" s="12">
        <f t="shared" si="10"/>
        <v>76970000000</v>
      </c>
      <c r="F42" s="12">
        <f t="shared" si="11"/>
        <v>525140000</v>
      </c>
      <c r="G42" s="12">
        <v>76910000000</v>
      </c>
      <c r="H42">
        <v>579900000</v>
      </c>
      <c r="I42">
        <v>0</v>
      </c>
      <c r="J42">
        <v>234.966</v>
      </c>
      <c r="K42">
        <f t="shared" si="2"/>
        <v>20394317.2416435</v>
      </c>
      <c r="L42">
        <f t="shared" si="3"/>
        <v>98170769111.2757</v>
      </c>
      <c r="M42">
        <f t="shared" si="4"/>
        <v>98094242592.5453</v>
      </c>
      <c r="N42">
        <f t="shared" si="5"/>
        <v>739628803.529021</v>
      </c>
    </row>
    <row r="43" spans="1:14">
      <c r="A43">
        <v>2014</v>
      </c>
      <c r="B43" s="13" t="s">
        <v>20</v>
      </c>
      <c r="C43" s="11">
        <f>-18.56*1000000</f>
        <v>-18560000</v>
      </c>
      <c r="D43" s="11">
        <f>3.56*1000000</f>
        <v>3560000</v>
      </c>
      <c r="E43" s="12">
        <f t="shared" si="10"/>
        <v>76970000000</v>
      </c>
      <c r="F43" s="12">
        <f t="shared" si="11"/>
        <v>525140000</v>
      </c>
      <c r="G43" s="12">
        <v>76910000000</v>
      </c>
      <c r="H43">
        <v>579900000</v>
      </c>
      <c r="I43">
        <v>0</v>
      </c>
      <c r="J43">
        <v>234.966</v>
      </c>
      <c r="K43">
        <f t="shared" si="2"/>
        <v>-23672203.127261</v>
      </c>
      <c r="L43">
        <f t="shared" si="3"/>
        <v>98170769111.2757</v>
      </c>
      <c r="M43">
        <f t="shared" si="4"/>
        <v>98094242592.5453</v>
      </c>
      <c r="N43">
        <f t="shared" si="5"/>
        <v>739628803.529021</v>
      </c>
    </row>
    <row r="44" spans="1:14">
      <c r="A44">
        <v>2014</v>
      </c>
      <c r="B44" s="13" t="s">
        <v>15</v>
      </c>
      <c r="C44" s="11">
        <f>535.29*1000000</f>
        <v>535290000</v>
      </c>
      <c r="D44" s="11">
        <f>5.27*1000000</f>
        <v>5270000</v>
      </c>
      <c r="E44" s="12">
        <f t="shared" si="10"/>
        <v>76970000000</v>
      </c>
      <c r="F44" s="12">
        <f t="shared" si="11"/>
        <v>525140000</v>
      </c>
      <c r="G44" s="12">
        <v>76910000000</v>
      </c>
      <c r="H44">
        <v>579900000</v>
      </c>
      <c r="I44">
        <v>0</v>
      </c>
      <c r="J44">
        <v>234.966</v>
      </c>
      <c r="K44">
        <f t="shared" si="2"/>
        <v>682731336.852991</v>
      </c>
      <c r="L44">
        <f t="shared" si="3"/>
        <v>98170769111.2757</v>
      </c>
      <c r="M44">
        <f t="shared" si="4"/>
        <v>98094242592.5453</v>
      </c>
      <c r="N44">
        <f t="shared" si="5"/>
        <v>739628803.529021</v>
      </c>
    </row>
    <row r="45" spans="1:14">
      <c r="A45">
        <v>2014</v>
      </c>
      <c r="B45" s="13" t="s">
        <v>19</v>
      </c>
      <c r="C45" s="11">
        <f>1.18*1000000000</f>
        <v>1180000000</v>
      </c>
      <c r="D45" s="11">
        <f>21.43*1000000</f>
        <v>21430000</v>
      </c>
      <c r="E45" s="12">
        <f t="shared" si="10"/>
        <v>76970000000</v>
      </c>
      <c r="F45" s="12">
        <f t="shared" si="11"/>
        <v>525140000</v>
      </c>
      <c r="G45" s="12">
        <v>76910000000</v>
      </c>
      <c r="H45">
        <v>579900000</v>
      </c>
      <c r="I45">
        <v>0</v>
      </c>
      <c r="J45">
        <v>234.966</v>
      </c>
      <c r="K45">
        <f t="shared" si="2"/>
        <v>1505021535.0306</v>
      </c>
      <c r="L45">
        <f t="shared" si="3"/>
        <v>98170769111.2757</v>
      </c>
      <c r="M45">
        <f t="shared" si="4"/>
        <v>98094242592.5453</v>
      </c>
      <c r="N45">
        <f t="shared" si="5"/>
        <v>739628803.529021</v>
      </c>
    </row>
    <row r="46" spans="1:14">
      <c r="A46">
        <v>2014</v>
      </c>
      <c r="B46" s="13" t="s">
        <v>22</v>
      </c>
      <c r="C46" s="11">
        <f>11.57*1000000000</f>
        <v>11570000000</v>
      </c>
      <c r="D46" s="11">
        <f>73.86*1000000</f>
        <v>73860000</v>
      </c>
      <c r="E46" s="12">
        <f t="shared" si="10"/>
        <v>76970000000</v>
      </c>
      <c r="F46" s="12">
        <f t="shared" si="11"/>
        <v>525140000</v>
      </c>
      <c r="G46" s="12">
        <v>76910000000</v>
      </c>
      <c r="H46">
        <v>579900000</v>
      </c>
      <c r="I46">
        <v>0</v>
      </c>
      <c r="J46">
        <v>234.966</v>
      </c>
      <c r="K46">
        <f t="shared" si="2"/>
        <v>14756863695.1729</v>
      </c>
      <c r="L46">
        <f t="shared" si="3"/>
        <v>98170769111.2757</v>
      </c>
      <c r="M46">
        <f t="shared" si="4"/>
        <v>98094242592.5453</v>
      </c>
      <c r="N46">
        <f t="shared" si="5"/>
        <v>739628803.529021</v>
      </c>
    </row>
    <row r="47" spans="1:14">
      <c r="A47">
        <v>2014</v>
      </c>
      <c r="B47" s="13" t="s">
        <v>23</v>
      </c>
      <c r="C47" s="11">
        <f>7.12*1000000000</f>
        <v>7120000000</v>
      </c>
      <c r="D47" s="11">
        <f>226.14*1000000</f>
        <v>226140000</v>
      </c>
      <c r="E47" s="12">
        <f t="shared" si="10"/>
        <v>76970000000</v>
      </c>
      <c r="F47" s="12">
        <f t="shared" si="11"/>
        <v>525140000</v>
      </c>
      <c r="G47" s="12">
        <v>76910000000</v>
      </c>
      <c r="H47">
        <v>579900000</v>
      </c>
      <c r="I47">
        <v>0</v>
      </c>
      <c r="J47">
        <v>234.966</v>
      </c>
      <c r="K47">
        <f t="shared" si="2"/>
        <v>9081146889.33718</v>
      </c>
      <c r="L47">
        <f t="shared" si="3"/>
        <v>98170769111.2757</v>
      </c>
      <c r="M47">
        <f t="shared" si="4"/>
        <v>98094242592.5453</v>
      </c>
      <c r="N47">
        <f t="shared" si="5"/>
        <v>739628803.529021</v>
      </c>
    </row>
    <row r="48" spans="1:14">
      <c r="A48">
        <v>2014</v>
      </c>
      <c r="B48" s="13" t="s">
        <v>21</v>
      </c>
      <c r="C48" s="11">
        <f>2.1*1000000000</f>
        <v>2100000000</v>
      </c>
      <c r="D48" s="11">
        <f>338.16*1000000</f>
        <v>338160000</v>
      </c>
      <c r="E48" s="12">
        <f t="shared" si="10"/>
        <v>76970000000</v>
      </c>
      <c r="F48" s="12">
        <f t="shared" si="11"/>
        <v>525140000</v>
      </c>
      <c r="G48" s="12">
        <v>76910000000</v>
      </c>
      <c r="H48">
        <v>579900000</v>
      </c>
      <c r="I48">
        <v>0</v>
      </c>
      <c r="J48">
        <v>234.966</v>
      </c>
      <c r="K48">
        <f t="shared" si="2"/>
        <v>2678428155.56293</v>
      </c>
      <c r="L48">
        <f t="shared" si="3"/>
        <v>98170769111.2757</v>
      </c>
      <c r="M48">
        <f t="shared" si="4"/>
        <v>98094242592.5453</v>
      </c>
      <c r="N48">
        <f t="shared" si="5"/>
        <v>739628803.529021</v>
      </c>
    </row>
    <row r="49" spans="1:14">
      <c r="A49">
        <v>2014</v>
      </c>
      <c r="B49" s="13" t="s">
        <v>17</v>
      </c>
      <c r="C49" s="11">
        <f>1.07*1000000</f>
        <v>1070000</v>
      </c>
      <c r="D49" s="11">
        <f>-1.07*1000000</f>
        <v>-1070000</v>
      </c>
      <c r="E49" s="12">
        <f t="shared" si="10"/>
        <v>76970000000</v>
      </c>
      <c r="F49" s="12">
        <f t="shared" si="11"/>
        <v>525140000</v>
      </c>
      <c r="G49" s="12">
        <v>76910000000</v>
      </c>
      <c r="H49">
        <v>579900000</v>
      </c>
      <c r="I49">
        <v>0</v>
      </c>
      <c r="J49">
        <v>234.966</v>
      </c>
      <c r="K49">
        <f t="shared" si="2"/>
        <v>1364722.91735826</v>
      </c>
      <c r="L49">
        <f t="shared" si="3"/>
        <v>98170769111.2757</v>
      </c>
      <c r="M49">
        <f t="shared" si="4"/>
        <v>98094242592.5453</v>
      </c>
      <c r="N49">
        <f t="shared" si="5"/>
        <v>739628803.529021</v>
      </c>
    </row>
    <row r="50" spans="1:14">
      <c r="A50">
        <v>2014</v>
      </c>
      <c r="B50" s="13" t="s">
        <v>26</v>
      </c>
      <c r="C50" s="11">
        <f>647.83*1000000</f>
        <v>647830000</v>
      </c>
      <c r="D50" s="11">
        <f>-10.65*1000000</f>
        <v>-10650000</v>
      </c>
      <c r="E50" s="12">
        <f t="shared" si="10"/>
        <v>76970000000</v>
      </c>
      <c r="F50" s="12">
        <f t="shared" si="11"/>
        <v>525140000</v>
      </c>
      <c r="G50" s="12">
        <v>76910000000</v>
      </c>
      <c r="H50">
        <v>579900000</v>
      </c>
      <c r="I50">
        <v>0</v>
      </c>
      <c r="J50">
        <v>234.966</v>
      </c>
      <c r="K50">
        <f t="shared" si="2"/>
        <v>826269577.151588</v>
      </c>
      <c r="L50">
        <f t="shared" si="3"/>
        <v>98170769111.2757</v>
      </c>
      <c r="M50">
        <f t="shared" si="4"/>
        <v>98094242592.5453</v>
      </c>
      <c r="N50">
        <f t="shared" si="5"/>
        <v>739628803.529021</v>
      </c>
    </row>
    <row r="51" spans="1:14">
      <c r="A51">
        <v>2014</v>
      </c>
      <c r="B51" s="13" t="s">
        <v>24</v>
      </c>
      <c r="C51" s="11">
        <f>892.19*1000000</f>
        <v>892190000</v>
      </c>
      <c r="D51" s="11">
        <f>-18.61*1000000</f>
        <v>-18610000</v>
      </c>
      <c r="E51" s="12">
        <f t="shared" si="10"/>
        <v>76970000000</v>
      </c>
      <c r="F51" s="12">
        <f t="shared" si="11"/>
        <v>525140000</v>
      </c>
      <c r="G51" s="12">
        <v>76910000000</v>
      </c>
      <c r="H51">
        <v>579900000</v>
      </c>
      <c r="I51">
        <v>0</v>
      </c>
      <c r="J51">
        <v>234.966</v>
      </c>
      <c r="K51">
        <f t="shared" si="2"/>
        <v>1137936579.10081</v>
      </c>
      <c r="L51">
        <f t="shared" si="3"/>
        <v>98170769111.2757</v>
      </c>
      <c r="M51">
        <f t="shared" si="4"/>
        <v>98094242592.5453</v>
      </c>
      <c r="N51">
        <f t="shared" si="5"/>
        <v>739628803.529021</v>
      </c>
    </row>
    <row r="52" spans="1:14">
      <c r="A52">
        <v>2014</v>
      </c>
      <c r="B52" s="13" t="s">
        <v>18</v>
      </c>
      <c r="C52" s="11">
        <f>4.55*1000000000</f>
        <v>4550000000</v>
      </c>
      <c r="D52" s="11">
        <f>-30.79*1000000</f>
        <v>-30790000</v>
      </c>
      <c r="E52" s="12">
        <f t="shared" si="10"/>
        <v>76970000000</v>
      </c>
      <c r="F52" s="12">
        <f t="shared" si="11"/>
        <v>525140000</v>
      </c>
      <c r="G52" s="12">
        <v>76910000000</v>
      </c>
      <c r="H52">
        <v>579900000</v>
      </c>
      <c r="I52">
        <v>0</v>
      </c>
      <c r="J52">
        <v>234.966</v>
      </c>
      <c r="K52">
        <f t="shared" si="2"/>
        <v>5803261003.71969</v>
      </c>
      <c r="L52">
        <f t="shared" si="3"/>
        <v>98170769111.2757</v>
      </c>
      <c r="M52">
        <f t="shared" si="4"/>
        <v>98094242592.5453</v>
      </c>
      <c r="N52">
        <f t="shared" si="5"/>
        <v>739628803.529021</v>
      </c>
    </row>
    <row r="53" spans="1:14">
      <c r="A53">
        <v>2014</v>
      </c>
      <c r="B53" s="13" t="s">
        <v>25</v>
      </c>
      <c r="C53" s="11">
        <f>48.38*1000000000</f>
        <v>48380000000</v>
      </c>
      <c r="D53" s="11">
        <f>-82.41*1000000</f>
        <v>-82410000</v>
      </c>
      <c r="E53" s="12">
        <f t="shared" si="10"/>
        <v>76970000000</v>
      </c>
      <c r="F53" s="12">
        <f t="shared" si="11"/>
        <v>525140000</v>
      </c>
      <c r="G53" s="12">
        <v>76910000000</v>
      </c>
      <c r="H53">
        <v>579900000</v>
      </c>
      <c r="I53">
        <v>0</v>
      </c>
      <c r="J53">
        <v>234.966</v>
      </c>
      <c r="K53">
        <f t="shared" si="2"/>
        <v>61705882936.2546</v>
      </c>
      <c r="L53">
        <f t="shared" si="3"/>
        <v>98170769111.2757</v>
      </c>
      <c r="M53">
        <f t="shared" si="4"/>
        <v>98094242592.5453</v>
      </c>
      <c r="N53">
        <f t="shared" si="5"/>
        <v>739628803.529021</v>
      </c>
    </row>
    <row r="54" spans="1:14">
      <c r="A54">
        <v>2015</v>
      </c>
      <c r="B54" s="13" t="s">
        <v>14</v>
      </c>
      <c r="C54" s="11">
        <v>0</v>
      </c>
      <c r="D54" s="11">
        <v>0</v>
      </c>
      <c r="E54" s="12">
        <f t="shared" ref="E54:E66" si="12">81.51*1000000000</f>
        <v>81510000000</v>
      </c>
      <c r="F54" s="12">
        <f t="shared" ref="F54:F66" si="13">665.11*1000000</f>
        <v>665110000</v>
      </c>
      <c r="G54" s="12">
        <v>81440000000</v>
      </c>
      <c r="H54">
        <v>736510000</v>
      </c>
      <c r="I54">
        <v>0</v>
      </c>
      <c r="J54">
        <v>236.6765</v>
      </c>
      <c r="K54">
        <f t="shared" si="2"/>
        <v>0</v>
      </c>
      <c r="L54">
        <f t="shared" si="3"/>
        <v>103209930453.594</v>
      </c>
      <c r="M54">
        <f t="shared" si="4"/>
        <v>103121294763.105</v>
      </c>
      <c r="N54">
        <f t="shared" si="5"/>
        <v>932586748.599882</v>
      </c>
    </row>
    <row r="55" spans="1:14">
      <c r="A55">
        <v>2015</v>
      </c>
      <c r="B55" s="13" t="s">
        <v>15</v>
      </c>
      <c r="C55" s="11">
        <f>551.49*1000000</f>
        <v>551490000</v>
      </c>
      <c r="D55" s="11">
        <f>6.26*1000000</f>
        <v>6260000</v>
      </c>
      <c r="E55" s="12">
        <f t="shared" si="12"/>
        <v>81510000000</v>
      </c>
      <c r="F55" s="12">
        <f t="shared" si="13"/>
        <v>665110000</v>
      </c>
      <c r="G55" s="12">
        <v>81440000000</v>
      </c>
      <c r="H55">
        <v>736510000</v>
      </c>
      <c r="I55">
        <v>0</v>
      </c>
      <c r="J55">
        <v>236.6765</v>
      </c>
      <c r="K55">
        <f t="shared" si="2"/>
        <v>698309956.396178</v>
      </c>
      <c r="L55">
        <f t="shared" si="3"/>
        <v>103209930453.594</v>
      </c>
      <c r="M55">
        <f t="shared" si="4"/>
        <v>103121294763.105</v>
      </c>
      <c r="N55">
        <f t="shared" si="5"/>
        <v>932586748.599882</v>
      </c>
    </row>
    <row r="56" spans="1:14">
      <c r="A56">
        <v>2015</v>
      </c>
      <c r="B56" s="13" t="s">
        <v>18</v>
      </c>
      <c r="C56" s="11">
        <f>4.72*1000000000</f>
        <v>4720000000</v>
      </c>
      <c r="D56" s="11">
        <f>84.58*1000000</f>
        <v>84580000</v>
      </c>
      <c r="E56" s="12">
        <f t="shared" si="12"/>
        <v>81510000000</v>
      </c>
      <c r="F56" s="12">
        <f t="shared" si="13"/>
        <v>665110000</v>
      </c>
      <c r="G56" s="12">
        <v>81440000000</v>
      </c>
      <c r="H56">
        <v>736510000</v>
      </c>
      <c r="I56">
        <v>0</v>
      </c>
      <c r="J56">
        <v>236.6765</v>
      </c>
      <c r="K56">
        <f t="shared" si="2"/>
        <v>5976577987.25264</v>
      </c>
      <c r="L56">
        <f t="shared" si="3"/>
        <v>103209930453.594</v>
      </c>
      <c r="M56">
        <f t="shared" si="4"/>
        <v>103121294763.105</v>
      </c>
      <c r="N56">
        <f t="shared" si="5"/>
        <v>932586748.599882</v>
      </c>
    </row>
    <row r="57" spans="1:14">
      <c r="A57">
        <v>2015</v>
      </c>
      <c r="B57" s="13" t="s">
        <v>20</v>
      </c>
      <c r="C57" s="11">
        <f>-109.97*1000000</f>
        <v>-109970000</v>
      </c>
      <c r="D57" s="11">
        <f>94.97*1000000</f>
        <v>94970000</v>
      </c>
      <c r="E57" s="12">
        <f t="shared" si="12"/>
        <v>81510000000</v>
      </c>
      <c r="F57" s="12">
        <f t="shared" si="13"/>
        <v>665110000</v>
      </c>
      <c r="G57" s="12">
        <v>81440000000</v>
      </c>
      <c r="H57">
        <v>736510000</v>
      </c>
      <c r="I57">
        <v>0</v>
      </c>
      <c r="J57">
        <v>236.6765</v>
      </c>
      <c r="K57">
        <f t="shared" si="2"/>
        <v>-139246669.758088</v>
      </c>
      <c r="L57">
        <f t="shared" si="3"/>
        <v>103209930453.594</v>
      </c>
      <c r="M57">
        <f t="shared" si="4"/>
        <v>103121294763.105</v>
      </c>
      <c r="N57">
        <f t="shared" si="5"/>
        <v>932586748.599882</v>
      </c>
    </row>
    <row r="58" spans="1:14">
      <c r="A58">
        <v>2015</v>
      </c>
      <c r="B58" s="13" t="s">
        <v>22</v>
      </c>
      <c r="C58" s="11">
        <f>12.25*1000000000</f>
        <v>12250000000</v>
      </c>
      <c r="D58" s="11">
        <f>264.34*1000000</f>
        <v>264340000</v>
      </c>
      <c r="E58" s="12">
        <f t="shared" si="12"/>
        <v>81510000000</v>
      </c>
      <c r="F58" s="12">
        <f t="shared" si="13"/>
        <v>665110000</v>
      </c>
      <c r="G58" s="12">
        <v>81440000000</v>
      </c>
      <c r="H58">
        <v>736510000</v>
      </c>
      <c r="I58">
        <v>0</v>
      </c>
      <c r="J58">
        <v>236.6765</v>
      </c>
      <c r="K58">
        <f t="shared" si="2"/>
        <v>15511245835.5604</v>
      </c>
      <c r="L58">
        <f t="shared" si="3"/>
        <v>103209930453.594</v>
      </c>
      <c r="M58">
        <f t="shared" si="4"/>
        <v>103121294763.105</v>
      </c>
      <c r="N58">
        <f t="shared" si="5"/>
        <v>932586748.599882</v>
      </c>
    </row>
    <row r="59" spans="1:14">
      <c r="A59">
        <v>2015</v>
      </c>
      <c r="B59" s="13" t="s">
        <v>19</v>
      </c>
      <c r="C59" s="11">
        <f>928.51*1000000</f>
        <v>928510000</v>
      </c>
      <c r="D59" s="11">
        <f>312.75*1000000</f>
        <v>312750000</v>
      </c>
      <c r="E59" s="12">
        <f t="shared" si="12"/>
        <v>81510000000</v>
      </c>
      <c r="F59" s="12">
        <f t="shared" si="13"/>
        <v>665110000</v>
      </c>
      <c r="G59" s="12">
        <v>81440000000</v>
      </c>
      <c r="H59">
        <v>736510000</v>
      </c>
      <c r="I59">
        <v>0</v>
      </c>
      <c r="J59">
        <v>236.6765</v>
      </c>
      <c r="K59">
        <f t="shared" si="2"/>
        <v>1175701785.36948</v>
      </c>
      <c r="L59">
        <f t="shared" si="3"/>
        <v>103209930453.594</v>
      </c>
      <c r="M59">
        <f t="shared" si="4"/>
        <v>103121294763.105</v>
      </c>
      <c r="N59">
        <f t="shared" si="5"/>
        <v>932586748.599882</v>
      </c>
    </row>
    <row r="60" spans="1:14">
      <c r="A60">
        <v>2015</v>
      </c>
      <c r="B60" s="13" t="s">
        <v>23</v>
      </c>
      <c r="C60" s="11">
        <f>7.13*1000000000</f>
        <v>7130000000</v>
      </c>
      <c r="D60" s="11">
        <f>421.45*1000000</f>
        <v>421450000</v>
      </c>
      <c r="E60" s="12">
        <f t="shared" si="12"/>
        <v>81510000000</v>
      </c>
      <c r="F60" s="12">
        <f t="shared" si="13"/>
        <v>665110000</v>
      </c>
      <c r="G60" s="12">
        <v>81440000000</v>
      </c>
      <c r="H60">
        <v>736510000</v>
      </c>
      <c r="I60">
        <v>0</v>
      </c>
      <c r="J60">
        <v>236.6765</v>
      </c>
      <c r="K60">
        <f t="shared" si="2"/>
        <v>9028178188.37105</v>
      </c>
      <c r="L60">
        <f t="shared" si="3"/>
        <v>103209930453.594</v>
      </c>
      <c r="M60">
        <f t="shared" si="4"/>
        <v>103121294763.105</v>
      </c>
      <c r="N60">
        <f t="shared" si="5"/>
        <v>932586748.599882</v>
      </c>
    </row>
    <row r="61" spans="1:14">
      <c r="A61">
        <v>2015</v>
      </c>
      <c r="B61" s="13" t="s">
        <v>25</v>
      </c>
      <c r="C61" s="11">
        <f>51.94*1000000000</f>
        <v>51940000000</v>
      </c>
      <c r="D61" s="11">
        <f>-194.95*1000000</f>
        <v>-194950000</v>
      </c>
      <c r="E61" s="12">
        <f t="shared" si="12"/>
        <v>81510000000</v>
      </c>
      <c r="F61" s="12">
        <f t="shared" si="13"/>
        <v>665110000</v>
      </c>
      <c r="G61" s="12">
        <v>81440000000</v>
      </c>
      <c r="H61">
        <v>736510000</v>
      </c>
      <c r="I61">
        <v>0</v>
      </c>
      <c r="J61">
        <v>236.6765</v>
      </c>
      <c r="K61">
        <f t="shared" si="2"/>
        <v>65767682342.7759</v>
      </c>
      <c r="L61">
        <f t="shared" si="3"/>
        <v>103209930453.594</v>
      </c>
      <c r="M61">
        <f t="shared" si="4"/>
        <v>103121294763.105</v>
      </c>
      <c r="N61">
        <f t="shared" si="5"/>
        <v>932586748.599882</v>
      </c>
    </row>
    <row r="62" spans="1:14">
      <c r="A62">
        <v>2015</v>
      </c>
      <c r="B62" s="13" t="s">
        <v>26</v>
      </c>
      <c r="C62" s="11">
        <f>703.01*1000000</f>
        <v>703010000</v>
      </c>
      <c r="D62" s="11">
        <f>-24.63*1000000</f>
        <v>-24630000</v>
      </c>
      <c r="E62" s="12">
        <f t="shared" si="12"/>
        <v>81510000000</v>
      </c>
      <c r="F62" s="12">
        <f t="shared" si="13"/>
        <v>665110000</v>
      </c>
      <c r="G62" s="12">
        <v>81440000000</v>
      </c>
      <c r="H62">
        <v>736510000</v>
      </c>
      <c r="I62">
        <v>0</v>
      </c>
      <c r="J62">
        <v>236.6765</v>
      </c>
      <c r="K62">
        <f t="shared" si="2"/>
        <v>890168239.580186</v>
      </c>
      <c r="L62">
        <f t="shared" si="3"/>
        <v>103209930453.594</v>
      </c>
      <c r="M62">
        <f t="shared" si="4"/>
        <v>103121294763.105</v>
      </c>
      <c r="N62">
        <f t="shared" si="5"/>
        <v>932586748.599882</v>
      </c>
    </row>
    <row r="63" spans="1:14">
      <c r="A63">
        <v>2015</v>
      </c>
      <c r="B63" s="13" t="s">
        <v>21</v>
      </c>
      <c r="C63" s="11">
        <f>2.4*1000000000</f>
        <v>2400000000</v>
      </c>
      <c r="D63" s="11">
        <f>-283.34*1000000</f>
        <v>-283340000</v>
      </c>
      <c r="E63" s="12">
        <f t="shared" si="12"/>
        <v>81510000000</v>
      </c>
      <c r="F63" s="12">
        <f t="shared" si="13"/>
        <v>665110000</v>
      </c>
      <c r="G63" s="12">
        <v>81440000000</v>
      </c>
      <c r="H63">
        <v>736510000</v>
      </c>
      <c r="I63">
        <v>0</v>
      </c>
      <c r="J63">
        <v>236.6765</v>
      </c>
      <c r="K63">
        <f t="shared" si="2"/>
        <v>3038937959.61999</v>
      </c>
      <c r="L63">
        <f t="shared" si="3"/>
        <v>103209930453.594</v>
      </c>
      <c r="M63">
        <f t="shared" si="4"/>
        <v>103121294763.105</v>
      </c>
      <c r="N63">
        <f t="shared" si="5"/>
        <v>932586748.599882</v>
      </c>
    </row>
    <row r="64" spans="1:14">
      <c r="A64">
        <v>2015</v>
      </c>
      <c r="B64" s="13" t="s">
        <v>17</v>
      </c>
      <c r="C64" s="11">
        <f>408.64*1000</f>
        <v>408640</v>
      </c>
      <c r="D64" s="11">
        <f>-408.64*1000</f>
        <v>-408640</v>
      </c>
      <c r="E64" s="12">
        <f t="shared" si="12"/>
        <v>81510000000</v>
      </c>
      <c r="F64" s="12">
        <f t="shared" si="13"/>
        <v>665110000</v>
      </c>
      <c r="G64" s="12">
        <v>81440000000</v>
      </c>
      <c r="H64">
        <v>736510000</v>
      </c>
      <c r="I64">
        <v>0</v>
      </c>
      <c r="J64">
        <v>236.6765</v>
      </c>
      <c r="K64">
        <f t="shared" si="2"/>
        <v>517429.836591297</v>
      </c>
      <c r="L64">
        <f t="shared" si="3"/>
        <v>103209930453.594</v>
      </c>
      <c r="M64">
        <f t="shared" si="4"/>
        <v>103121294763.105</v>
      </c>
      <c r="N64">
        <f t="shared" si="5"/>
        <v>932586748.599882</v>
      </c>
    </row>
    <row r="65" spans="1:14">
      <c r="A65">
        <v>2015</v>
      </c>
      <c r="B65" s="13" t="s">
        <v>24</v>
      </c>
      <c r="C65" s="11">
        <f>959.28*1000000</f>
        <v>959280000</v>
      </c>
      <c r="D65" s="11">
        <f>-6.67*1000000</f>
        <v>-6670000</v>
      </c>
      <c r="E65" s="12">
        <f t="shared" si="12"/>
        <v>81510000000</v>
      </c>
      <c r="F65" s="12">
        <f t="shared" si="13"/>
        <v>665110000</v>
      </c>
      <c r="G65" s="12">
        <v>81440000000</v>
      </c>
      <c r="H65">
        <v>736510000</v>
      </c>
      <c r="I65">
        <v>0</v>
      </c>
      <c r="J65">
        <v>236.6765</v>
      </c>
      <c r="K65">
        <f t="shared" si="2"/>
        <v>1214663502.46011</v>
      </c>
      <c r="L65">
        <f t="shared" si="3"/>
        <v>103209930453.594</v>
      </c>
      <c r="M65">
        <f t="shared" si="4"/>
        <v>103121294763.105</v>
      </c>
      <c r="N65">
        <f t="shared" si="5"/>
        <v>932586748.599882</v>
      </c>
    </row>
    <row r="66" spans="1:14">
      <c r="A66">
        <v>2015</v>
      </c>
      <c r="B66" s="13" t="s">
        <v>16</v>
      </c>
      <c r="C66" s="11">
        <f>29.89*1000000</f>
        <v>29890000</v>
      </c>
      <c r="D66" s="11">
        <f>-9.25*1000000</f>
        <v>-9250000</v>
      </c>
      <c r="E66" s="12">
        <f t="shared" si="12"/>
        <v>81510000000</v>
      </c>
      <c r="F66" s="12">
        <f t="shared" si="13"/>
        <v>665110000</v>
      </c>
      <c r="G66" s="12">
        <v>81440000000</v>
      </c>
      <c r="H66">
        <v>736510000</v>
      </c>
      <c r="I66">
        <v>0</v>
      </c>
      <c r="J66">
        <v>236.6765</v>
      </c>
      <c r="K66">
        <f t="shared" si="2"/>
        <v>37847439.8387673</v>
      </c>
      <c r="L66">
        <f t="shared" si="3"/>
        <v>103209930453.594</v>
      </c>
      <c r="M66">
        <f t="shared" si="4"/>
        <v>103121294763.105</v>
      </c>
      <c r="N66">
        <f t="shared" si="5"/>
        <v>932586748.599882</v>
      </c>
    </row>
    <row r="67" spans="1:14">
      <c r="A67">
        <v>2016</v>
      </c>
      <c r="B67" s="13" t="s">
        <v>20</v>
      </c>
      <c r="C67" s="11">
        <f>-772.32*1000</f>
        <v>-772320</v>
      </c>
      <c r="D67" s="11">
        <f>-14.23*1000000</f>
        <v>-14230000</v>
      </c>
      <c r="E67" s="12">
        <f t="shared" ref="E67:E79" si="14">83.26*1000000000</f>
        <v>83260000000</v>
      </c>
      <c r="F67" s="12">
        <f t="shared" ref="F67:F79" si="15">1.12*1000000000</f>
        <v>1120000000</v>
      </c>
      <c r="G67" s="12">
        <v>83180000000</v>
      </c>
      <c r="H67" s="12">
        <v>1210000000</v>
      </c>
      <c r="I67">
        <v>0</v>
      </c>
      <c r="J67">
        <v>238.2735</v>
      </c>
      <c r="K67">
        <f t="shared" ref="K67:K130" si="16">C67*299.6855/J67</f>
        <v>-971375.773470403</v>
      </c>
      <c r="L67">
        <f t="shared" ref="L67:L130" si="17">E67*299.6855/J67</f>
        <v>104719218587.044</v>
      </c>
      <c r="M67">
        <f t="shared" ref="M67:M130" si="18">G67*299.6855/J67</f>
        <v>104618599592.485</v>
      </c>
      <c r="N67">
        <f t="shared" ref="N67:N130" si="19">H67*299.6855/J67</f>
        <v>1521862292.70145</v>
      </c>
    </row>
    <row r="68" spans="1:14">
      <c r="A68">
        <v>2016</v>
      </c>
      <c r="B68" s="13" t="s">
        <v>17</v>
      </c>
      <c r="C68" s="11">
        <f>6.16*1000000</f>
        <v>6160000</v>
      </c>
      <c r="D68" s="11">
        <v>-0.1</v>
      </c>
      <c r="E68" s="12">
        <f t="shared" si="14"/>
        <v>83260000000</v>
      </c>
      <c r="F68" s="12">
        <f t="shared" si="15"/>
        <v>1120000000</v>
      </c>
      <c r="G68" s="12">
        <v>83180000000</v>
      </c>
      <c r="H68" s="12">
        <v>1210000000</v>
      </c>
      <c r="I68">
        <v>0</v>
      </c>
      <c r="J68">
        <v>238.2735</v>
      </c>
      <c r="K68">
        <f t="shared" si="16"/>
        <v>7747662.58102559</v>
      </c>
      <c r="L68">
        <f t="shared" si="17"/>
        <v>104719218587.044</v>
      </c>
      <c r="M68">
        <f t="shared" si="18"/>
        <v>104618599592.485</v>
      </c>
      <c r="N68">
        <f t="shared" si="19"/>
        <v>1521862292.70145</v>
      </c>
    </row>
    <row r="69" spans="1:14">
      <c r="A69">
        <v>2016</v>
      </c>
      <c r="B69" s="13" t="s">
        <v>14</v>
      </c>
      <c r="C69" s="11">
        <v>0</v>
      </c>
      <c r="D69" s="11">
        <v>0</v>
      </c>
      <c r="E69" s="12">
        <f t="shared" si="14"/>
        <v>83260000000</v>
      </c>
      <c r="F69" s="12">
        <f t="shared" si="15"/>
        <v>1120000000</v>
      </c>
      <c r="G69" s="12">
        <v>83180000000</v>
      </c>
      <c r="H69" s="12">
        <v>1210000000</v>
      </c>
      <c r="I69">
        <v>0</v>
      </c>
      <c r="J69">
        <v>238.2735</v>
      </c>
      <c r="K69">
        <f t="shared" si="16"/>
        <v>0</v>
      </c>
      <c r="L69">
        <f t="shared" si="17"/>
        <v>104719218587.044</v>
      </c>
      <c r="M69">
        <f t="shared" si="18"/>
        <v>104618599592.485</v>
      </c>
      <c r="N69">
        <f t="shared" si="19"/>
        <v>1521862292.70145</v>
      </c>
    </row>
    <row r="70" spans="1:14">
      <c r="A70">
        <v>2016</v>
      </c>
      <c r="B70" s="13" t="s">
        <v>19</v>
      </c>
      <c r="C70" s="11">
        <f>908.97*1000000</f>
        <v>908970000</v>
      </c>
      <c r="D70" s="11">
        <f>14.4*1000000</f>
        <v>14400000</v>
      </c>
      <c r="E70" s="12">
        <f t="shared" si="14"/>
        <v>83260000000</v>
      </c>
      <c r="F70" s="12">
        <f t="shared" si="15"/>
        <v>1120000000</v>
      </c>
      <c r="G70" s="12">
        <v>83180000000</v>
      </c>
      <c r="H70" s="12">
        <v>1210000000</v>
      </c>
      <c r="I70">
        <v>0</v>
      </c>
      <c r="J70">
        <v>238.2735</v>
      </c>
      <c r="K70">
        <f t="shared" si="16"/>
        <v>1143245593.55111</v>
      </c>
      <c r="L70">
        <f t="shared" si="17"/>
        <v>104719218587.044</v>
      </c>
      <c r="M70">
        <f t="shared" si="18"/>
        <v>104618599592.485</v>
      </c>
      <c r="N70">
        <f t="shared" si="19"/>
        <v>1521862292.70145</v>
      </c>
    </row>
    <row r="71" spans="1:14">
      <c r="A71">
        <v>2016</v>
      </c>
      <c r="B71" s="13" t="s">
        <v>15</v>
      </c>
      <c r="C71" s="11">
        <f>557.22*1000000</f>
        <v>557220000</v>
      </c>
      <c r="D71" s="11">
        <f>16.5*1000000</f>
        <v>16500000</v>
      </c>
      <c r="E71" s="12">
        <f t="shared" si="14"/>
        <v>83260000000</v>
      </c>
      <c r="F71" s="12">
        <f t="shared" si="15"/>
        <v>1120000000</v>
      </c>
      <c r="G71" s="12">
        <v>83180000000</v>
      </c>
      <c r="H71" s="12">
        <v>1210000000</v>
      </c>
      <c r="I71">
        <v>0</v>
      </c>
      <c r="J71">
        <v>238.2735</v>
      </c>
      <c r="K71">
        <f t="shared" si="16"/>
        <v>700836451.8505</v>
      </c>
      <c r="L71">
        <f t="shared" si="17"/>
        <v>104719218587.044</v>
      </c>
      <c r="M71">
        <f t="shared" si="18"/>
        <v>104618599592.485</v>
      </c>
      <c r="N71">
        <f t="shared" si="19"/>
        <v>1521862292.70145</v>
      </c>
    </row>
    <row r="72" spans="1:14">
      <c r="A72">
        <v>2016</v>
      </c>
      <c r="B72" s="13" t="s">
        <v>18</v>
      </c>
      <c r="C72" s="11">
        <f>4.55*1000000000</f>
        <v>4550000000</v>
      </c>
      <c r="D72" s="11">
        <f>155.6*1000000</f>
        <v>155600000</v>
      </c>
      <c r="E72" s="12">
        <f t="shared" si="14"/>
        <v>83260000000</v>
      </c>
      <c r="F72" s="12">
        <f t="shared" si="15"/>
        <v>1120000000</v>
      </c>
      <c r="G72" s="12">
        <v>83180000000</v>
      </c>
      <c r="H72" s="12">
        <v>1210000000</v>
      </c>
      <c r="I72">
        <v>0</v>
      </c>
      <c r="J72">
        <v>238.2735</v>
      </c>
      <c r="K72">
        <f t="shared" si="16"/>
        <v>5722705315.53026</v>
      </c>
      <c r="L72">
        <f t="shared" si="17"/>
        <v>104719218587.044</v>
      </c>
      <c r="M72">
        <f t="shared" si="18"/>
        <v>104618599592.485</v>
      </c>
      <c r="N72">
        <f t="shared" si="19"/>
        <v>1521862292.70145</v>
      </c>
    </row>
    <row r="73" spans="1:14">
      <c r="A73">
        <v>2016</v>
      </c>
      <c r="B73" s="13" t="s">
        <v>25</v>
      </c>
      <c r="C73" s="11">
        <f>53.62*1000000000</f>
        <v>53620000000</v>
      </c>
      <c r="D73" s="11">
        <f>168.07*1000000</f>
        <v>168070000</v>
      </c>
      <c r="E73" s="12">
        <f t="shared" si="14"/>
        <v>83260000000</v>
      </c>
      <c r="F73" s="12">
        <f t="shared" si="15"/>
        <v>1120000000</v>
      </c>
      <c r="G73" s="12">
        <v>83180000000</v>
      </c>
      <c r="H73" s="12">
        <v>1210000000</v>
      </c>
      <c r="I73">
        <v>0</v>
      </c>
      <c r="J73">
        <v>238.2735</v>
      </c>
      <c r="K73">
        <f t="shared" si="16"/>
        <v>67439881103.0182</v>
      </c>
      <c r="L73">
        <f t="shared" si="17"/>
        <v>104719218587.044</v>
      </c>
      <c r="M73">
        <f t="shared" si="18"/>
        <v>104618599592.485</v>
      </c>
      <c r="N73">
        <f t="shared" si="19"/>
        <v>1521862292.70145</v>
      </c>
    </row>
    <row r="74" spans="1:14">
      <c r="A74">
        <v>2016</v>
      </c>
      <c r="B74" s="13" t="s">
        <v>21</v>
      </c>
      <c r="C74" s="11">
        <f>1*1000000000</f>
        <v>1000000000</v>
      </c>
      <c r="D74" s="11">
        <f>211.07*1000000</f>
        <v>211070000</v>
      </c>
      <c r="E74" s="12">
        <f t="shared" si="14"/>
        <v>83260000000</v>
      </c>
      <c r="F74" s="12">
        <f t="shared" si="15"/>
        <v>1120000000</v>
      </c>
      <c r="G74" s="12">
        <v>83180000000</v>
      </c>
      <c r="H74" s="12">
        <v>1210000000</v>
      </c>
      <c r="I74">
        <v>0</v>
      </c>
      <c r="J74">
        <v>238.2735</v>
      </c>
      <c r="K74">
        <f t="shared" si="16"/>
        <v>1257737431.98467</v>
      </c>
      <c r="L74">
        <f t="shared" si="17"/>
        <v>104719218587.044</v>
      </c>
      <c r="M74">
        <f t="shared" si="18"/>
        <v>104618599592.485</v>
      </c>
      <c r="N74">
        <f t="shared" si="19"/>
        <v>1521862292.70145</v>
      </c>
    </row>
    <row r="75" spans="1:14">
      <c r="A75">
        <v>2016</v>
      </c>
      <c r="B75" s="13" t="s">
        <v>22</v>
      </c>
      <c r="C75" s="11">
        <f>13.19*1000000000</f>
        <v>13190000000</v>
      </c>
      <c r="D75" s="11">
        <f>263.71*1000000</f>
        <v>263710000</v>
      </c>
      <c r="E75" s="12">
        <f t="shared" si="14"/>
        <v>83260000000</v>
      </c>
      <c r="F75" s="12">
        <f t="shared" si="15"/>
        <v>1120000000</v>
      </c>
      <c r="G75" s="12">
        <v>83180000000</v>
      </c>
      <c r="H75" s="12">
        <v>1210000000</v>
      </c>
      <c r="I75">
        <v>0</v>
      </c>
      <c r="J75">
        <v>238.2735</v>
      </c>
      <c r="K75">
        <f t="shared" si="16"/>
        <v>16589556727.8778</v>
      </c>
      <c r="L75">
        <f t="shared" si="17"/>
        <v>104719218587.044</v>
      </c>
      <c r="M75">
        <f t="shared" si="18"/>
        <v>104618599592.485</v>
      </c>
      <c r="N75">
        <f t="shared" si="19"/>
        <v>1521862292.70145</v>
      </c>
    </row>
    <row r="76" spans="1:14">
      <c r="A76">
        <v>2016</v>
      </c>
      <c r="B76" s="13" t="s">
        <v>23</v>
      </c>
      <c r="C76" s="11">
        <f>7.63*1000000000</f>
        <v>7630000000</v>
      </c>
      <c r="D76" s="11">
        <f>336.44*1000000</f>
        <v>336440000</v>
      </c>
      <c r="E76" s="12">
        <f t="shared" si="14"/>
        <v>83260000000</v>
      </c>
      <c r="F76" s="12">
        <f t="shared" si="15"/>
        <v>1120000000</v>
      </c>
      <c r="G76" s="12">
        <v>83180000000</v>
      </c>
      <c r="H76" s="12">
        <v>1210000000</v>
      </c>
      <c r="I76">
        <v>0</v>
      </c>
      <c r="J76">
        <v>238.2735</v>
      </c>
      <c r="K76">
        <f t="shared" si="16"/>
        <v>9596536606.04305</v>
      </c>
      <c r="L76">
        <f t="shared" si="17"/>
        <v>104719218587.044</v>
      </c>
      <c r="M76">
        <f t="shared" si="18"/>
        <v>104618599592.485</v>
      </c>
      <c r="N76">
        <f t="shared" si="19"/>
        <v>1521862292.70145</v>
      </c>
    </row>
    <row r="77" spans="1:14">
      <c r="A77">
        <v>2016</v>
      </c>
      <c r="B77" s="13" t="s">
        <v>24</v>
      </c>
      <c r="C77" s="11">
        <f>994.56*1000000</f>
        <v>994560000</v>
      </c>
      <c r="D77" s="11">
        <f>-1.32*1000000</f>
        <v>-1320000</v>
      </c>
      <c r="E77" s="12">
        <f t="shared" si="14"/>
        <v>83260000000</v>
      </c>
      <c r="F77" s="12">
        <f t="shared" si="15"/>
        <v>1120000000</v>
      </c>
      <c r="G77" s="12">
        <v>83180000000</v>
      </c>
      <c r="H77" s="12">
        <v>1210000000</v>
      </c>
      <c r="I77">
        <v>0</v>
      </c>
      <c r="J77">
        <v>238.2735</v>
      </c>
      <c r="K77">
        <f t="shared" si="16"/>
        <v>1250895340.35468</v>
      </c>
      <c r="L77">
        <f t="shared" si="17"/>
        <v>104719218587.044</v>
      </c>
      <c r="M77">
        <f t="shared" si="18"/>
        <v>104618599592.485</v>
      </c>
      <c r="N77">
        <f t="shared" si="19"/>
        <v>1521862292.70145</v>
      </c>
    </row>
    <row r="78" spans="1:14">
      <c r="A78">
        <v>2016</v>
      </c>
      <c r="B78" s="13" t="s">
        <v>26</v>
      </c>
      <c r="C78" s="11">
        <f>728.34*1000000</f>
        <v>728340000</v>
      </c>
      <c r="D78" s="11">
        <f>-13.23*1000000</f>
        <v>-13230000</v>
      </c>
      <c r="E78" s="12">
        <f t="shared" si="14"/>
        <v>83260000000</v>
      </c>
      <c r="F78" s="12">
        <f t="shared" si="15"/>
        <v>1120000000</v>
      </c>
      <c r="G78" s="12">
        <v>83180000000</v>
      </c>
      <c r="H78" s="12">
        <v>1210000000</v>
      </c>
      <c r="I78">
        <v>0</v>
      </c>
      <c r="J78">
        <v>238.2735</v>
      </c>
      <c r="K78">
        <f t="shared" si="16"/>
        <v>916060481.211717</v>
      </c>
      <c r="L78">
        <f t="shared" si="17"/>
        <v>104719218587.044</v>
      </c>
      <c r="M78">
        <f t="shared" si="18"/>
        <v>104618599592.485</v>
      </c>
      <c r="N78">
        <f t="shared" si="19"/>
        <v>1521862292.70145</v>
      </c>
    </row>
    <row r="79" spans="1:14">
      <c r="A79">
        <v>2016</v>
      </c>
      <c r="B79" s="13" t="s">
        <v>16</v>
      </c>
      <c r="C79" s="11">
        <f>78.79*1000000</f>
        <v>78790000</v>
      </c>
      <c r="D79" s="11">
        <f>-14.36*1000000</f>
        <v>-14360000</v>
      </c>
      <c r="E79" s="12">
        <f t="shared" si="14"/>
        <v>83260000000</v>
      </c>
      <c r="F79" s="12">
        <f t="shared" si="15"/>
        <v>1120000000</v>
      </c>
      <c r="G79" s="12">
        <v>83180000000</v>
      </c>
      <c r="H79" s="12">
        <v>1210000000</v>
      </c>
      <c r="I79">
        <v>0</v>
      </c>
      <c r="J79">
        <v>238.2735</v>
      </c>
      <c r="K79">
        <f t="shared" si="16"/>
        <v>99097132.2660724</v>
      </c>
      <c r="L79">
        <f t="shared" si="17"/>
        <v>104719218587.044</v>
      </c>
      <c r="M79">
        <f t="shared" si="18"/>
        <v>104618599592.485</v>
      </c>
      <c r="N79">
        <f t="shared" si="19"/>
        <v>1521862292.70145</v>
      </c>
    </row>
    <row r="80" spans="1:14">
      <c r="A80">
        <v>2017</v>
      </c>
      <c r="B80" s="13" t="s">
        <v>14</v>
      </c>
      <c r="C80" s="11">
        <v>0</v>
      </c>
      <c r="D80" s="11">
        <v>0</v>
      </c>
      <c r="E80" s="12">
        <f t="shared" ref="E80:E92" si="20">86.69*1000000000</f>
        <v>86690000000</v>
      </c>
      <c r="F80" s="12">
        <f t="shared" ref="F80:F92" si="21">819.94*1000000</f>
        <v>819940000</v>
      </c>
      <c r="G80" s="12">
        <v>86630000000</v>
      </c>
      <c r="H80">
        <v>871280000</v>
      </c>
      <c r="I80">
        <v>0</v>
      </c>
      <c r="J80">
        <v>242.6565</v>
      </c>
      <c r="K80">
        <f t="shared" si="16"/>
        <v>0</v>
      </c>
      <c r="L80">
        <f t="shared" si="17"/>
        <v>107063837131.913</v>
      </c>
      <c r="M80">
        <f t="shared" si="18"/>
        <v>106989735964.213</v>
      </c>
      <c r="N80">
        <f t="shared" si="19"/>
        <v>1076047756.56123</v>
      </c>
    </row>
    <row r="81" spans="1:14">
      <c r="A81">
        <v>2017</v>
      </c>
      <c r="B81" s="13" t="s">
        <v>16</v>
      </c>
      <c r="C81" s="11">
        <f>73.13*1000000</f>
        <v>73130000</v>
      </c>
      <c r="D81" s="11">
        <f>7.41*1000000</f>
        <v>7410000</v>
      </c>
      <c r="E81" s="12">
        <f t="shared" si="20"/>
        <v>86690000000</v>
      </c>
      <c r="F81" s="12">
        <f t="shared" si="21"/>
        <v>819940000</v>
      </c>
      <c r="G81" s="12">
        <v>86630000000</v>
      </c>
      <c r="H81">
        <v>871280000</v>
      </c>
      <c r="I81">
        <v>0</v>
      </c>
      <c r="J81">
        <v>242.6565</v>
      </c>
      <c r="K81">
        <f t="shared" si="16"/>
        <v>90316973.2317082</v>
      </c>
      <c r="L81">
        <f t="shared" si="17"/>
        <v>107063837131.913</v>
      </c>
      <c r="M81">
        <f t="shared" si="18"/>
        <v>106989735964.213</v>
      </c>
      <c r="N81">
        <f t="shared" si="19"/>
        <v>1076047756.56123</v>
      </c>
    </row>
    <row r="82" spans="1:14">
      <c r="A82">
        <v>2017</v>
      </c>
      <c r="B82" s="13" t="s">
        <v>19</v>
      </c>
      <c r="C82" s="11">
        <f>1.22*1000000000</f>
        <v>1220000000</v>
      </c>
      <c r="D82" s="11">
        <f>19.36*1000000</f>
        <v>19360000</v>
      </c>
      <c r="E82" s="12">
        <f t="shared" si="20"/>
        <v>86690000000</v>
      </c>
      <c r="F82" s="12">
        <f t="shared" si="21"/>
        <v>819940000</v>
      </c>
      <c r="G82" s="12">
        <v>86630000000</v>
      </c>
      <c r="H82">
        <v>871280000</v>
      </c>
      <c r="I82">
        <v>0</v>
      </c>
      <c r="J82">
        <v>242.6565</v>
      </c>
      <c r="K82">
        <f t="shared" si="16"/>
        <v>1506723743.23375</v>
      </c>
      <c r="L82">
        <f t="shared" si="17"/>
        <v>107063837131.913</v>
      </c>
      <c r="M82">
        <f t="shared" si="18"/>
        <v>106989735964.213</v>
      </c>
      <c r="N82">
        <f t="shared" si="19"/>
        <v>1076047756.56123</v>
      </c>
    </row>
    <row r="83" spans="1:14">
      <c r="A83">
        <v>2017</v>
      </c>
      <c r="B83" s="13" t="s">
        <v>20</v>
      </c>
      <c r="C83" s="11">
        <f>557.64*1000000</f>
        <v>557640000</v>
      </c>
      <c r="D83" s="11">
        <f>55.36*1000000</f>
        <v>55360000</v>
      </c>
      <c r="E83" s="12">
        <f t="shared" si="20"/>
        <v>86690000000</v>
      </c>
      <c r="F83" s="12">
        <f t="shared" si="21"/>
        <v>819940000</v>
      </c>
      <c r="G83" s="12">
        <v>86630000000</v>
      </c>
      <c r="H83">
        <v>871280000</v>
      </c>
      <c r="I83">
        <v>0</v>
      </c>
      <c r="J83">
        <v>242.6565</v>
      </c>
      <c r="K83">
        <f t="shared" si="16"/>
        <v>688696252.60399</v>
      </c>
      <c r="L83">
        <f t="shared" si="17"/>
        <v>107063837131.913</v>
      </c>
      <c r="M83">
        <f t="shared" si="18"/>
        <v>106989735964.213</v>
      </c>
      <c r="N83">
        <f t="shared" si="19"/>
        <v>1076047756.56123</v>
      </c>
    </row>
    <row r="84" spans="1:14">
      <c r="A84">
        <v>2017</v>
      </c>
      <c r="B84" s="13" t="s">
        <v>21</v>
      </c>
      <c r="C84" s="11">
        <f>924.71*1000000</f>
        <v>924710000</v>
      </c>
      <c r="D84" s="11">
        <f>120.39*1000000</f>
        <v>120390000</v>
      </c>
      <c r="E84" s="12">
        <f t="shared" si="20"/>
        <v>86690000000</v>
      </c>
      <c r="F84" s="12">
        <f t="shared" si="21"/>
        <v>819940000</v>
      </c>
      <c r="G84" s="12">
        <v>86630000000</v>
      </c>
      <c r="H84">
        <v>871280000</v>
      </c>
      <c r="I84">
        <v>0</v>
      </c>
      <c r="J84">
        <v>242.6565</v>
      </c>
      <c r="K84">
        <f t="shared" si="16"/>
        <v>1142034846.3981</v>
      </c>
      <c r="L84">
        <f t="shared" si="17"/>
        <v>107063837131.913</v>
      </c>
      <c r="M84">
        <f t="shared" si="18"/>
        <v>106989735964.213</v>
      </c>
      <c r="N84">
        <f t="shared" si="19"/>
        <v>1076047756.56123</v>
      </c>
    </row>
    <row r="85" spans="1:14">
      <c r="A85">
        <v>2017</v>
      </c>
      <c r="B85" s="13" t="s">
        <v>22</v>
      </c>
      <c r="C85" s="11">
        <f>14*1000000000</f>
        <v>14000000000</v>
      </c>
      <c r="D85" s="11">
        <f>271.82*1000000</f>
        <v>271820000</v>
      </c>
      <c r="E85" s="12">
        <f t="shared" si="20"/>
        <v>86690000000</v>
      </c>
      <c r="F85" s="12">
        <f t="shared" si="21"/>
        <v>819940000</v>
      </c>
      <c r="G85" s="12">
        <v>86630000000</v>
      </c>
      <c r="H85">
        <v>871280000</v>
      </c>
      <c r="I85">
        <v>0</v>
      </c>
      <c r="J85">
        <v>242.6565</v>
      </c>
      <c r="K85">
        <f t="shared" si="16"/>
        <v>17290272463.3381</v>
      </c>
      <c r="L85">
        <f t="shared" si="17"/>
        <v>107063837131.913</v>
      </c>
      <c r="M85">
        <f t="shared" si="18"/>
        <v>106989735964.213</v>
      </c>
      <c r="N85">
        <f t="shared" si="19"/>
        <v>1076047756.56123</v>
      </c>
    </row>
    <row r="86" spans="1:14">
      <c r="A86">
        <v>2017</v>
      </c>
      <c r="B86" s="13" t="s">
        <v>23</v>
      </c>
      <c r="C86" s="11">
        <f>8.03*1000000000</f>
        <v>8030000000</v>
      </c>
      <c r="D86" s="11">
        <f>431.05*1000000</f>
        <v>431050000</v>
      </c>
      <c r="E86" s="12">
        <f t="shared" si="20"/>
        <v>86690000000</v>
      </c>
      <c r="F86" s="12">
        <f t="shared" si="21"/>
        <v>819940000</v>
      </c>
      <c r="G86" s="12">
        <v>86630000000</v>
      </c>
      <c r="H86">
        <v>871280000</v>
      </c>
      <c r="I86">
        <v>0</v>
      </c>
      <c r="J86">
        <v>242.6565</v>
      </c>
      <c r="K86">
        <f t="shared" si="16"/>
        <v>9917206277.18606</v>
      </c>
      <c r="L86">
        <f t="shared" si="17"/>
        <v>107063837131.913</v>
      </c>
      <c r="M86">
        <f t="shared" si="18"/>
        <v>106989735964.213</v>
      </c>
      <c r="N86">
        <f t="shared" si="19"/>
        <v>1076047756.56123</v>
      </c>
    </row>
    <row r="87" spans="1:14">
      <c r="A87">
        <v>2017</v>
      </c>
      <c r="B87" s="13" t="s">
        <v>17</v>
      </c>
      <c r="C87" s="11">
        <f>59.06*1000000</f>
        <v>59060000</v>
      </c>
      <c r="D87" s="11">
        <f>-2.27*1000000</f>
        <v>-2270000</v>
      </c>
      <c r="E87" s="12">
        <f t="shared" si="20"/>
        <v>86690000000</v>
      </c>
      <c r="F87" s="12">
        <f t="shared" si="21"/>
        <v>819940000</v>
      </c>
      <c r="G87" s="12">
        <v>86630000000</v>
      </c>
      <c r="H87">
        <v>871280000</v>
      </c>
      <c r="I87">
        <v>0</v>
      </c>
      <c r="J87">
        <v>242.6565</v>
      </c>
      <c r="K87">
        <f t="shared" si="16"/>
        <v>72940249.4060534</v>
      </c>
      <c r="L87">
        <f t="shared" si="17"/>
        <v>107063837131.913</v>
      </c>
      <c r="M87">
        <f t="shared" si="18"/>
        <v>106989735964.213</v>
      </c>
      <c r="N87">
        <f t="shared" si="19"/>
        <v>1076047756.56123</v>
      </c>
    </row>
    <row r="88" spans="1:14">
      <c r="A88">
        <v>2017</v>
      </c>
      <c r="B88" s="13" t="s">
        <v>18</v>
      </c>
      <c r="C88" s="11">
        <f>4.76*1000000000</f>
        <v>4760000000</v>
      </c>
      <c r="D88" s="11">
        <f>-3.38*1000000</f>
        <v>-3380000</v>
      </c>
      <c r="E88" s="12">
        <f t="shared" si="20"/>
        <v>86690000000</v>
      </c>
      <c r="F88" s="12">
        <f t="shared" si="21"/>
        <v>819940000</v>
      </c>
      <c r="G88" s="12">
        <v>86630000000</v>
      </c>
      <c r="H88">
        <v>871280000</v>
      </c>
      <c r="I88">
        <v>0</v>
      </c>
      <c r="J88">
        <v>242.6565</v>
      </c>
      <c r="K88">
        <f t="shared" si="16"/>
        <v>5878692637.53495</v>
      </c>
      <c r="L88">
        <f t="shared" si="17"/>
        <v>107063837131.913</v>
      </c>
      <c r="M88">
        <f t="shared" si="18"/>
        <v>106989735964.213</v>
      </c>
      <c r="N88">
        <f t="shared" si="19"/>
        <v>1076047756.56123</v>
      </c>
    </row>
    <row r="89" spans="1:14">
      <c r="A89">
        <v>2017</v>
      </c>
      <c r="B89" s="13" t="s">
        <v>25</v>
      </c>
      <c r="C89" s="11">
        <f>54.66*1000000000</f>
        <v>54660000000</v>
      </c>
      <c r="D89" s="11">
        <f>-57.79*1000000</f>
        <v>-57790000</v>
      </c>
      <c r="E89" s="12">
        <f t="shared" si="20"/>
        <v>86690000000</v>
      </c>
      <c r="F89" s="12">
        <f t="shared" si="21"/>
        <v>819940000</v>
      </c>
      <c r="G89" s="12">
        <v>86630000000</v>
      </c>
      <c r="H89">
        <v>871280000</v>
      </c>
      <c r="I89">
        <v>0</v>
      </c>
      <c r="J89">
        <v>242.6565</v>
      </c>
      <c r="K89">
        <f t="shared" si="16"/>
        <v>67506163774.7186</v>
      </c>
      <c r="L89">
        <f t="shared" si="17"/>
        <v>107063837131.913</v>
      </c>
      <c r="M89">
        <f t="shared" si="18"/>
        <v>106989735964.213</v>
      </c>
      <c r="N89">
        <f t="shared" si="19"/>
        <v>1076047756.56123</v>
      </c>
    </row>
    <row r="90" spans="1:14">
      <c r="A90">
        <v>2017</v>
      </c>
      <c r="B90" s="13" t="s">
        <v>15</v>
      </c>
      <c r="C90" s="11">
        <f>632.73*1000000</f>
        <v>632730000</v>
      </c>
      <c r="D90" s="11">
        <f>-6.61*1000000</f>
        <v>-6610000</v>
      </c>
      <c r="E90" s="12">
        <f t="shared" si="20"/>
        <v>86690000000</v>
      </c>
      <c r="F90" s="12">
        <f t="shared" si="21"/>
        <v>819940000</v>
      </c>
      <c r="G90" s="12">
        <v>86630000000</v>
      </c>
      <c r="H90">
        <v>871280000</v>
      </c>
      <c r="I90">
        <v>0</v>
      </c>
      <c r="J90">
        <v>242.6565</v>
      </c>
      <c r="K90">
        <f t="shared" si="16"/>
        <v>781433863.980565</v>
      </c>
      <c r="L90">
        <f t="shared" si="17"/>
        <v>107063837131.913</v>
      </c>
      <c r="M90">
        <f t="shared" si="18"/>
        <v>106989735964.213</v>
      </c>
      <c r="N90">
        <f t="shared" si="19"/>
        <v>1076047756.56123</v>
      </c>
    </row>
    <row r="91" spans="1:14">
      <c r="A91">
        <v>2017</v>
      </c>
      <c r="B91" s="13" t="s">
        <v>24</v>
      </c>
      <c r="C91" s="11">
        <f>989.22*1000000</f>
        <v>989220000</v>
      </c>
      <c r="D91" s="11">
        <f>-7.65*1000000</f>
        <v>-7650000</v>
      </c>
      <c r="E91" s="12">
        <f t="shared" si="20"/>
        <v>86690000000</v>
      </c>
      <c r="F91" s="12">
        <f t="shared" si="21"/>
        <v>819940000</v>
      </c>
      <c r="G91" s="12">
        <v>86630000000</v>
      </c>
      <c r="H91">
        <v>871280000</v>
      </c>
      <c r="I91">
        <v>0</v>
      </c>
      <c r="J91">
        <v>242.6565</v>
      </c>
      <c r="K91">
        <f t="shared" si="16"/>
        <v>1221705951.87024</v>
      </c>
      <c r="L91">
        <f t="shared" si="17"/>
        <v>107063837131.913</v>
      </c>
      <c r="M91">
        <f t="shared" si="18"/>
        <v>106989735964.213</v>
      </c>
      <c r="N91">
        <f t="shared" si="19"/>
        <v>1076047756.56123</v>
      </c>
    </row>
    <row r="92" spans="1:14">
      <c r="A92">
        <v>2017</v>
      </c>
      <c r="B92" s="13" t="s">
        <v>26</v>
      </c>
      <c r="C92" s="11">
        <f>770.18*1000000</f>
        <v>770180000</v>
      </c>
      <c r="D92" s="11">
        <f>-7.76*1000000</f>
        <v>-7760000</v>
      </c>
      <c r="E92" s="12">
        <f t="shared" si="20"/>
        <v>86690000000</v>
      </c>
      <c r="F92" s="12">
        <f t="shared" si="21"/>
        <v>819940000</v>
      </c>
      <c r="G92" s="12">
        <v>86630000000</v>
      </c>
      <c r="H92">
        <v>871280000</v>
      </c>
      <c r="I92">
        <v>0</v>
      </c>
      <c r="J92">
        <v>242.6565</v>
      </c>
      <c r="K92">
        <f t="shared" si="16"/>
        <v>951187288.986695</v>
      </c>
      <c r="L92">
        <f t="shared" si="17"/>
        <v>107063837131.913</v>
      </c>
      <c r="M92">
        <f t="shared" si="18"/>
        <v>106989735964.213</v>
      </c>
      <c r="N92">
        <f t="shared" si="19"/>
        <v>1076047756.56123</v>
      </c>
    </row>
    <row r="93" spans="1:14">
      <c r="A93">
        <v>2018</v>
      </c>
      <c r="B93" s="13" t="s">
        <v>14</v>
      </c>
      <c r="C93" s="11">
        <v>0</v>
      </c>
      <c r="D93" s="11">
        <v>0</v>
      </c>
      <c r="E93" s="12">
        <f t="shared" ref="E93:E105" si="22">91.19*1000000000</f>
        <v>91190000000</v>
      </c>
      <c r="F93" s="12">
        <f t="shared" ref="F93:F105" si="23">633.87*1000000</f>
        <v>633870000</v>
      </c>
      <c r="G93" s="12">
        <v>91130000000</v>
      </c>
      <c r="H93">
        <v>690970000</v>
      </c>
      <c r="I93">
        <v>0</v>
      </c>
      <c r="J93">
        <v>248.126</v>
      </c>
      <c r="K93">
        <f t="shared" si="16"/>
        <v>0</v>
      </c>
      <c r="L93">
        <f t="shared" si="17"/>
        <v>110138884054.875</v>
      </c>
      <c r="M93">
        <f t="shared" si="18"/>
        <v>110066416316.71</v>
      </c>
      <c r="N93">
        <f t="shared" si="19"/>
        <v>834550550.667806</v>
      </c>
    </row>
    <row r="94" spans="1:14">
      <c r="A94">
        <v>2018</v>
      </c>
      <c r="B94" s="13" t="s">
        <v>17</v>
      </c>
      <c r="C94" s="11">
        <v>0</v>
      </c>
      <c r="D94" s="11">
        <v>0</v>
      </c>
      <c r="E94" s="12">
        <f t="shared" si="22"/>
        <v>91190000000</v>
      </c>
      <c r="F94" s="12">
        <f t="shared" si="23"/>
        <v>633870000</v>
      </c>
      <c r="G94" s="12">
        <v>91130000000</v>
      </c>
      <c r="H94">
        <v>690970000</v>
      </c>
      <c r="I94">
        <v>0</v>
      </c>
      <c r="J94">
        <v>248.126</v>
      </c>
      <c r="K94">
        <f t="shared" si="16"/>
        <v>0</v>
      </c>
      <c r="L94">
        <f t="shared" si="17"/>
        <v>110138884054.875</v>
      </c>
      <c r="M94">
        <f t="shared" si="18"/>
        <v>110066416316.71</v>
      </c>
      <c r="N94">
        <f t="shared" si="19"/>
        <v>834550550.667806</v>
      </c>
    </row>
    <row r="95" spans="1:14">
      <c r="A95">
        <v>2018</v>
      </c>
      <c r="B95" s="13" t="s">
        <v>15</v>
      </c>
      <c r="C95" s="11">
        <f>636.85*1000000</f>
        <v>636850000</v>
      </c>
      <c r="D95" s="11">
        <f>3.6*1000</f>
        <v>3600</v>
      </c>
      <c r="E95" s="12">
        <f t="shared" si="22"/>
        <v>91190000000</v>
      </c>
      <c r="F95" s="12">
        <f t="shared" si="23"/>
        <v>633870000</v>
      </c>
      <c r="G95" s="12">
        <v>91130000000</v>
      </c>
      <c r="H95">
        <v>690970000</v>
      </c>
      <c r="I95">
        <v>0</v>
      </c>
      <c r="J95">
        <v>248.126</v>
      </c>
      <c r="K95">
        <f t="shared" si="16"/>
        <v>769184650.842717</v>
      </c>
      <c r="L95">
        <f t="shared" si="17"/>
        <v>110138884054.875</v>
      </c>
      <c r="M95">
        <f t="shared" si="18"/>
        <v>110066416316.71</v>
      </c>
      <c r="N95">
        <f t="shared" si="19"/>
        <v>834550550.667806</v>
      </c>
    </row>
    <row r="96" spans="1:14">
      <c r="A96">
        <v>2018</v>
      </c>
      <c r="B96" s="13" t="s">
        <v>19</v>
      </c>
      <c r="C96" s="11">
        <f>1.26*1000000000</f>
        <v>1260000000</v>
      </c>
      <c r="D96" s="11">
        <f>21.63*1000000</f>
        <v>21630000</v>
      </c>
      <c r="E96" s="12">
        <f t="shared" si="22"/>
        <v>91190000000</v>
      </c>
      <c r="F96" s="12">
        <f t="shared" si="23"/>
        <v>633870000</v>
      </c>
      <c r="G96" s="12">
        <v>91130000000</v>
      </c>
      <c r="H96">
        <v>690970000</v>
      </c>
      <c r="I96">
        <v>0</v>
      </c>
      <c r="J96">
        <v>248.126</v>
      </c>
      <c r="K96">
        <f t="shared" si="16"/>
        <v>1521822501.47103</v>
      </c>
      <c r="L96">
        <f t="shared" si="17"/>
        <v>110138884054.875</v>
      </c>
      <c r="M96">
        <f t="shared" si="18"/>
        <v>110066416316.71</v>
      </c>
      <c r="N96">
        <f t="shared" si="19"/>
        <v>834550550.667806</v>
      </c>
    </row>
    <row r="97" spans="1:14">
      <c r="A97">
        <v>2018</v>
      </c>
      <c r="B97" s="13" t="s">
        <v>18</v>
      </c>
      <c r="C97" s="11">
        <f>4.91*1000000000</f>
        <v>4910000000</v>
      </c>
      <c r="D97" s="11">
        <f>46.51*1000000</f>
        <v>46510000</v>
      </c>
      <c r="E97" s="12">
        <f t="shared" si="22"/>
        <v>91190000000</v>
      </c>
      <c r="F97" s="12">
        <f t="shared" si="23"/>
        <v>633870000</v>
      </c>
      <c r="G97" s="12">
        <v>91130000000</v>
      </c>
      <c r="H97">
        <v>690970000</v>
      </c>
      <c r="I97">
        <v>0</v>
      </c>
      <c r="J97">
        <v>248.126</v>
      </c>
      <c r="K97">
        <f t="shared" si="16"/>
        <v>5930276573.19265</v>
      </c>
      <c r="L97">
        <f t="shared" si="17"/>
        <v>110138884054.875</v>
      </c>
      <c r="M97">
        <f t="shared" si="18"/>
        <v>110066416316.71</v>
      </c>
      <c r="N97">
        <f t="shared" si="19"/>
        <v>834550550.667806</v>
      </c>
    </row>
    <row r="98" spans="1:14">
      <c r="A98">
        <v>2018</v>
      </c>
      <c r="B98" s="13" t="s">
        <v>21</v>
      </c>
      <c r="C98" s="11">
        <f>669.99*1000000</f>
        <v>669990000</v>
      </c>
      <c r="D98" s="11">
        <f>115.97*1000000</f>
        <v>115970000</v>
      </c>
      <c r="E98" s="12">
        <f t="shared" si="22"/>
        <v>91190000000</v>
      </c>
      <c r="F98" s="12">
        <f t="shared" si="23"/>
        <v>633870000</v>
      </c>
      <c r="G98" s="12">
        <v>91130000000</v>
      </c>
      <c r="H98">
        <v>690970000</v>
      </c>
      <c r="I98">
        <v>0</v>
      </c>
      <c r="J98">
        <v>248.126</v>
      </c>
      <c r="K98">
        <f t="shared" si="16"/>
        <v>809210998.222677</v>
      </c>
      <c r="L98">
        <f t="shared" si="17"/>
        <v>110138884054.875</v>
      </c>
      <c r="M98">
        <f t="shared" si="18"/>
        <v>110066416316.71</v>
      </c>
      <c r="N98">
        <f t="shared" si="19"/>
        <v>834550550.667806</v>
      </c>
    </row>
    <row r="99" spans="1:14">
      <c r="A99">
        <v>2018</v>
      </c>
      <c r="B99" s="13" t="s">
        <v>22</v>
      </c>
      <c r="C99" s="11">
        <f>14.41*1000000000</f>
        <v>14410000000</v>
      </c>
      <c r="D99" s="11">
        <f>325.88*1000000</f>
        <v>325880000</v>
      </c>
      <c r="E99" s="12">
        <f t="shared" si="22"/>
        <v>91190000000</v>
      </c>
      <c r="F99" s="12">
        <f t="shared" si="23"/>
        <v>633870000</v>
      </c>
      <c r="G99" s="12">
        <v>91130000000</v>
      </c>
      <c r="H99">
        <v>690970000</v>
      </c>
      <c r="I99">
        <v>0</v>
      </c>
      <c r="J99">
        <v>248.126</v>
      </c>
      <c r="K99">
        <f t="shared" si="16"/>
        <v>17404335116.0298</v>
      </c>
      <c r="L99">
        <f t="shared" si="17"/>
        <v>110138884054.875</v>
      </c>
      <c r="M99">
        <f t="shared" si="18"/>
        <v>110066416316.71</v>
      </c>
      <c r="N99">
        <f t="shared" si="19"/>
        <v>834550550.667806</v>
      </c>
    </row>
    <row r="100" spans="1:14">
      <c r="A100">
        <v>2018</v>
      </c>
      <c r="B100" s="13" t="s">
        <v>23</v>
      </c>
      <c r="C100" s="11">
        <f>8.12*1000000000</f>
        <v>8120000000</v>
      </c>
      <c r="D100" s="11">
        <f>330.14*1000000</f>
        <v>330140000</v>
      </c>
      <c r="E100" s="12">
        <f t="shared" si="22"/>
        <v>91190000000</v>
      </c>
      <c r="F100" s="12">
        <f t="shared" si="23"/>
        <v>633870000</v>
      </c>
      <c r="G100" s="12">
        <v>91130000000</v>
      </c>
      <c r="H100">
        <v>690970000</v>
      </c>
      <c r="I100">
        <v>0</v>
      </c>
      <c r="J100">
        <v>248.126</v>
      </c>
      <c r="K100">
        <f t="shared" si="16"/>
        <v>9807300565.03551</v>
      </c>
      <c r="L100">
        <f t="shared" si="17"/>
        <v>110138884054.875</v>
      </c>
      <c r="M100">
        <f t="shared" si="18"/>
        <v>110066416316.71</v>
      </c>
      <c r="N100">
        <f t="shared" si="19"/>
        <v>834550550.667806</v>
      </c>
    </row>
    <row r="101" spans="1:14">
      <c r="A101">
        <v>2018</v>
      </c>
      <c r="B101" s="13" t="s">
        <v>26</v>
      </c>
      <c r="C101" s="11">
        <f>775.54*1000000</f>
        <v>775540000</v>
      </c>
      <c r="D101" s="11">
        <f>-23.71*1000000</f>
        <v>-23710000</v>
      </c>
      <c r="E101" s="12">
        <f t="shared" si="22"/>
        <v>91190000000</v>
      </c>
      <c r="F101" s="12">
        <f t="shared" si="23"/>
        <v>633870000</v>
      </c>
      <c r="G101" s="12">
        <v>91130000000</v>
      </c>
      <c r="H101">
        <v>690970000</v>
      </c>
      <c r="I101">
        <v>0</v>
      </c>
      <c r="J101">
        <v>248.126</v>
      </c>
      <c r="K101">
        <f t="shared" si="16"/>
        <v>936693827.611778</v>
      </c>
      <c r="L101">
        <f t="shared" si="17"/>
        <v>110138884054.875</v>
      </c>
      <c r="M101">
        <f t="shared" si="18"/>
        <v>110066416316.71</v>
      </c>
      <c r="N101">
        <f t="shared" si="19"/>
        <v>834550550.667806</v>
      </c>
    </row>
    <row r="102" spans="1:14">
      <c r="A102">
        <v>2018</v>
      </c>
      <c r="B102" s="13" t="s">
        <v>24</v>
      </c>
      <c r="C102" s="11">
        <f>1.03*1000000000</f>
        <v>1030000000</v>
      </c>
      <c r="D102" s="11">
        <f>-28.64*1000000</f>
        <v>-28640000</v>
      </c>
      <c r="E102" s="12">
        <f t="shared" si="22"/>
        <v>91190000000</v>
      </c>
      <c r="F102" s="12">
        <f t="shared" si="23"/>
        <v>633870000</v>
      </c>
      <c r="G102" s="12">
        <v>91130000000</v>
      </c>
      <c r="H102">
        <v>690970000</v>
      </c>
      <c r="I102">
        <v>0</v>
      </c>
      <c r="J102">
        <v>248.126</v>
      </c>
      <c r="K102">
        <f t="shared" si="16"/>
        <v>1244029505.17076</v>
      </c>
      <c r="L102">
        <f t="shared" si="17"/>
        <v>110138884054.875</v>
      </c>
      <c r="M102">
        <f t="shared" si="18"/>
        <v>110066416316.71</v>
      </c>
      <c r="N102">
        <f t="shared" si="19"/>
        <v>834550550.667806</v>
      </c>
    </row>
    <row r="103" spans="1:14">
      <c r="A103">
        <v>2018</v>
      </c>
      <c r="B103" s="13" t="s">
        <v>16</v>
      </c>
      <c r="C103" s="11">
        <f>125.35*1000000</f>
        <v>125350000</v>
      </c>
      <c r="D103" s="11">
        <f>-5.6*1000000</f>
        <v>-5600000</v>
      </c>
      <c r="E103" s="12">
        <f t="shared" si="22"/>
        <v>91190000000</v>
      </c>
      <c r="F103" s="12">
        <f t="shared" si="23"/>
        <v>633870000</v>
      </c>
      <c r="G103" s="12">
        <v>91130000000</v>
      </c>
      <c r="H103">
        <v>690970000</v>
      </c>
      <c r="I103">
        <v>0</v>
      </c>
      <c r="J103">
        <v>248.126</v>
      </c>
      <c r="K103">
        <f t="shared" si="16"/>
        <v>151397182.983645</v>
      </c>
      <c r="L103">
        <f t="shared" si="17"/>
        <v>110138884054.875</v>
      </c>
      <c r="M103">
        <f t="shared" si="18"/>
        <v>110066416316.71</v>
      </c>
      <c r="N103">
        <f t="shared" si="19"/>
        <v>834550550.667806</v>
      </c>
    </row>
    <row r="104" spans="1:14">
      <c r="A104">
        <v>2018</v>
      </c>
      <c r="B104" s="13" t="s">
        <v>20</v>
      </c>
      <c r="C104" s="11">
        <f>139.43*1000000</f>
        <v>139430000</v>
      </c>
      <c r="D104" s="11">
        <f>-54.43*1000000</f>
        <v>-54430000</v>
      </c>
      <c r="E104" s="12">
        <f t="shared" si="22"/>
        <v>91190000000</v>
      </c>
      <c r="F104" s="12">
        <f t="shared" si="23"/>
        <v>633870000</v>
      </c>
      <c r="G104" s="12">
        <v>91130000000</v>
      </c>
      <c r="H104">
        <v>690970000</v>
      </c>
      <c r="I104">
        <v>0</v>
      </c>
      <c r="J104">
        <v>248.126</v>
      </c>
      <c r="K104">
        <f t="shared" si="16"/>
        <v>168402945.539766</v>
      </c>
      <c r="L104">
        <f t="shared" si="17"/>
        <v>110138884054.875</v>
      </c>
      <c r="M104">
        <f t="shared" si="18"/>
        <v>110066416316.71</v>
      </c>
      <c r="N104">
        <f t="shared" si="19"/>
        <v>834550550.667806</v>
      </c>
    </row>
    <row r="105" spans="1:14">
      <c r="A105">
        <v>2018</v>
      </c>
      <c r="B105" s="13" t="s">
        <v>25</v>
      </c>
      <c r="C105" s="11">
        <f>59.11*1000000000</f>
        <v>59110000000</v>
      </c>
      <c r="D105" s="11">
        <f>-93.89*1000000</f>
        <v>-93890000</v>
      </c>
      <c r="E105" s="12">
        <f t="shared" si="22"/>
        <v>91190000000</v>
      </c>
      <c r="F105" s="12">
        <f t="shared" si="23"/>
        <v>633870000</v>
      </c>
      <c r="G105" s="12">
        <v>91130000000</v>
      </c>
      <c r="H105">
        <v>690970000</v>
      </c>
      <c r="I105">
        <v>0</v>
      </c>
      <c r="J105">
        <v>248.126</v>
      </c>
      <c r="K105">
        <f t="shared" si="16"/>
        <v>71392800049.1686</v>
      </c>
      <c r="L105">
        <f t="shared" si="17"/>
        <v>110138884054.875</v>
      </c>
      <c r="M105">
        <f t="shared" si="18"/>
        <v>110066416316.71</v>
      </c>
      <c r="N105">
        <f t="shared" si="19"/>
        <v>834550550.667806</v>
      </c>
    </row>
    <row r="106" spans="1:14">
      <c r="A106">
        <v>2019</v>
      </c>
      <c r="B106" s="13" t="s">
        <v>22</v>
      </c>
      <c r="C106" s="11">
        <f>15.64*1000000000</f>
        <v>15640000000</v>
      </c>
      <c r="D106" s="11">
        <f>-235.18*1000000</f>
        <v>-235180000</v>
      </c>
      <c r="E106" s="12">
        <f t="shared" ref="E106:E118" si="24">96.22*1000000000</f>
        <v>96220000000</v>
      </c>
      <c r="F106" s="12">
        <f t="shared" ref="F106:F118" si="25">-402.7*1000000</f>
        <v>-402700000</v>
      </c>
      <c r="G106" s="12">
        <v>95010000000</v>
      </c>
      <c r="H106">
        <v>803720000</v>
      </c>
      <c r="I106">
        <v>0</v>
      </c>
      <c r="J106">
        <v>253.2685</v>
      </c>
      <c r="K106">
        <f t="shared" si="16"/>
        <v>18506372565.0841</v>
      </c>
      <c r="L106">
        <f t="shared" si="17"/>
        <v>113854422519.974</v>
      </c>
      <c r="M106">
        <f t="shared" si="18"/>
        <v>112422663517.176</v>
      </c>
      <c r="N106">
        <f t="shared" si="19"/>
        <v>951019293.99037</v>
      </c>
    </row>
    <row r="107" spans="1:14">
      <c r="A107">
        <v>2019</v>
      </c>
      <c r="B107" s="13" t="s">
        <v>23</v>
      </c>
      <c r="C107" s="11">
        <f>8.38*1000000000</f>
        <v>8380000000</v>
      </c>
      <c r="D107" s="11">
        <f>-166.02*1000000</f>
        <v>-166020000</v>
      </c>
      <c r="E107" s="12">
        <f t="shared" si="24"/>
        <v>96220000000</v>
      </c>
      <c r="F107" s="12">
        <f t="shared" si="25"/>
        <v>-402700000</v>
      </c>
      <c r="G107" s="12">
        <v>95010000000</v>
      </c>
      <c r="H107">
        <v>803720000</v>
      </c>
      <c r="I107">
        <v>0</v>
      </c>
      <c r="J107">
        <v>253.2685</v>
      </c>
      <c r="K107">
        <f t="shared" si="16"/>
        <v>9915818548.29953</v>
      </c>
      <c r="L107">
        <f t="shared" si="17"/>
        <v>113854422519.974</v>
      </c>
      <c r="M107">
        <f t="shared" si="18"/>
        <v>112422663517.176</v>
      </c>
      <c r="N107">
        <f t="shared" si="19"/>
        <v>951019293.99037</v>
      </c>
    </row>
    <row r="108" spans="1:14">
      <c r="A108">
        <v>2019</v>
      </c>
      <c r="B108" s="13" t="s">
        <v>25</v>
      </c>
      <c r="C108" s="11">
        <f>61.48*1000000000</f>
        <v>61480000000</v>
      </c>
      <c r="D108" s="11">
        <f>-161.02*1000000</f>
        <v>-161020000</v>
      </c>
      <c r="E108" s="12">
        <f t="shared" si="24"/>
        <v>96220000000</v>
      </c>
      <c r="F108" s="12">
        <f t="shared" si="25"/>
        <v>-402700000</v>
      </c>
      <c r="G108" s="12">
        <v>95010000000</v>
      </c>
      <c r="H108">
        <v>803720000</v>
      </c>
      <c r="I108">
        <v>0</v>
      </c>
      <c r="J108">
        <v>253.2685</v>
      </c>
      <c r="K108">
        <f t="shared" si="16"/>
        <v>72747556604.9469</v>
      </c>
      <c r="L108">
        <f t="shared" si="17"/>
        <v>113854422519.974</v>
      </c>
      <c r="M108">
        <f t="shared" si="18"/>
        <v>112422663517.176</v>
      </c>
      <c r="N108">
        <f t="shared" si="19"/>
        <v>951019293.99037</v>
      </c>
    </row>
    <row r="109" spans="1:14">
      <c r="A109">
        <v>2019</v>
      </c>
      <c r="B109" s="13" t="s">
        <v>15</v>
      </c>
      <c r="C109" s="11">
        <f>756.83*1000000</f>
        <v>756830000</v>
      </c>
      <c r="D109" s="11">
        <f>-105.91*1000000</f>
        <v>-105910000</v>
      </c>
      <c r="E109" s="12">
        <f t="shared" si="24"/>
        <v>96220000000</v>
      </c>
      <c r="F109" s="12">
        <f t="shared" si="25"/>
        <v>-402700000</v>
      </c>
      <c r="G109" s="12">
        <v>95010000000</v>
      </c>
      <c r="H109">
        <v>803720000</v>
      </c>
      <c r="I109">
        <v>0</v>
      </c>
      <c r="J109">
        <v>253.2685</v>
      </c>
      <c r="K109">
        <f t="shared" si="16"/>
        <v>895535674.452212</v>
      </c>
      <c r="L109">
        <f t="shared" si="17"/>
        <v>113854422519.974</v>
      </c>
      <c r="M109">
        <f t="shared" si="18"/>
        <v>112422663517.176</v>
      </c>
      <c r="N109">
        <f t="shared" si="19"/>
        <v>951019293.99037</v>
      </c>
    </row>
    <row r="110" spans="1:14">
      <c r="A110">
        <v>2019</v>
      </c>
      <c r="B110" s="13" t="s">
        <v>19</v>
      </c>
      <c r="C110" s="11">
        <f>1.4*1000000000</f>
        <v>1400000000</v>
      </c>
      <c r="D110" s="11">
        <f>-38.63*1000000</f>
        <v>-38630000</v>
      </c>
      <c r="E110" s="12">
        <f t="shared" si="24"/>
        <v>96220000000</v>
      </c>
      <c r="F110" s="12">
        <f t="shared" si="25"/>
        <v>-402700000</v>
      </c>
      <c r="G110" s="12">
        <v>95010000000</v>
      </c>
      <c r="H110">
        <v>803720000</v>
      </c>
      <c r="I110">
        <v>0</v>
      </c>
      <c r="J110">
        <v>253.2685</v>
      </c>
      <c r="K110">
        <f t="shared" si="16"/>
        <v>1656580664.39372</v>
      </c>
      <c r="L110">
        <f t="shared" si="17"/>
        <v>113854422519.974</v>
      </c>
      <c r="M110">
        <f t="shared" si="18"/>
        <v>112422663517.176</v>
      </c>
      <c r="N110">
        <f t="shared" si="19"/>
        <v>951019293.99037</v>
      </c>
    </row>
    <row r="111" spans="1:14">
      <c r="A111">
        <v>2019</v>
      </c>
      <c r="B111" s="13" t="s">
        <v>24</v>
      </c>
      <c r="C111" s="11">
        <f>1.11*1000000000</f>
        <v>1110000000</v>
      </c>
      <c r="D111" s="11">
        <f>-28.26*1000000</f>
        <v>-28260000</v>
      </c>
      <c r="E111" s="12">
        <f t="shared" si="24"/>
        <v>96220000000</v>
      </c>
      <c r="F111" s="12">
        <f t="shared" si="25"/>
        <v>-402700000</v>
      </c>
      <c r="G111" s="12">
        <v>95010000000</v>
      </c>
      <c r="H111">
        <v>803720000</v>
      </c>
      <c r="I111">
        <v>0</v>
      </c>
      <c r="J111">
        <v>253.2685</v>
      </c>
      <c r="K111">
        <f t="shared" si="16"/>
        <v>1313431812.48359</v>
      </c>
      <c r="L111">
        <f t="shared" si="17"/>
        <v>113854422519.974</v>
      </c>
      <c r="M111">
        <f t="shared" si="18"/>
        <v>112422663517.176</v>
      </c>
      <c r="N111">
        <f t="shared" si="19"/>
        <v>951019293.99037</v>
      </c>
    </row>
    <row r="112" spans="1:14">
      <c r="A112">
        <v>2019</v>
      </c>
      <c r="B112" s="13" t="s">
        <v>20</v>
      </c>
      <c r="C112" s="11">
        <f>112.54*1000000</f>
        <v>112540000</v>
      </c>
      <c r="D112" s="11">
        <f>-21.54*1000000</f>
        <v>-21540000</v>
      </c>
      <c r="E112" s="12">
        <f t="shared" si="24"/>
        <v>96220000000</v>
      </c>
      <c r="F112" s="12">
        <f t="shared" si="25"/>
        <v>-402700000</v>
      </c>
      <c r="G112" s="12">
        <v>95010000000</v>
      </c>
      <c r="H112">
        <v>803720000</v>
      </c>
      <c r="I112">
        <v>0</v>
      </c>
      <c r="J112">
        <v>253.2685</v>
      </c>
      <c r="K112">
        <f t="shared" si="16"/>
        <v>133165419.979192</v>
      </c>
      <c r="L112">
        <f t="shared" si="17"/>
        <v>113854422519.974</v>
      </c>
      <c r="M112">
        <f t="shared" si="18"/>
        <v>112422663517.176</v>
      </c>
      <c r="N112">
        <f t="shared" si="19"/>
        <v>951019293.99037</v>
      </c>
    </row>
    <row r="113" spans="1:14">
      <c r="A113">
        <v>2019</v>
      </c>
      <c r="B113" s="13" t="s">
        <v>18</v>
      </c>
      <c r="C113" s="11">
        <f>5.04*1000000000</f>
        <v>5040000000</v>
      </c>
      <c r="D113" s="11">
        <f>-15.68*1000000</f>
        <v>-15680000</v>
      </c>
      <c r="E113" s="12">
        <f t="shared" si="24"/>
        <v>96220000000</v>
      </c>
      <c r="F113" s="12">
        <f t="shared" si="25"/>
        <v>-402700000</v>
      </c>
      <c r="G113" s="12">
        <v>95010000000</v>
      </c>
      <c r="H113">
        <v>803720000</v>
      </c>
      <c r="I113">
        <v>0</v>
      </c>
      <c r="J113">
        <v>253.2685</v>
      </c>
      <c r="K113">
        <f t="shared" si="16"/>
        <v>5963690391.81738</v>
      </c>
      <c r="L113">
        <f t="shared" si="17"/>
        <v>113854422519.974</v>
      </c>
      <c r="M113">
        <f t="shared" si="18"/>
        <v>112422663517.176</v>
      </c>
      <c r="N113">
        <f t="shared" si="19"/>
        <v>951019293.99037</v>
      </c>
    </row>
    <row r="114" spans="1:14">
      <c r="A114">
        <v>2019</v>
      </c>
      <c r="B114" s="13" t="s">
        <v>16</v>
      </c>
      <c r="C114" s="11">
        <f>225.75*1000000</f>
        <v>225750000</v>
      </c>
      <c r="D114" s="11">
        <f>-12.79*1000000</f>
        <v>-12790000</v>
      </c>
      <c r="E114" s="12">
        <f t="shared" si="24"/>
        <v>96220000000</v>
      </c>
      <c r="F114" s="12">
        <f t="shared" si="25"/>
        <v>-402700000</v>
      </c>
      <c r="G114" s="12">
        <v>95010000000</v>
      </c>
      <c r="H114">
        <v>803720000</v>
      </c>
      <c r="I114">
        <v>0</v>
      </c>
      <c r="J114">
        <v>253.2685</v>
      </c>
      <c r="K114">
        <f t="shared" si="16"/>
        <v>267123632.133487</v>
      </c>
      <c r="L114">
        <f t="shared" si="17"/>
        <v>113854422519.974</v>
      </c>
      <c r="M114">
        <f t="shared" si="18"/>
        <v>112422663517.176</v>
      </c>
      <c r="N114">
        <f t="shared" si="19"/>
        <v>951019293.99037</v>
      </c>
    </row>
    <row r="115" spans="1:14">
      <c r="A115">
        <v>2019</v>
      </c>
      <c r="B115" s="13" t="s">
        <v>14</v>
      </c>
      <c r="C115" s="11">
        <v>0</v>
      </c>
      <c r="D115" s="11">
        <v>0</v>
      </c>
      <c r="E115" s="12">
        <f t="shared" si="24"/>
        <v>96220000000</v>
      </c>
      <c r="F115" s="12">
        <f t="shared" si="25"/>
        <v>-402700000</v>
      </c>
      <c r="G115" s="12">
        <v>95010000000</v>
      </c>
      <c r="H115">
        <v>803720000</v>
      </c>
      <c r="I115">
        <v>0</v>
      </c>
      <c r="J115">
        <v>253.2685</v>
      </c>
      <c r="K115">
        <f t="shared" si="16"/>
        <v>0</v>
      </c>
      <c r="L115">
        <f t="shared" si="17"/>
        <v>113854422519.974</v>
      </c>
      <c r="M115">
        <f t="shared" si="18"/>
        <v>112422663517.176</v>
      </c>
      <c r="N115">
        <f t="shared" si="19"/>
        <v>951019293.99037</v>
      </c>
    </row>
    <row r="116" spans="1:14">
      <c r="A116">
        <v>2019</v>
      </c>
      <c r="B116" s="13" t="s">
        <v>26</v>
      </c>
      <c r="C116" s="11">
        <f>802.35*1000000</f>
        <v>802350000</v>
      </c>
      <c r="D116" s="11">
        <f>3.59*1000000</f>
        <v>3590000</v>
      </c>
      <c r="E116" s="12">
        <f t="shared" si="24"/>
        <v>96220000000</v>
      </c>
      <c r="F116" s="12">
        <f t="shared" si="25"/>
        <v>-402700000</v>
      </c>
      <c r="G116" s="12">
        <v>95010000000</v>
      </c>
      <c r="H116">
        <v>803720000</v>
      </c>
      <c r="I116">
        <v>0</v>
      </c>
      <c r="J116">
        <v>253.2685</v>
      </c>
      <c r="K116">
        <f t="shared" si="16"/>
        <v>949398211.48307</v>
      </c>
      <c r="L116">
        <f t="shared" si="17"/>
        <v>113854422519.974</v>
      </c>
      <c r="M116">
        <f t="shared" si="18"/>
        <v>112422663517.176</v>
      </c>
      <c r="N116">
        <f t="shared" si="19"/>
        <v>951019293.99037</v>
      </c>
    </row>
    <row r="117" spans="1:14">
      <c r="A117">
        <v>2019</v>
      </c>
      <c r="B117" s="13" t="s">
        <v>21</v>
      </c>
      <c r="C117" s="11">
        <f>1.12*1000000000</f>
        <v>1120000000</v>
      </c>
      <c r="D117" s="11">
        <f>328.6*1000000</f>
        <v>328600000</v>
      </c>
      <c r="E117" s="12">
        <f t="shared" si="24"/>
        <v>96220000000</v>
      </c>
      <c r="F117" s="12">
        <f t="shared" si="25"/>
        <v>-402700000</v>
      </c>
      <c r="G117" s="12">
        <v>95010000000</v>
      </c>
      <c r="H117">
        <v>803720000</v>
      </c>
      <c r="I117">
        <v>0</v>
      </c>
      <c r="J117">
        <v>253.2685</v>
      </c>
      <c r="K117">
        <f t="shared" si="16"/>
        <v>1325264531.51497</v>
      </c>
      <c r="L117">
        <f t="shared" si="17"/>
        <v>113854422519.974</v>
      </c>
      <c r="M117">
        <f t="shared" si="18"/>
        <v>112422663517.176</v>
      </c>
      <c r="N117">
        <f t="shared" si="19"/>
        <v>951019293.99037</v>
      </c>
    </row>
    <row r="118" spans="1:14">
      <c r="A118">
        <v>2019</v>
      </c>
      <c r="B118" s="13" t="s">
        <v>17</v>
      </c>
      <c r="C118" s="11">
        <f>150.54*1000000</f>
        <v>150540000</v>
      </c>
      <c r="D118" s="11">
        <f>50.14*1000000</f>
        <v>50140000</v>
      </c>
      <c r="E118" s="12">
        <f t="shared" si="24"/>
        <v>96220000000</v>
      </c>
      <c r="F118" s="12">
        <f t="shared" si="25"/>
        <v>-402700000</v>
      </c>
      <c r="G118" s="12">
        <v>95010000000</v>
      </c>
      <c r="H118">
        <v>803720000</v>
      </c>
      <c r="I118">
        <v>0</v>
      </c>
      <c r="J118">
        <v>253.2685</v>
      </c>
      <c r="K118">
        <f t="shared" si="16"/>
        <v>178129752.29845</v>
      </c>
      <c r="L118">
        <f t="shared" si="17"/>
        <v>113854422519.974</v>
      </c>
      <c r="M118">
        <f t="shared" si="18"/>
        <v>112422663517.176</v>
      </c>
      <c r="N118">
        <f t="shared" si="19"/>
        <v>951019293.99037</v>
      </c>
    </row>
    <row r="119" spans="1:14">
      <c r="A119">
        <v>2020</v>
      </c>
      <c r="B119" s="13" t="s">
        <v>25</v>
      </c>
      <c r="C119" s="11">
        <f>65.58*1000000000</f>
        <v>65580000000</v>
      </c>
      <c r="D119" s="11">
        <f>-3.51*1000000000</f>
        <v>-3510000000</v>
      </c>
      <c r="E119" s="12">
        <f t="shared" ref="E119:E131" si="26">101.09*1000000000</f>
        <v>101090000000</v>
      </c>
      <c r="F119" s="12">
        <f t="shared" ref="F119:F131" si="27">-2.25*1000000000</f>
        <v>-2250000000</v>
      </c>
      <c r="G119" s="12">
        <v>98470000000</v>
      </c>
      <c r="H119">
        <v>379270000</v>
      </c>
      <c r="I119">
        <v>0</v>
      </c>
      <c r="J119">
        <v>257.23</v>
      </c>
      <c r="K119">
        <f t="shared" si="16"/>
        <v>76403899584.0298</v>
      </c>
      <c r="L119">
        <f t="shared" si="17"/>
        <v>117774782082.183</v>
      </c>
      <c r="M119">
        <f t="shared" si="18"/>
        <v>114722354254.947</v>
      </c>
      <c r="N119">
        <f t="shared" si="19"/>
        <v>441868054.212184</v>
      </c>
    </row>
    <row r="120" spans="1:14">
      <c r="A120">
        <v>2020</v>
      </c>
      <c r="B120" s="13" t="s">
        <v>21</v>
      </c>
      <c r="C120" s="11">
        <f>1.39*1000000000</f>
        <v>1390000000</v>
      </c>
      <c r="D120" s="11">
        <f>-496.36*1000000</f>
        <v>-496360000</v>
      </c>
      <c r="E120" s="12">
        <f t="shared" si="26"/>
        <v>101090000000</v>
      </c>
      <c r="F120" s="12">
        <f t="shared" si="27"/>
        <v>-2250000000</v>
      </c>
      <c r="G120" s="12">
        <v>98470000000</v>
      </c>
      <c r="H120">
        <v>379270000</v>
      </c>
      <c r="I120">
        <v>0</v>
      </c>
      <c r="J120">
        <v>257.23</v>
      </c>
      <c r="K120">
        <f t="shared" si="16"/>
        <v>1619417816.73988</v>
      </c>
      <c r="L120">
        <f t="shared" si="17"/>
        <v>117774782082.183</v>
      </c>
      <c r="M120">
        <f t="shared" si="18"/>
        <v>114722354254.947</v>
      </c>
      <c r="N120">
        <f t="shared" si="19"/>
        <v>441868054.212184</v>
      </c>
    </row>
    <row r="121" spans="1:14">
      <c r="A121">
        <v>2020</v>
      </c>
      <c r="B121" s="13" t="s">
        <v>24</v>
      </c>
      <c r="C121" s="11">
        <f>1.1*1000000000</f>
        <v>1100000000</v>
      </c>
      <c r="D121" s="11">
        <f>-22.82*1000000</f>
        <v>-22820000</v>
      </c>
      <c r="E121" s="12">
        <f t="shared" si="26"/>
        <v>101090000000</v>
      </c>
      <c r="F121" s="12">
        <f t="shared" si="27"/>
        <v>-2250000000</v>
      </c>
      <c r="G121" s="12">
        <v>98470000000</v>
      </c>
      <c r="H121">
        <v>379270000</v>
      </c>
      <c r="I121">
        <v>0</v>
      </c>
      <c r="J121">
        <v>257.23</v>
      </c>
      <c r="K121">
        <f t="shared" si="16"/>
        <v>1281553667.92365</v>
      </c>
      <c r="L121">
        <f t="shared" si="17"/>
        <v>117774782082.183</v>
      </c>
      <c r="M121">
        <f t="shared" si="18"/>
        <v>114722354254.947</v>
      </c>
      <c r="N121">
        <f t="shared" si="19"/>
        <v>441868054.212184</v>
      </c>
    </row>
    <row r="122" spans="1:14">
      <c r="A122">
        <v>2020</v>
      </c>
      <c r="B122" s="13" t="s">
        <v>20</v>
      </c>
      <c r="C122" s="11">
        <f>-5.08*1000000</f>
        <v>-5080000</v>
      </c>
      <c r="D122" s="11">
        <f>-9.92*1000000</f>
        <v>-9920000</v>
      </c>
      <c r="E122" s="12">
        <f t="shared" si="26"/>
        <v>101090000000</v>
      </c>
      <c r="F122" s="12">
        <f t="shared" si="27"/>
        <v>-2250000000</v>
      </c>
      <c r="G122" s="12">
        <v>98470000000</v>
      </c>
      <c r="H122">
        <v>379270000</v>
      </c>
      <c r="I122">
        <v>0</v>
      </c>
      <c r="J122">
        <v>257.23</v>
      </c>
      <c r="K122">
        <f t="shared" si="16"/>
        <v>-5918447.84822921</v>
      </c>
      <c r="L122">
        <f t="shared" si="17"/>
        <v>117774782082.183</v>
      </c>
      <c r="M122">
        <f t="shared" si="18"/>
        <v>114722354254.947</v>
      </c>
      <c r="N122">
        <f t="shared" si="19"/>
        <v>441868054.212184</v>
      </c>
    </row>
    <row r="123" spans="1:14">
      <c r="A123">
        <v>2020</v>
      </c>
      <c r="B123" s="13" t="s">
        <v>26</v>
      </c>
      <c r="C123" s="11">
        <f>706.7*1000000</f>
        <v>706700000</v>
      </c>
      <c r="D123" s="11">
        <f>-5.95*1000000</f>
        <v>-5950000</v>
      </c>
      <c r="E123" s="12">
        <f t="shared" si="26"/>
        <v>101090000000</v>
      </c>
      <c r="F123" s="12">
        <f t="shared" si="27"/>
        <v>-2250000000</v>
      </c>
      <c r="G123" s="12">
        <v>98470000000</v>
      </c>
      <c r="H123">
        <v>379270000</v>
      </c>
      <c r="I123">
        <v>0</v>
      </c>
      <c r="J123">
        <v>257.23</v>
      </c>
      <c r="K123">
        <f t="shared" si="16"/>
        <v>823339979.201493</v>
      </c>
      <c r="L123">
        <f t="shared" si="17"/>
        <v>117774782082.183</v>
      </c>
      <c r="M123">
        <f t="shared" si="18"/>
        <v>114722354254.947</v>
      </c>
      <c r="N123">
        <f t="shared" si="19"/>
        <v>441868054.212184</v>
      </c>
    </row>
    <row r="124" spans="1:14">
      <c r="A124">
        <v>2020</v>
      </c>
      <c r="B124" s="13" t="s">
        <v>16</v>
      </c>
      <c r="C124" s="11">
        <f>140.78*1000000</f>
        <v>140780000</v>
      </c>
      <c r="D124" s="11">
        <f>-2.75*1000000</f>
        <v>-2750000</v>
      </c>
      <c r="E124" s="12">
        <f t="shared" si="26"/>
        <v>101090000000</v>
      </c>
      <c r="F124" s="12">
        <f t="shared" si="27"/>
        <v>-2250000000</v>
      </c>
      <c r="G124" s="12">
        <v>98470000000</v>
      </c>
      <c r="H124">
        <v>379270000</v>
      </c>
      <c r="I124">
        <v>0</v>
      </c>
      <c r="J124">
        <v>257.23</v>
      </c>
      <c r="K124">
        <f t="shared" si="16"/>
        <v>164015568.518447</v>
      </c>
      <c r="L124">
        <f t="shared" si="17"/>
        <v>117774782082.183</v>
      </c>
      <c r="M124">
        <f t="shared" si="18"/>
        <v>114722354254.947</v>
      </c>
      <c r="N124">
        <f t="shared" si="19"/>
        <v>441868054.212184</v>
      </c>
    </row>
    <row r="125" spans="1:14">
      <c r="A125">
        <v>2020</v>
      </c>
      <c r="B125" s="13" t="s">
        <v>14</v>
      </c>
      <c r="C125" s="11">
        <v>0</v>
      </c>
      <c r="D125" s="11">
        <v>0</v>
      </c>
      <c r="E125" s="12">
        <f t="shared" si="26"/>
        <v>101090000000</v>
      </c>
      <c r="F125" s="12">
        <f t="shared" si="27"/>
        <v>-2250000000</v>
      </c>
      <c r="G125" s="12">
        <v>98470000000</v>
      </c>
      <c r="H125">
        <v>379270000</v>
      </c>
      <c r="I125">
        <v>0</v>
      </c>
      <c r="J125">
        <v>257.23</v>
      </c>
      <c r="K125">
        <f t="shared" si="16"/>
        <v>0</v>
      </c>
      <c r="L125">
        <f t="shared" si="17"/>
        <v>117774782082.183</v>
      </c>
      <c r="M125">
        <f t="shared" si="18"/>
        <v>114722354254.947</v>
      </c>
      <c r="N125">
        <f t="shared" si="19"/>
        <v>441868054.212184</v>
      </c>
    </row>
    <row r="126" spans="1:14">
      <c r="A126">
        <v>2020</v>
      </c>
      <c r="B126" s="13" t="s">
        <v>15</v>
      </c>
      <c r="C126" s="11">
        <f>649.91*1000000</f>
        <v>649910000</v>
      </c>
      <c r="D126" s="11">
        <f>10.09*1000000</f>
        <v>10090000</v>
      </c>
      <c r="E126" s="12">
        <f t="shared" si="26"/>
        <v>101090000000</v>
      </c>
      <c r="F126" s="12">
        <f t="shared" si="27"/>
        <v>-2250000000</v>
      </c>
      <c r="G126" s="12">
        <v>98470000000</v>
      </c>
      <c r="H126">
        <v>379270000</v>
      </c>
      <c r="I126">
        <v>0</v>
      </c>
      <c r="J126">
        <v>257.23</v>
      </c>
      <c r="K126">
        <f t="shared" si="16"/>
        <v>757176858.472962</v>
      </c>
      <c r="L126">
        <f t="shared" si="17"/>
        <v>117774782082.183</v>
      </c>
      <c r="M126">
        <f t="shared" si="18"/>
        <v>114722354254.947</v>
      </c>
      <c r="N126">
        <f t="shared" si="19"/>
        <v>441868054.212184</v>
      </c>
    </row>
    <row r="127" spans="1:14">
      <c r="A127">
        <v>2020</v>
      </c>
      <c r="B127" s="13" t="s">
        <v>19</v>
      </c>
      <c r="C127" s="11">
        <f>1.12*1000000000</f>
        <v>1120000000</v>
      </c>
      <c r="D127" s="11">
        <f>68.44*1000000</f>
        <v>68440000</v>
      </c>
      <c r="E127" s="12">
        <f t="shared" si="26"/>
        <v>101090000000</v>
      </c>
      <c r="F127" s="12">
        <f t="shared" si="27"/>
        <v>-2250000000</v>
      </c>
      <c r="G127" s="12">
        <v>98470000000</v>
      </c>
      <c r="H127">
        <v>379270000</v>
      </c>
      <c r="I127">
        <v>0</v>
      </c>
      <c r="J127">
        <v>257.23</v>
      </c>
      <c r="K127">
        <f t="shared" si="16"/>
        <v>1304854643.70408</v>
      </c>
      <c r="L127">
        <f t="shared" si="17"/>
        <v>117774782082.183</v>
      </c>
      <c r="M127">
        <f t="shared" si="18"/>
        <v>114722354254.947</v>
      </c>
      <c r="N127">
        <f t="shared" si="19"/>
        <v>441868054.212184</v>
      </c>
    </row>
    <row r="128" spans="1:14">
      <c r="A128">
        <v>2020</v>
      </c>
      <c r="B128" s="13" t="s">
        <v>18</v>
      </c>
      <c r="C128" s="11">
        <f>5*1000000000</f>
        <v>5000000000</v>
      </c>
      <c r="D128" s="11">
        <f>132.53*1000000</f>
        <v>132530000</v>
      </c>
      <c r="E128" s="12">
        <f t="shared" si="26"/>
        <v>101090000000</v>
      </c>
      <c r="F128" s="12">
        <f t="shared" si="27"/>
        <v>-2250000000</v>
      </c>
      <c r="G128" s="12">
        <v>98470000000</v>
      </c>
      <c r="H128">
        <v>379270000</v>
      </c>
      <c r="I128">
        <v>0</v>
      </c>
      <c r="J128">
        <v>257.23</v>
      </c>
      <c r="K128">
        <f t="shared" si="16"/>
        <v>5825243945.10749</v>
      </c>
      <c r="L128">
        <f t="shared" si="17"/>
        <v>117774782082.183</v>
      </c>
      <c r="M128">
        <f t="shared" si="18"/>
        <v>114722354254.947</v>
      </c>
      <c r="N128">
        <f t="shared" si="19"/>
        <v>441868054.212184</v>
      </c>
    </row>
    <row r="129" spans="1:14">
      <c r="A129">
        <v>2020</v>
      </c>
      <c r="B129" s="13" t="s">
        <v>17</v>
      </c>
      <c r="C129" s="11">
        <f>15.26*1000000</f>
        <v>15260000</v>
      </c>
      <c r="D129" s="11">
        <f>237.63*1000000</f>
        <v>237630000</v>
      </c>
      <c r="E129" s="12">
        <f t="shared" si="26"/>
        <v>101090000000</v>
      </c>
      <c r="F129" s="12">
        <f t="shared" si="27"/>
        <v>-2250000000</v>
      </c>
      <c r="G129" s="12">
        <v>98470000000</v>
      </c>
      <c r="H129">
        <v>379270000</v>
      </c>
      <c r="I129">
        <v>0</v>
      </c>
      <c r="J129">
        <v>257.23</v>
      </c>
      <c r="K129">
        <f t="shared" si="16"/>
        <v>17778644.5204681</v>
      </c>
      <c r="L129">
        <f t="shared" si="17"/>
        <v>117774782082.183</v>
      </c>
      <c r="M129">
        <f t="shared" si="18"/>
        <v>114722354254.947</v>
      </c>
      <c r="N129">
        <f t="shared" si="19"/>
        <v>441868054.212184</v>
      </c>
    </row>
    <row r="130" spans="1:14">
      <c r="A130">
        <v>2020</v>
      </c>
      <c r="B130" s="13" t="s">
        <v>22</v>
      </c>
      <c r="C130" s="11">
        <f>15.48*1000000000</f>
        <v>15480000000</v>
      </c>
      <c r="D130" s="11">
        <f>339.26*1000000</f>
        <v>339260000</v>
      </c>
      <c r="E130" s="12">
        <f t="shared" si="26"/>
        <v>101090000000</v>
      </c>
      <c r="F130" s="12">
        <f t="shared" si="27"/>
        <v>-2250000000</v>
      </c>
      <c r="G130" s="12">
        <v>98470000000</v>
      </c>
      <c r="H130">
        <v>379270000</v>
      </c>
      <c r="I130">
        <v>0</v>
      </c>
      <c r="J130">
        <v>257.23</v>
      </c>
      <c r="K130">
        <f t="shared" si="16"/>
        <v>18034955254.0528</v>
      </c>
      <c r="L130">
        <f t="shared" si="17"/>
        <v>117774782082.183</v>
      </c>
      <c r="M130">
        <f t="shared" si="18"/>
        <v>114722354254.947</v>
      </c>
      <c r="N130">
        <f t="shared" si="19"/>
        <v>441868054.212184</v>
      </c>
    </row>
    <row r="131" spans="1:14">
      <c r="A131">
        <v>2020</v>
      </c>
      <c r="B131" s="13" t="s">
        <v>23</v>
      </c>
      <c r="C131" s="11">
        <f>9.91*1000000000</f>
        <v>9910000000</v>
      </c>
      <c r="D131" s="11">
        <f>1.01*1000000000</f>
        <v>1010000000</v>
      </c>
      <c r="E131" s="12">
        <f t="shared" si="26"/>
        <v>101090000000</v>
      </c>
      <c r="F131" s="12">
        <f t="shared" si="27"/>
        <v>-2250000000</v>
      </c>
      <c r="G131" s="12">
        <v>98470000000</v>
      </c>
      <c r="H131">
        <v>379270000</v>
      </c>
      <c r="I131">
        <v>0</v>
      </c>
      <c r="J131">
        <v>257.23</v>
      </c>
      <c r="K131">
        <f t="shared" ref="K131:K194" si="28">C131*299.6855/J131</f>
        <v>11545633499.203</v>
      </c>
      <c r="L131">
        <f t="shared" ref="L131:L194" si="29">E131*299.6855/J131</f>
        <v>117774782082.183</v>
      </c>
      <c r="M131">
        <f t="shared" ref="M131:M194" si="30">G131*299.6855/J131</f>
        <v>114722354254.947</v>
      </c>
      <c r="N131">
        <f t="shared" ref="N131:N194" si="31">H131*299.6855/J131</f>
        <v>441868054.212184</v>
      </c>
    </row>
    <row r="132" spans="1:14">
      <c r="A132">
        <v>2021</v>
      </c>
      <c r="B132" s="13" t="s">
        <v>25</v>
      </c>
      <c r="C132" s="11">
        <f>65.53*1000000000</f>
        <v>65530000000</v>
      </c>
      <c r="D132" s="11">
        <f>-1.03*1000000000</f>
        <v>-1030000000</v>
      </c>
      <c r="E132" s="12">
        <f t="shared" ref="E132:E144" si="32">103.49*1000000000</f>
        <v>103490000000</v>
      </c>
      <c r="F132" s="12">
        <f t="shared" ref="F132:F144" si="33">773.34*1000000</f>
        <v>773340000</v>
      </c>
      <c r="G132" s="12">
        <v>103520000000</v>
      </c>
      <c r="H132">
        <v>754180000</v>
      </c>
      <c r="I132">
        <v>0</v>
      </c>
      <c r="J132">
        <v>263.1505</v>
      </c>
      <c r="K132">
        <f t="shared" si="28"/>
        <v>74627982143.2982</v>
      </c>
      <c r="L132">
        <f t="shared" si="29"/>
        <v>117858230917.289</v>
      </c>
      <c r="M132">
        <f t="shared" si="30"/>
        <v>117892396024.328</v>
      </c>
      <c r="N132">
        <f t="shared" si="31"/>
        <v>858888014.2352</v>
      </c>
    </row>
    <row r="133" spans="1:14">
      <c r="A133">
        <v>2021</v>
      </c>
      <c r="B133" s="13" t="s">
        <v>22</v>
      </c>
      <c r="C133" s="11">
        <f>14.95*1000000000</f>
        <v>14950000000</v>
      </c>
      <c r="D133" s="11">
        <f>-90.33*1000000</f>
        <v>-90330000</v>
      </c>
      <c r="E133" s="12">
        <f t="shared" si="32"/>
        <v>103490000000</v>
      </c>
      <c r="F133" s="12">
        <f t="shared" si="33"/>
        <v>773340000</v>
      </c>
      <c r="G133" s="12">
        <v>103520000000</v>
      </c>
      <c r="H133">
        <v>754180000</v>
      </c>
      <c r="I133">
        <v>0</v>
      </c>
      <c r="J133">
        <v>263.1505</v>
      </c>
      <c r="K133">
        <f t="shared" si="28"/>
        <v>17025611674.6881</v>
      </c>
      <c r="L133">
        <f t="shared" si="29"/>
        <v>117858230917.289</v>
      </c>
      <c r="M133">
        <f t="shared" si="30"/>
        <v>117892396024.328</v>
      </c>
      <c r="N133">
        <f t="shared" si="31"/>
        <v>858888014.2352</v>
      </c>
    </row>
    <row r="134" spans="1:14">
      <c r="A134">
        <v>2021</v>
      </c>
      <c r="B134" s="13" t="s">
        <v>24</v>
      </c>
      <c r="C134" s="11">
        <f>1.04*1000000000</f>
        <v>1040000000</v>
      </c>
      <c r="D134" s="11">
        <f>-49.57*1000000</f>
        <v>-49570000</v>
      </c>
      <c r="E134" s="12">
        <f t="shared" si="32"/>
        <v>103490000000</v>
      </c>
      <c r="F134" s="12">
        <f t="shared" si="33"/>
        <v>773340000</v>
      </c>
      <c r="G134" s="12">
        <v>103520000000</v>
      </c>
      <c r="H134">
        <v>754180000</v>
      </c>
      <c r="I134">
        <v>0</v>
      </c>
      <c r="J134">
        <v>263.1505</v>
      </c>
      <c r="K134">
        <f t="shared" si="28"/>
        <v>1184390377.3696</v>
      </c>
      <c r="L134">
        <f t="shared" si="29"/>
        <v>117858230917.289</v>
      </c>
      <c r="M134">
        <f t="shared" si="30"/>
        <v>117892396024.328</v>
      </c>
      <c r="N134">
        <f t="shared" si="31"/>
        <v>858888014.2352</v>
      </c>
    </row>
    <row r="135" spans="1:14">
      <c r="A135">
        <v>2021</v>
      </c>
      <c r="B135" s="13" t="s">
        <v>26</v>
      </c>
      <c r="C135" s="11">
        <f>625.15*1000000</f>
        <v>625150000</v>
      </c>
      <c r="D135" s="11">
        <f>-18.33*1000000</f>
        <v>-18330000</v>
      </c>
      <c r="E135" s="12">
        <f t="shared" si="32"/>
        <v>103490000000</v>
      </c>
      <c r="F135" s="12">
        <f t="shared" si="33"/>
        <v>773340000</v>
      </c>
      <c r="G135" s="12">
        <v>103520000000</v>
      </c>
      <c r="H135">
        <v>754180000</v>
      </c>
      <c r="I135">
        <v>0</v>
      </c>
      <c r="J135">
        <v>263.1505</v>
      </c>
      <c r="K135">
        <f t="shared" si="28"/>
        <v>711943888.858277</v>
      </c>
      <c r="L135">
        <f t="shared" si="29"/>
        <v>117858230917.289</v>
      </c>
      <c r="M135">
        <f t="shared" si="30"/>
        <v>117892396024.328</v>
      </c>
      <c r="N135">
        <f t="shared" si="31"/>
        <v>858888014.2352</v>
      </c>
    </row>
    <row r="136" spans="1:14">
      <c r="A136">
        <v>2021</v>
      </c>
      <c r="B136" s="13" t="s">
        <v>15</v>
      </c>
      <c r="C136" s="11">
        <f>634.34*1000000</f>
        <v>634340000</v>
      </c>
      <c r="D136" s="11">
        <f>-931.71*1000</f>
        <v>-931710</v>
      </c>
      <c r="E136" s="12">
        <f t="shared" si="32"/>
        <v>103490000000</v>
      </c>
      <c r="F136" s="12">
        <f t="shared" si="33"/>
        <v>773340000</v>
      </c>
      <c r="G136" s="12">
        <v>103520000000</v>
      </c>
      <c r="H136">
        <v>754180000</v>
      </c>
      <c r="I136">
        <v>0</v>
      </c>
      <c r="J136">
        <v>263.1505</v>
      </c>
      <c r="K136">
        <f t="shared" si="28"/>
        <v>722409799.981379</v>
      </c>
      <c r="L136">
        <f t="shared" si="29"/>
        <v>117858230917.289</v>
      </c>
      <c r="M136">
        <f t="shared" si="30"/>
        <v>117892396024.328</v>
      </c>
      <c r="N136">
        <f t="shared" si="31"/>
        <v>858888014.2352</v>
      </c>
    </row>
    <row r="137" spans="1:14">
      <c r="A137">
        <v>2021</v>
      </c>
      <c r="B137" s="13" t="s">
        <v>16</v>
      </c>
      <c r="C137" s="11">
        <f>14.74*1000000</f>
        <v>14740000</v>
      </c>
      <c r="D137" s="11">
        <f>-607.98*1000</f>
        <v>-607980</v>
      </c>
      <c r="E137" s="12">
        <f t="shared" si="32"/>
        <v>103490000000</v>
      </c>
      <c r="F137" s="12">
        <f t="shared" si="33"/>
        <v>773340000</v>
      </c>
      <c r="G137" s="12">
        <v>103520000000</v>
      </c>
      <c r="H137">
        <v>754180000</v>
      </c>
      <c r="I137">
        <v>0</v>
      </c>
      <c r="J137">
        <v>263.1505</v>
      </c>
      <c r="K137">
        <f t="shared" si="28"/>
        <v>16786455.9254115</v>
      </c>
      <c r="L137">
        <f t="shared" si="29"/>
        <v>117858230917.289</v>
      </c>
      <c r="M137">
        <f t="shared" si="30"/>
        <v>117892396024.328</v>
      </c>
      <c r="N137">
        <f t="shared" si="31"/>
        <v>858888014.2352</v>
      </c>
    </row>
    <row r="138" spans="1:14">
      <c r="A138">
        <v>2021</v>
      </c>
      <c r="B138" s="13" t="s">
        <v>17</v>
      </c>
      <c r="C138" s="11">
        <f>967.82*1000</f>
        <v>967820</v>
      </c>
      <c r="D138" s="11">
        <f>-141.18*1000</f>
        <v>-141180</v>
      </c>
      <c r="E138" s="12">
        <f t="shared" si="32"/>
        <v>103490000000</v>
      </c>
      <c r="F138" s="12">
        <f t="shared" si="33"/>
        <v>773340000</v>
      </c>
      <c r="G138" s="12">
        <v>103520000000</v>
      </c>
      <c r="H138">
        <v>754180000</v>
      </c>
      <c r="I138">
        <v>0</v>
      </c>
      <c r="J138">
        <v>263.1505</v>
      </c>
      <c r="K138">
        <f t="shared" si="28"/>
        <v>1102189.12983255</v>
      </c>
      <c r="L138">
        <f t="shared" si="29"/>
        <v>117858230917.289</v>
      </c>
      <c r="M138">
        <f t="shared" si="30"/>
        <v>117892396024.328</v>
      </c>
      <c r="N138">
        <f t="shared" si="31"/>
        <v>858888014.2352</v>
      </c>
    </row>
    <row r="139" spans="1:14">
      <c r="A139">
        <v>2021</v>
      </c>
      <c r="B139" s="13" t="s">
        <v>14</v>
      </c>
      <c r="C139" s="11">
        <v>0</v>
      </c>
      <c r="D139" s="11">
        <v>0</v>
      </c>
      <c r="E139" s="12">
        <f t="shared" si="32"/>
        <v>103490000000</v>
      </c>
      <c r="F139" s="12">
        <f t="shared" si="33"/>
        <v>773340000</v>
      </c>
      <c r="G139" s="12">
        <v>103520000000</v>
      </c>
      <c r="H139">
        <v>754180000</v>
      </c>
      <c r="I139">
        <v>0</v>
      </c>
      <c r="J139">
        <v>263.1505</v>
      </c>
      <c r="K139">
        <f t="shared" si="28"/>
        <v>0</v>
      </c>
      <c r="L139">
        <f t="shared" si="29"/>
        <v>117858230917.289</v>
      </c>
      <c r="M139">
        <f t="shared" si="30"/>
        <v>117892396024.328</v>
      </c>
      <c r="N139">
        <f t="shared" si="31"/>
        <v>858888014.2352</v>
      </c>
    </row>
    <row r="140" spans="1:14">
      <c r="A140">
        <v>2021</v>
      </c>
      <c r="B140" s="13" t="s">
        <v>20</v>
      </c>
      <c r="C140" s="11">
        <f>-24.06*1000000</f>
        <v>-24060000</v>
      </c>
      <c r="D140" s="11">
        <f>9.06*1000000</f>
        <v>9060000</v>
      </c>
      <c r="E140" s="12">
        <f t="shared" si="32"/>
        <v>103490000000</v>
      </c>
      <c r="F140" s="12">
        <f t="shared" si="33"/>
        <v>773340000</v>
      </c>
      <c r="G140" s="12">
        <v>103520000000</v>
      </c>
      <c r="H140">
        <v>754180000</v>
      </c>
      <c r="I140">
        <v>0</v>
      </c>
      <c r="J140">
        <v>263.1505</v>
      </c>
      <c r="K140">
        <f t="shared" si="28"/>
        <v>-27400415.8456853</v>
      </c>
      <c r="L140">
        <f t="shared" si="29"/>
        <v>117858230917.289</v>
      </c>
      <c r="M140">
        <f t="shared" si="30"/>
        <v>117892396024.328</v>
      </c>
      <c r="N140">
        <f t="shared" si="31"/>
        <v>858888014.2352</v>
      </c>
    </row>
    <row r="141" spans="1:14">
      <c r="A141">
        <v>2021</v>
      </c>
      <c r="B141" s="13" t="s">
        <v>21</v>
      </c>
      <c r="C141" s="11">
        <f>1.07*1000000000</f>
        <v>1070000000</v>
      </c>
      <c r="D141" s="11">
        <f>21.59*1000000</f>
        <v>21590000</v>
      </c>
      <c r="E141" s="12">
        <f t="shared" si="32"/>
        <v>103490000000</v>
      </c>
      <c r="F141" s="12">
        <f t="shared" si="33"/>
        <v>773340000</v>
      </c>
      <c r="G141" s="12">
        <v>103520000000</v>
      </c>
      <c r="H141">
        <v>754180000</v>
      </c>
      <c r="I141">
        <v>0</v>
      </c>
      <c r="J141">
        <v>263.1505</v>
      </c>
      <c r="K141">
        <f t="shared" si="28"/>
        <v>1218555484.40911</v>
      </c>
      <c r="L141">
        <f t="shared" si="29"/>
        <v>117858230917.289</v>
      </c>
      <c r="M141">
        <f t="shared" si="30"/>
        <v>117892396024.328</v>
      </c>
      <c r="N141">
        <f t="shared" si="31"/>
        <v>858888014.2352</v>
      </c>
    </row>
    <row r="142" spans="1:14">
      <c r="A142">
        <v>2021</v>
      </c>
      <c r="B142" s="13" t="s">
        <v>19</v>
      </c>
      <c r="C142" s="11">
        <f>1.19*1000000000</f>
        <v>1190000000</v>
      </c>
      <c r="D142" s="11">
        <f>50.89*1000000</f>
        <v>50890000</v>
      </c>
      <c r="E142" s="12">
        <f t="shared" si="32"/>
        <v>103490000000</v>
      </c>
      <c r="F142" s="12">
        <f t="shared" si="33"/>
        <v>773340000</v>
      </c>
      <c r="G142" s="12">
        <v>103520000000</v>
      </c>
      <c r="H142">
        <v>754180000</v>
      </c>
      <c r="I142">
        <v>0</v>
      </c>
      <c r="J142">
        <v>263.1505</v>
      </c>
      <c r="K142">
        <f t="shared" si="28"/>
        <v>1355215912.56714</v>
      </c>
      <c r="L142">
        <f t="shared" si="29"/>
        <v>117858230917.289</v>
      </c>
      <c r="M142">
        <f t="shared" si="30"/>
        <v>117892396024.328</v>
      </c>
      <c r="N142">
        <f t="shared" si="31"/>
        <v>858888014.2352</v>
      </c>
    </row>
    <row r="143" spans="1:14">
      <c r="A143">
        <v>2021</v>
      </c>
      <c r="B143" s="13" t="s">
        <v>18</v>
      </c>
      <c r="C143" s="11">
        <f>4.8*1000000000</f>
        <v>4800000000</v>
      </c>
      <c r="D143" s="11">
        <f>212.72*1000000</f>
        <v>212720000</v>
      </c>
      <c r="E143" s="12">
        <f t="shared" si="32"/>
        <v>103490000000</v>
      </c>
      <c r="F143" s="12">
        <f t="shared" si="33"/>
        <v>773340000</v>
      </c>
      <c r="G143" s="12">
        <v>103520000000</v>
      </c>
      <c r="H143">
        <v>754180000</v>
      </c>
      <c r="I143">
        <v>0</v>
      </c>
      <c r="J143">
        <v>263.1505</v>
      </c>
      <c r="K143">
        <f t="shared" si="28"/>
        <v>5466417126.32125</v>
      </c>
      <c r="L143">
        <f t="shared" si="29"/>
        <v>117858230917.289</v>
      </c>
      <c r="M143">
        <f t="shared" si="30"/>
        <v>117892396024.328</v>
      </c>
      <c r="N143">
        <f t="shared" si="31"/>
        <v>858888014.2352</v>
      </c>
    </row>
    <row r="144" spans="1:14">
      <c r="A144">
        <v>2021</v>
      </c>
      <c r="B144" s="13" t="s">
        <v>23</v>
      </c>
      <c r="C144" s="11">
        <f>13.66*1000000000</f>
        <v>13660000000</v>
      </c>
      <c r="D144" s="11">
        <f>1.67*1000000000</f>
        <v>1670000000</v>
      </c>
      <c r="E144" s="12">
        <f t="shared" si="32"/>
        <v>103490000000</v>
      </c>
      <c r="F144" s="12">
        <f t="shared" si="33"/>
        <v>773340000</v>
      </c>
      <c r="G144" s="12">
        <v>103520000000</v>
      </c>
      <c r="H144">
        <v>754180000</v>
      </c>
      <c r="I144">
        <v>0</v>
      </c>
      <c r="J144">
        <v>263.1505</v>
      </c>
      <c r="K144">
        <f t="shared" si="28"/>
        <v>15556512071.9892</v>
      </c>
      <c r="L144">
        <f t="shared" si="29"/>
        <v>117858230917.289</v>
      </c>
      <c r="M144">
        <f t="shared" si="30"/>
        <v>117892396024.328</v>
      </c>
      <c r="N144">
        <f t="shared" si="31"/>
        <v>858888014.2352</v>
      </c>
    </row>
    <row r="145" spans="1:14">
      <c r="A145">
        <v>2022</v>
      </c>
      <c r="B145" s="13" t="s">
        <v>25</v>
      </c>
      <c r="C145" s="11">
        <f>69.6*1000000000</f>
        <v>69600000000</v>
      </c>
      <c r="D145" s="11">
        <f>-1.03*1000000000</f>
        <v>-1030000000</v>
      </c>
      <c r="E145" s="12">
        <f t="shared" ref="E145:E157" si="34">112.69*1000000000</f>
        <v>112690000000</v>
      </c>
      <c r="F145" s="12">
        <f t="shared" ref="F145:F157" si="35">-311.69*1000000</f>
        <v>-311690000</v>
      </c>
      <c r="G145" s="12">
        <v>109470000000</v>
      </c>
      <c r="H145" s="12">
        <v>2900000000</v>
      </c>
      <c r="I145">
        <v>0</v>
      </c>
      <c r="J145">
        <v>282.025</v>
      </c>
      <c r="K145">
        <f t="shared" si="28"/>
        <v>73958375321.3368</v>
      </c>
      <c r="L145">
        <f t="shared" si="29"/>
        <v>119746685559.791</v>
      </c>
      <c r="M145">
        <f t="shared" si="30"/>
        <v>116325048080.844</v>
      </c>
      <c r="N145">
        <f t="shared" si="31"/>
        <v>3081598971.72237</v>
      </c>
    </row>
    <row r="146" spans="1:14">
      <c r="A146">
        <v>2022</v>
      </c>
      <c r="B146" s="13" t="s">
        <v>22</v>
      </c>
      <c r="C146" s="11">
        <f>16.56*1000000000</f>
        <v>16560000000</v>
      </c>
      <c r="D146" s="11">
        <f>-232.8*1000000</f>
        <v>-232800000</v>
      </c>
      <c r="E146" s="12">
        <f t="shared" si="34"/>
        <v>112690000000</v>
      </c>
      <c r="F146" s="12">
        <f t="shared" si="35"/>
        <v>-311690000</v>
      </c>
      <c r="G146" s="12">
        <v>109470000000</v>
      </c>
      <c r="H146" s="12">
        <v>2900000000</v>
      </c>
      <c r="I146">
        <v>0</v>
      </c>
      <c r="J146">
        <v>282.025</v>
      </c>
      <c r="K146">
        <f t="shared" si="28"/>
        <v>17596992748.8698</v>
      </c>
      <c r="L146">
        <f t="shared" si="29"/>
        <v>119746685559.791</v>
      </c>
      <c r="M146">
        <f t="shared" si="30"/>
        <v>116325048080.844</v>
      </c>
      <c r="N146">
        <f t="shared" si="31"/>
        <v>3081598971.72237</v>
      </c>
    </row>
    <row r="147" spans="1:14">
      <c r="A147">
        <v>2022</v>
      </c>
      <c r="B147" s="13" t="s">
        <v>21</v>
      </c>
      <c r="C147" s="11">
        <f>677.81*1000000</f>
        <v>677810000</v>
      </c>
      <c r="D147" s="11">
        <f>-62.99*1000000</f>
        <v>-62990000</v>
      </c>
      <c r="E147" s="12">
        <f t="shared" si="34"/>
        <v>112690000000</v>
      </c>
      <c r="F147" s="12">
        <f t="shared" si="35"/>
        <v>-311690000</v>
      </c>
      <c r="G147" s="12">
        <v>109470000000</v>
      </c>
      <c r="H147" s="12">
        <v>2900000000</v>
      </c>
      <c r="I147">
        <v>0</v>
      </c>
      <c r="J147">
        <v>282.025</v>
      </c>
      <c r="K147">
        <f t="shared" si="28"/>
        <v>720254689.318323</v>
      </c>
      <c r="L147">
        <f t="shared" si="29"/>
        <v>119746685559.791</v>
      </c>
      <c r="M147">
        <f t="shared" si="30"/>
        <v>116325048080.844</v>
      </c>
      <c r="N147">
        <f t="shared" si="31"/>
        <v>3081598971.72237</v>
      </c>
    </row>
    <row r="148" spans="1:14">
      <c r="A148">
        <v>2022</v>
      </c>
      <c r="B148" s="13" t="s">
        <v>19</v>
      </c>
      <c r="C148" s="11">
        <f>1.13*1000000000</f>
        <v>1130000000</v>
      </c>
      <c r="D148" s="11">
        <f>-60.33*1000000</f>
        <v>-60330000</v>
      </c>
      <c r="E148" s="12">
        <f t="shared" si="34"/>
        <v>112690000000</v>
      </c>
      <c r="F148" s="12">
        <f t="shared" si="35"/>
        <v>-311690000</v>
      </c>
      <c r="G148" s="12">
        <v>109470000000</v>
      </c>
      <c r="H148" s="12">
        <v>2900000000</v>
      </c>
      <c r="I148">
        <v>0</v>
      </c>
      <c r="J148">
        <v>282.025</v>
      </c>
      <c r="K148">
        <f t="shared" si="28"/>
        <v>1200760978.63665</v>
      </c>
      <c r="L148">
        <f t="shared" si="29"/>
        <v>119746685559.791</v>
      </c>
      <c r="M148">
        <f t="shared" si="30"/>
        <v>116325048080.844</v>
      </c>
      <c r="N148">
        <f t="shared" si="31"/>
        <v>3081598971.72237</v>
      </c>
    </row>
    <row r="149" spans="1:14">
      <c r="A149">
        <v>2022</v>
      </c>
      <c r="B149" s="13" t="s">
        <v>20</v>
      </c>
      <c r="C149" s="11">
        <f>-34.85*1000000</f>
        <v>-34850000</v>
      </c>
      <c r="D149" s="11">
        <f>-40.15*1000000</f>
        <v>-40150000</v>
      </c>
      <c r="E149" s="12">
        <f t="shared" si="34"/>
        <v>112690000000</v>
      </c>
      <c r="F149" s="12">
        <f t="shared" si="35"/>
        <v>-311690000</v>
      </c>
      <c r="G149" s="12">
        <v>109470000000</v>
      </c>
      <c r="H149" s="12">
        <v>2900000000</v>
      </c>
      <c r="I149">
        <v>0</v>
      </c>
      <c r="J149">
        <v>282.025</v>
      </c>
      <c r="K149">
        <f t="shared" si="28"/>
        <v>-37032318.6774222</v>
      </c>
      <c r="L149">
        <f t="shared" si="29"/>
        <v>119746685559.791</v>
      </c>
      <c r="M149">
        <f t="shared" si="30"/>
        <v>116325048080.844</v>
      </c>
      <c r="N149">
        <f t="shared" si="31"/>
        <v>3081598971.72237</v>
      </c>
    </row>
    <row r="150" spans="1:14">
      <c r="A150">
        <v>2022</v>
      </c>
      <c r="B150" s="13" t="s">
        <v>24</v>
      </c>
      <c r="C150" s="11">
        <f>1.23*1000000000</f>
        <v>1230000000</v>
      </c>
      <c r="D150" s="11">
        <f>-25.84*1000000</f>
        <v>-25840000</v>
      </c>
      <c r="E150" s="12">
        <f t="shared" si="34"/>
        <v>112690000000</v>
      </c>
      <c r="F150" s="12">
        <f t="shared" si="35"/>
        <v>-311690000</v>
      </c>
      <c r="G150" s="12">
        <v>109470000000</v>
      </c>
      <c r="H150" s="12">
        <v>2900000000</v>
      </c>
      <c r="I150">
        <v>0</v>
      </c>
      <c r="J150">
        <v>282.025</v>
      </c>
      <c r="K150">
        <f t="shared" si="28"/>
        <v>1307023012.14431</v>
      </c>
      <c r="L150">
        <f t="shared" si="29"/>
        <v>119746685559.791</v>
      </c>
      <c r="M150">
        <f t="shared" si="30"/>
        <v>116325048080.844</v>
      </c>
      <c r="N150">
        <f t="shared" si="31"/>
        <v>3081598971.72237</v>
      </c>
    </row>
    <row r="151" spans="1:14">
      <c r="A151">
        <v>2022</v>
      </c>
      <c r="B151" s="13" t="s">
        <v>26</v>
      </c>
      <c r="C151" s="11">
        <f>651.2*1000000</f>
        <v>651200000</v>
      </c>
      <c r="D151" s="11">
        <f>-10.82*1000000</f>
        <v>-10820000</v>
      </c>
      <c r="E151" s="12">
        <f t="shared" si="34"/>
        <v>112690000000</v>
      </c>
      <c r="F151" s="12">
        <f t="shared" si="35"/>
        <v>-311690000</v>
      </c>
      <c r="G151" s="12">
        <v>109470000000</v>
      </c>
      <c r="H151" s="12">
        <v>2900000000</v>
      </c>
      <c r="I151">
        <v>0</v>
      </c>
      <c r="J151">
        <v>282.025</v>
      </c>
      <c r="K151">
        <f t="shared" si="28"/>
        <v>691978362.201933</v>
      </c>
      <c r="L151">
        <f t="shared" si="29"/>
        <v>119746685559.791</v>
      </c>
      <c r="M151">
        <f t="shared" si="30"/>
        <v>116325048080.844</v>
      </c>
      <c r="N151">
        <f t="shared" si="31"/>
        <v>3081598971.72237</v>
      </c>
    </row>
    <row r="152" spans="1:14">
      <c r="A152">
        <v>2022</v>
      </c>
      <c r="B152" s="13" t="s">
        <v>16</v>
      </c>
      <c r="C152" s="11">
        <f>16.02*1000000</f>
        <v>16020000</v>
      </c>
      <c r="D152" s="11">
        <f>-3.34*1000000</f>
        <v>-3340000</v>
      </c>
      <c r="E152" s="12">
        <f t="shared" si="34"/>
        <v>112690000000</v>
      </c>
      <c r="F152" s="12">
        <f t="shared" si="35"/>
        <v>-311690000</v>
      </c>
      <c r="G152" s="12">
        <v>109470000000</v>
      </c>
      <c r="H152" s="12">
        <v>2900000000</v>
      </c>
      <c r="I152">
        <v>0</v>
      </c>
      <c r="J152">
        <v>282.025</v>
      </c>
      <c r="K152">
        <f t="shared" si="28"/>
        <v>17023177.7679284</v>
      </c>
      <c r="L152">
        <f t="shared" si="29"/>
        <v>119746685559.791</v>
      </c>
      <c r="M152">
        <f t="shared" si="30"/>
        <v>116325048080.844</v>
      </c>
      <c r="N152">
        <f t="shared" si="31"/>
        <v>3081598971.72237</v>
      </c>
    </row>
    <row r="153" spans="1:14">
      <c r="A153">
        <v>2022</v>
      </c>
      <c r="B153" s="13" t="s">
        <v>15</v>
      </c>
      <c r="C153" s="11">
        <f>654.66*1000000</f>
        <v>654660000</v>
      </c>
      <c r="D153" s="11">
        <v>-0.93</v>
      </c>
      <c r="E153" s="12">
        <f t="shared" si="34"/>
        <v>112690000000</v>
      </c>
      <c r="F153" s="12">
        <f t="shared" si="35"/>
        <v>-311690000</v>
      </c>
      <c r="G153" s="12">
        <v>109470000000</v>
      </c>
      <c r="H153" s="12">
        <v>2900000000</v>
      </c>
      <c r="I153">
        <v>0</v>
      </c>
      <c r="J153">
        <v>282.025</v>
      </c>
      <c r="K153">
        <f t="shared" si="28"/>
        <v>695655028.561298</v>
      </c>
      <c r="L153">
        <f t="shared" si="29"/>
        <v>119746685559.791</v>
      </c>
      <c r="M153">
        <f t="shared" si="30"/>
        <v>116325048080.844</v>
      </c>
      <c r="N153">
        <f t="shared" si="31"/>
        <v>3081598971.72237</v>
      </c>
    </row>
    <row r="154" spans="1:14">
      <c r="A154">
        <v>2022</v>
      </c>
      <c r="B154" s="13" t="s">
        <v>14</v>
      </c>
      <c r="C154" s="11">
        <v>0</v>
      </c>
      <c r="D154" s="11">
        <v>0</v>
      </c>
      <c r="E154" s="12">
        <f t="shared" si="34"/>
        <v>112690000000</v>
      </c>
      <c r="F154" s="12">
        <f t="shared" si="35"/>
        <v>-311690000</v>
      </c>
      <c r="G154" s="12">
        <v>109470000000</v>
      </c>
      <c r="H154" s="12">
        <v>2900000000</v>
      </c>
      <c r="I154">
        <v>0</v>
      </c>
      <c r="J154">
        <v>282.025</v>
      </c>
      <c r="K154">
        <f t="shared" si="28"/>
        <v>0</v>
      </c>
      <c r="L154">
        <f t="shared" si="29"/>
        <v>119746685559.791</v>
      </c>
      <c r="M154">
        <f t="shared" si="30"/>
        <v>116325048080.844</v>
      </c>
      <c r="N154">
        <f t="shared" si="31"/>
        <v>3081598971.72237</v>
      </c>
    </row>
    <row r="155" spans="1:14">
      <c r="A155">
        <v>2022</v>
      </c>
      <c r="B155" s="13" t="s">
        <v>18</v>
      </c>
      <c r="C155" s="11">
        <f>4.92*1000000000</f>
        <v>4920000000</v>
      </c>
      <c r="D155" s="11">
        <f>174.35*1000000</f>
        <v>174350000</v>
      </c>
      <c r="E155" s="12">
        <f t="shared" si="34"/>
        <v>112690000000</v>
      </c>
      <c r="F155" s="12">
        <f t="shared" si="35"/>
        <v>-311690000</v>
      </c>
      <c r="G155" s="12">
        <v>109470000000</v>
      </c>
      <c r="H155" s="12">
        <v>2900000000</v>
      </c>
      <c r="I155">
        <v>0</v>
      </c>
      <c r="J155">
        <v>282.025</v>
      </c>
      <c r="K155">
        <f t="shared" si="28"/>
        <v>5228092048.57725</v>
      </c>
      <c r="L155">
        <f t="shared" si="29"/>
        <v>119746685559.791</v>
      </c>
      <c r="M155">
        <f t="shared" si="30"/>
        <v>116325048080.844</v>
      </c>
      <c r="N155">
        <f t="shared" si="31"/>
        <v>3081598971.72237</v>
      </c>
    </row>
    <row r="156" spans="1:14">
      <c r="A156">
        <v>2022</v>
      </c>
      <c r="B156" s="13" t="s">
        <v>17</v>
      </c>
      <c r="C156" s="11">
        <f>498.4*1000000</f>
        <v>498400000</v>
      </c>
      <c r="D156" s="11">
        <f>294*1000000</f>
        <v>294000000</v>
      </c>
      <c r="E156" s="12">
        <f t="shared" si="34"/>
        <v>112690000000</v>
      </c>
      <c r="F156" s="12">
        <f t="shared" si="35"/>
        <v>-311690000</v>
      </c>
      <c r="G156" s="12">
        <v>109470000000</v>
      </c>
      <c r="H156" s="12">
        <v>2900000000</v>
      </c>
      <c r="I156">
        <v>0</v>
      </c>
      <c r="J156">
        <v>282.025</v>
      </c>
      <c r="K156">
        <f t="shared" si="28"/>
        <v>529609975.002216</v>
      </c>
      <c r="L156">
        <f t="shared" si="29"/>
        <v>119746685559.791</v>
      </c>
      <c r="M156">
        <f t="shared" si="30"/>
        <v>116325048080.844</v>
      </c>
      <c r="N156">
        <f t="shared" si="31"/>
        <v>3081598971.72237</v>
      </c>
    </row>
    <row r="157" spans="1:14">
      <c r="A157">
        <v>2022</v>
      </c>
      <c r="B157" s="13" t="s">
        <v>23</v>
      </c>
      <c r="C157" s="11">
        <f>16.79*1000000000</f>
        <v>16790000000</v>
      </c>
      <c r="D157" s="11">
        <f>685.78*1000000</f>
        <v>685780000</v>
      </c>
      <c r="E157" s="12">
        <f t="shared" si="34"/>
        <v>112690000000</v>
      </c>
      <c r="F157" s="12">
        <f t="shared" si="35"/>
        <v>-311690000</v>
      </c>
      <c r="G157" s="12">
        <v>109470000000</v>
      </c>
      <c r="H157" s="12">
        <v>2900000000</v>
      </c>
      <c r="I157">
        <v>0</v>
      </c>
      <c r="J157">
        <v>282.025</v>
      </c>
      <c r="K157">
        <f t="shared" si="28"/>
        <v>17841395425.9374</v>
      </c>
      <c r="L157">
        <f t="shared" si="29"/>
        <v>119746685559.791</v>
      </c>
      <c r="M157">
        <f t="shared" si="30"/>
        <v>116325048080.844</v>
      </c>
      <c r="N157">
        <f t="shared" si="31"/>
        <v>3081598971.72237</v>
      </c>
    </row>
    <row r="158" spans="1:14">
      <c r="A158">
        <v>2023</v>
      </c>
      <c r="B158" s="13" t="s">
        <v>25</v>
      </c>
      <c r="C158" s="11">
        <f>73.44*1000000000</f>
        <v>73440000000</v>
      </c>
      <c r="D158" s="11">
        <f>-458.41*1000000</f>
        <v>-458410000</v>
      </c>
      <c r="E158" s="12">
        <f t="shared" ref="E158:E170" si="36">113.99*1000000000</f>
        <v>113990000000</v>
      </c>
      <c r="F158" s="12">
        <f t="shared" ref="F158:F170" si="37">-1.1*1000000000</f>
        <v>-1100000000</v>
      </c>
      <c r="G158" s="12">
        <f t="shared" ref="G158:G170" si="38">112.02*1000000000</f>
        <v>112020000000</v>
      </c>
      <c r="H158" s="12">
        <f t="shared" ref="H158:H170" si="39">867.67*0.001*1000000000</f>
        <v>867670000</v>
      </c>
      <c r="I158">
        <v>0</v>
      </c>
      <c r="J158">
        <v>299.6855</v>
      </c>
      <c r="K158">
        <f t="shared" si="28"/>
        <v>73440000000</v>
      </c>
      <c r="L158">
        <f t="shared" si="29"/>
        <v>113990000000</v>
      </c>
      <c r="M158">
        <f t="shared" si="30"/>
        <v>112020000000</v>
      </c>
      <c r="N158">
        <f t="shared" si="31"/>
        <v>867670000</v>
      </c>
    </row>
    <row r="159" spans="1:14">
      <c r="A159">
        <v>2023</v>
      </c>
      <c r="B159" s="13" t="s">
        <v>23</v>
      </c>
      <c r="C159" s="11">
        <f>11.42*1000000000</f>
        <v>11420000000</v>
      </c>
      <c r="D159" s="11">
        <f>-386.22*1000000</f>
        <v>-386220000</v>
      </c>
      <c r="E159" s="12">
        <f t="shared" si="36"/>
        <v>113990000000</v>
      </c>
      <c r="F159" s="12">
        <f t="shared" si="37"/>
        <v>-1100000000</v>
      </c>
      <c r="G159" s="12">
        <f t="shared" si="38"/>
        <v>112020000000</v>
      </c>
      <c r="H159" s="12">
        <f t="shared" si="39"/>
        <v>867670000</v>
      </c>
      <c r="I159">
        <v>0</v>
      </c>
      <c r="J159">
        <v>299.6855</v>
      </c>
      <c r="K159">
        <f t="shared" si="28"/>
        <v>11420000000</v>
      </c>
      <c r="L159">
        <f t="shared" si="29"/>
        <v>113990000000</v>
      </c>
      <c r="M159">
        <f t="shared" si="30"/>
        <v>112020000000</v>
      </c>
      <c r="N159">
        <f t="shared" si="31"/>
        <v>867670000</v>
      </c>
    </row>
    <row r="160" spans="1:14">
      <c r="A160">
        <v>2023</v>
      </c>
      <c r="B160" s="13" t="s">
        <v>21</v>
      </c>
      <c r="C160" s="11">
        <f>1.14*1000000000</f>
        <v>1140000000</v>
      </c>
      <c r="D160" s="11">
        <f>-357.97*1000000</f>
        <v>-357970000</v>
      </c>
      <c r="E160" s="12">
        <f t="shared" si="36"/>
        <v>113990000000</v>
      </c>
      <c r="F160" s="12">
        <f t="shared" si="37"/>
        <v>-1100000000</v>
      </c>
      <c r="G160" s="12">
        <f t="shared" si="38"/>
        <v>112020000000</v>
      </c>
      <c r="H160" s="12">
        <f t="shared" si="39"/>
        <v>867670000</v>
      </c>
      <c r="I160">
        <v>0</v>
      </c>
      <c r="J160">
        <v>299.6855</v>
      </c>
      <c r="K160">
        <f t="shared" si="28"/>
        <v>1140000000</v>
      </c>
      <c r="L160">
        <f t="shared" si="29"/>
        <v>113990000000</v>
      </c>
      <c r="M160">
        <f t="shared" si="30"/>
        <v>112020000000</v>
      </c>
      <c r="N160">
        <f t="shared" si="31"/>
        <v>867670000</v>
      </c>
    </row>
    <row r="161" spans="1:14">
      <c r="A161">
        <v>2023</v>
      </c>
      <c r="B161" s="13" t="s">
        <v>22</v>
      </c>
      <c r="C161" s="11">
        <f>18.09*1000000000</f>
        <v>18090000000</v>
      </c>
      <c r="D161" s="11">
        <f>-120.56*1000000</f>
        <v>-120560000</v>
      </c>
      <c r="E161" s="12">
        <f t="shared" si="36"/>
        <v>113990000000</v>
      </c>
      <c r="F161" s="12">
        <f t="shared" si="37"/>
        <v>-1100000000</v>
      </c>
      <c r="G161" s="12">
        <f t="shared" si="38"/>
        <v>112020000000</v>
      </c>
      <c r="H161" s="12">
        <f t="shared" si="39"/>
        <v>867670000</v>
      </c>
      <c r="I161">
        <v>0</v>
      </c>
      <c r="J161">
        <v>299.6855</v>
      </c>
      <c r="K161">
        <f t="shared" si="28"/>
        <v>18090000000</v>
      </c>
      <c r="L161">
        <f t="shared" si="29"/>
        <v>113990000000</v>
      </c>
      <c r="M161">
        <f t="shared" si="30"/>
        <v>112020000000</v>
      </c>
      <c r="N161">
        <f t="shared" si="31"/>
        <v>867670000</v>
      </c>
    </row>
    <row r="162" spans="1:14">
      <c r="A162">
        <v>2023</v>
      </c>
      <c r="B162" s="13" t="s">
        <v>19</v>
      </c>
      <c r="C162" s="11">
        <f>1.11*1000000000</f>
        <v>1110000000</v>
      </c>
      <c r="D162" s="11">
        <f>-97.88*1000000</f>
        <v>-97880000</v>
      </c>
      <c r="E162" s="12">
        <f t="shared" si="36"/>
        <v>113990000000</v>
      </c>
      <c r="F162" s="12">
        <f t="shared" si="37"/>
        <v>-1100000000</v>
      </c>
      <c r="G162" s="12">
        <f t="shared" si="38"/>
        <v>112020000000</v>
      </c>
      <c r="H162" s="12">
        <f t="shared" si="39"/>
        <v>867670000</v>
      </c>
      <c r="I162">
        <v>0</v>
      </c>
      <c r="J162">
        <v>299.6855</v>
      </c>
      <c r="K162">
        <f t="shared" si="28"/>
        <v>1110000000</v>
      </c>
      <c r="L162">
        <f t="shared" si="29"/>
        <v>113990000000</v>
      </c>
      <c r="M162">
        <f t="shared" si="30"/>
        <v>112020000000</v>
      </c>
      <c r="N162">
        <f t="shared" si="31"/>
        <v>867670000</v>
      </c>
    </row>
    <row r="163" spans="1:14">
      <c r="A163">
        <v>2023</v>
      </c>
      <c r="B163" s="13" t="s">
        <v>16</v>
      </c>
      <c r="C163" s="11">
        <f>508.14*1000000</f>
        <v>508140000</v>
      </c>
      <c r="D163" s="11">
        <f>-31.05*1000000</f>
        <v>-31050000</v>
      </c>
      <c r="E163" s="12">
        <f t="shared" si="36"/>
        <v>113990000000</v>
      </c>
      <c r="F163" s="12">
        <f t="shared" si="37"/>
        <v>-1100000000</v>
      </c>
      <c r="G163" s="12">
        <f t="shared" si="38"/>
        <v>112020000000</v>
      </c>
      <c r="H163" s="12">
        <f t="shared" si="39"/>
        <v>867670000</v>
      </c>
      <c r="I163">
        <v>0</v>
      </c>
      <c r="J163">
        <v>299.6855</v>
      </c>
      <c r="K163">
        <f t="shared" si="28"/>
        <v>508140000</v>
      </c>
      <c r="L163">
        <f t="shared" si="29"/>
        <v>113990000000</v>
      </c>
      <c r="M163">
        <f t="shared" si="30"/>
        <v>112020000000</v>
      </c>
      <c r="N163">
        <f t="shared" si="31"/>
        <v>867670000</v>
      </c>
    </row>
    <row r="164" spans="1:14">
      <c r="A164">
        <v>2023</v>
      </c>
      <c r="B164" s="13" t="s">
        <v>15</v>
      </c>
      <c r="C164" s="11">
        <f>698.52*1000000</f>
        <v>698520000</v>
      </c>
      <c r="D164" s="11">
        <f>-3.64*1000000</f>
        <v>-3640000</v>
      </c>
      <c r="E164" s="12">
        <f t="shared" si="36"/>
        <v>113990000000</v>
      </c>
      <c r="F164" s="12">
        <f t="shared" si="37"/>
        <v>-1100000000</v>
      </c>
      <c r="G164" s="12">
        <f t="shared" si="38"/>
        <v>112020000000</v>
      </c>
      <c r="H164" s="12">
        <f t="shared" si="39"/>
        <v>867670000</v>
      </c>
      <c r="I164">
        <v>0</v>
      </c>
      <c r="J164">
        <v>299.6855</v>
      </c>
      <c r="K164">
        <f t="shared" si="28"/>
        <v>698520000</v>
      </c>
      <c r="L164">
        <f t="shared" si="29"/>
        <v>113990000000</v>
      </c>
      <c r="M164">
        <f t="shared" si="30"/>
        <v>112020000000</v>
      </c>
      <c r="N164">
        <f t="shared" si="31"/>
        <v>867670000</v>
      </c>
    </row>
    <row r="165" spans="1:14">
      <c r="A165">
        <v>2023</v>
      </c>
      <c r="B165" s="13" t="s">
        <v>20</v>
      </c>
      <c r="C165" s="11">
        <f>-13.37*1000000</f>
        <v>-13370000</v>
      </c>
      <c r="D165" s="11">
        <f>-1.63*1000000</f>
        <v>-1630000</v>
      </c>
      <c r="E165" s="12">
        <f t="shared" si="36"/>
        <v>113990000000</v>
      </c>
      <c r="F165" s="12">
        <f t="shared" si="37"/>
        <v>-1100000000</v>
      </c>
      <c r="G165" s="12">
        <f t="shared" si="38"/>
        <v>112020000000</v>
      </c>
      <c r="H165" s="12">
        <f t="shared" si="39"/>
        <v>867670000</v>
      </c>
      <c r="I165">
        <v>0</v>
      </c>
      <c r="J165">
        <v>299.6855</v>
      </c>
      <c r="K165">
        <f t="shared" si="28"/>
        <v>-13370000</v>
      </c>
      <c r="L165">
        <f t="shared" si="29"/>
        <v>113990000000</v>
      </c>
      <c r="M165">
        <f t="shared" si="30"/>
        <v>112020000000</v>
      </c>
      <c r="N165">
        <f t="shared" si="31"/>
        <v>867670000</v>
      </c>
    </row>
    <row r="166" spans="1:14">
      <c r="A166">
        <v>2023</v>
      </c>
      <c r="B166" s="13" t="s">
        <v>24</v>
      </c>
      <c r="C166" s="11">
        <f>1.46*1000000000</f>
        <v>1460000000</v>
      </c>
      <c r="D166" s="11">
        <f>-1.22*1000000</f>
        <v>-1220000</v>
      </c>
      <c r="E166" s="12">
        <f t="shared" si="36"/>
        <v>113990000000</v>
      </c>
      <c r="F166" s="12">
        <f t="shared" si="37"/>
        <v>-1100000000</v>
      </c>
      <c r="G166" s="12">
        <f t="shared" si="38"/>
        <v>112020000000</v>
      </c>
      <c r="H166" s="12">
        <f t="shared" si="39"/>
        <v>867670000</v>
      </c>
      <c r="I166">
        <v>0</v>
      </c>
      <c r="J166">
        <v>299.6855</v>
      </c>
      <c r="K166">
        <f t="shared" si="28"/>
        <v>1460000000</v>
      </c>
      <c r="L166">
        <f t="shared" si="29"/>
        <v>113990000000</v>
      </c>
      <c r="M166">
        <f t="shared" si="30"/>
        <v>112020000000</v>
      </c>
      <c r="N166">
        <f t="shared" si="31"/>
        <v>867670000</v>
      </c>
    </row>
    <row r="167" spans="1:14">
      <c r="A167">
        <v>2023</v>
      </c>
      <c r="B167" s="13" t="s">
        <v>14</v>
      </c>
      <c r="C167" s="11">
        <v>0</v>
      </c>
      <c r="D167" s="11">
        <v>0</v>
      </c>
      <c r="E167" s="12">
        <f t="shared" si="36"/>
        <v>113990000000</v>
      </c>
      <c r="F167" s="12">
        <f t="shared" si="37"/>
        <v>-1100000000</v>
      </c>
      <c r="G167" s="12">
        <f t="shared" si="38"/>
        <v>112020000000</v>
      </c>
      <c r="H167" s="12">
        <f t="shared" si="39"/>
        <v>867670000</v>
      </c>
      <c r="I167">
        <v>0</v>
      </c>
      <c r="J167">
        <v>299.6855</v>
      </c>
      <c r="K167">
        <f t="shared" si="28"/>
        <v>0</v>
      </c>
      <c r="L167">
        <f t="shared" si="29"/>
        <v>113990000000</v>
      </c>
      <c r="M167">
        <f t="shared" si="30"/>
        <v>112020000000</v>
      </c>
      <c r="N167">
        <f t="shared" si="31"/>
        <v>867670000</v>
      </c>
    </row>
    <row r="168" spans="1:14">
      <c r="A168">
        <v>2023</v>
      </c>
      <c r="B168" s="13" t="s">
        <v>26</v>
      </c>
      <c r="C168" s="11">
        <f>762.99*1000000</f>
        <v>762990000</v>
      </c>
      <c r="D168" s="11">
        <f>3.5*1000000</f>
        <v>3500000</v>
      </c>
      <c r="E168" s="12">
        <f t="shared" si="36"/>
        <v>113990000000</v>
      </c>
      <c r="F168" s="12">
        <f t="shared" si="37"/>
        <v>-1100000000</v>
      </c>
      <c r="G168" s="12">
        <f t="shared" si="38"/>
        <v>112020000000</v>
      </c>
      <c r="H168" s="12">
        <f t="shared" si="39"/>
        <v>867670000</v>
      </c>
      <c r="I168">
        <v>0</v>
      </c>
      <c r="J168">
        <v>299.6855</v>
      </c>
      <c r="K168">
        <f t="shared" si="28"/>
        <v>762990000</v>
      </c>
      <c r="L168">
        <f t="shared" si="29"/>
        <v>113990000000</v>
      </c>
      <c r="M168">
        <f t="shared" si="30"/>
        <v>112020000000</v>
      </c>
      <c r="N168">
        <f t="shared" si="31"/>
        <v>867670000</v>
      </c>
    </row>
    <row r="169" spans="1:14">
      <c r="A169">
        <v>2023</v>
      </c>
      <c r="B169" s="13" t="s">
        <v>17</v>
      </c>
      <c r="C169" s="11">
        <f>186.28*1000000</f>
        <v>186280000</v>
      </c>
      <c r="D169" s="11">
        <f>110.56*1000000</f>
        <v>110560000</v>
      </c>
      <c r="E169" s="12">
        <f t="shared" si="36"/>
        <v>113990000000</v>
      </c>
      <c r="F169" s="12">
        <f t="shared" si="37"/>
        <v>-1100000000</v>
      </c>
      <c r="G169" s="12">
        <f t="shared" si="38"/>
        <v>112020000000</v>
      </c>
      <c r="H169" s="12">
        <f t="shared" si="39"/>
        <v>867670000</v>
      </c>
      <c r="I169">
        <v>0</v>
      </c>
      <c r="J169">
        <v>299.6855</v>
      </c>
      <c r="K169">
        <f t="shared" si="28"/>
        <v>186280000</v>
      </c>
      <c r="L169">
        <f t="shared" si="29"/>
        <v>113990000000</v>
      </c>
      <c r="M169">
        <f t="shared" si="30"/>
        <v>112020000000</v>
      </c>
      <c r="N169">
        <f t="shared" si="31"/>
        <v>867670000</v>
      </c>
    </row>
    <row r="170" spans="1:14">
      <c r="A170">
        <v>2023</v>
      </c>
      <c r="B170" s="13" t="s">
        <v>18</v>
      </c>
      <c r="C170" s="11">
        <f>5.19*1000000000</f>
        <v>5190000000</v>
      </c>
      <c r="D170" s="11">
        <f>239.99*1000000</f>
        <v>239990000</v>
      </c>
      <c r="E170" s="12">
        <f t="shared" si="36"/>
        <v>113990000000</v>
      </c>
      <c r="F170" s="12">
        <f t="shared" si="37"/>
        <v>-1100000000</v>
      </c>
      <c r="G170" s="12">
        <f t="shared" si="38"/>
        <v>112020000000</v>
      </c>
      <c r="H170" s="12">
        <f t="shared" si="39"/>
        <v>867670000</v>
      </c>
      <c r="I170">
        <v>0</v>
      </c>
      <c r="J170">
        <v>299.6855</v>
      </c>
      <c r="K170">
        <f t="shared" si="28"/>
        <v>5190000000</v>
      </c>
      <c r="L170">
        <f t="shared" si="29"/>
        <v>113990000000</v>
      </c>
      <c r="M170">
        <f t="shared" si="30"/>
        <v>112020000000</v>
      </c>
      <c r="N170">
        <f t="shared" si="31"/>
        <v>867670000</v>
      </c>
    </row>
    <row r="171" customFormat="1" spans="1:14">
      <c r="A171">
        <v>2011</v>
      </c>
      <c r="B171" s="13" t="s">
        <v>14</v>
      </c>
      <c r="C171" s="11">
        <v>0</v>
      </c>
      <c r="D171" s="11">
        <v>0</v>
      </c>
      <c r="E171" s="12">
        <f t="shared" ref="E171:E183" si="40">68.25*1000000000</f>
        <v>68250000000</v>
      </c>
      <c r="F171" s="12">
        <f t="shared" ref="F171:F183" si="41">458.82*1000000</f>
        <v>458820000</v>
      </c>
      <c r="G171" s="12">
        <v>68240000000</v>
      </c>
      <c r="H171">
        <v>469590000</v>
      </c>
      <c r="I171">
        <v>200</v>
      </c>
      <c r="J171">
        <v>221.237</v>
      </c>
      <c r="K171">
        <f t="shared" si="28"/>
        <v>0</v>
      </c>
      <c r="L171">
        <f t="shared" si="29"/>
        <v>92450789763.9183</v>
      </c>
      <c r="M171">
        <f t="shared" si="30"/>
        <v>92437243860.6562</v>
      </c>
      <c r="N171">
        <f t="shared" si="31"/>
        <v>636102071.285545</v>
      </c>
    </row>
    <row r="172" customFormat="1" spans="1:14">
      <c r="A172">
        <v>2011</v>
      </c>
      <c r="B172" s="13" t="s">
        <v>15</v>
      </c>
      <c r="C172" s="11">
        <f>561.48*1000000</f>
        <v>561480000</v>
      </c>
      <c r="D172" s="11">
        <f>8.6*1000</f>
        <v>8600</v>
      </c>
      <c r="E172" s="12">
        <f t="shared" si="40"/>
        <v>68250000000</v>
      </c>
      <c r="F172" s="12">
        <f t="shared" si="41"/>
        <v>458820000</v>
      </c>
      <c r="G172" s="12">
        <v>68240000000</v>
      </c>
      <c r="H172">
        <v>469590000</v>
      </c>
      <c r="I172">
        <v>200</v>
      </c>
      <c r="J172">
        <v>221.237</v>
      </c>
      <c r="K172">
        <f t="shared" si="28"/>
        <v>760575376.361097</v>
      </c>
      <c r="L172">
        <f t="shared" si="29"/>
        <v>92450789763.9183</v>
      </c>
      <c r="M172">
        <f t="shared" si="30"/>
        <v>92437243860.6562</v>
      </c>
      <c r="N172">
        <f t="shared" si="31"/>
        <v>636102071.285545</v>
      </c>
    </row>
    <row r="173" customFormat="1" spans="1:14">
      <c r="A173">
        <v>2011</v>
      </c>
      <c r="B173" s="13" t="s">
        <v>16</v>
      </c>
      <c r="C173" s="11">
        <f>20.79*1000000</f>
        <v>20790000</v>
      </c>
      <c r="D173" s="11">
        <f>1.44*1000000</f>
        <v>1440000</v>
      </c>
      <c r="E173" s="12">
        <f t="shared" si="40"/>
        <v>68250000000</v>
      </c>
      <c r="F173" s="12">
        <f t="shared" si="41"/>
        <v>458820000</v>
      </c>
      <c r="G173" s="12">
        <v>68240000000</v>
      </c>
      <c r="H173">
        <v>469590000</v>
      </c>
      <c r="I173">
        <v>200</v>
      </c>
      <c r="J173">
        <v>221.237</v>
      </c>
      <c r="K173">
        <f t="shared" si="28"/>
        <v>28161932.881932</v>
      </c>
      <c r="L173">
        <f t="shared" si="29"/>
        <v>92450789763.9183</v>
      </c>
      <c r="M173">
        <f t="shared" si="30"/>
        <v>92437243860.6562</v>
      </c>
      <c r="N173">
        <f t="shared" si="31"/>
        <v>636102071.285545</v>
      </c>
    </row>
    <row r="174" customFormat="1" spans="1:14">
      <c r="A174">
        <v>2011</v>
      </c>
      <c r="B174" s="13" t="s">
        <v>17</v>
      </c>
      <c r="C174" s="11">
        <f>39*1000000</f>
        <v>39000000</v>
      </c>
      <c r="D174" s="11">
        <f>12.41*1000000</f>
        <v>12410000</v>
      </c>
      <c r="E174" s="12">
        <f t="shared" si="40"/>
        <v>68250000000</v>
      </c>
      <c r="F174" s="12">
        <f t="shared" si="41"/>
        <v>458820000</v>
      </c>
      <c r="G174" s="12">
        <v>68240000000</v>
      </c>
      <c r="H174">
        <v>469590000</v>
      </c>
      <c r="I174">
        <v>200</v>
      </c>
      <c r="J174">
        <v>221.237</v>
      </c>
      <c r="K174">
        <f t="shared" si="28"/>
        <v>52829022.722239</v>
      </c>
      <c r="L174">
        <f t="shared" si="29"/>
        <v>92450789763.9183</v>
      </c>
      <c r="M174">
        <f t="shared" si="30"/>
        <v>92437243860.6562</v>
      </c>
      <c r="N174">
        <f t="shared" si="31"/>
        <v>636102071.285545</v>
      </c>
    </row>
    <row r="175" customFormat="1" spans="1:14">
      <c r="A175">
        <v>2011</v>
      </c>
      <c r="B175" s="13" t="s">
        <v>18</v>
      </c>
      <c r="C175" s="11">
        <f>4.2*1000000000</f>
        <v>4200000000</v>
      </c>
      <c r="D175" s="11">
        <f>19.85*1000000</f>
        <v>19850000</v>
      </c>
      <c r="E175" s="12">
        <f t="shared" si="40"/>
        <v>68250000000</v>
      </c>
      <c r="F175" s="12">
        <f t="shared" si="41"/>
        <v>458820000</v>
      </c>
      <c r="G175" s="12">
        <v>68240000000</v>
      </c>
      <c r="H175">
        <v>469590000</v>
      </c>
      <c r="I175">
        <v>200</v>
      </c>
      <c r="J175">
        <v>221.237</v>
      </c>
      <c r="K175">
        <f t="shared" si="28"/>
        <v>5689279370.08728</v>
      </c>
      <c r="L175">
        <f t="shared" si="29"/>
        <v>92450789763.9183</v>
      </c>
      <c r="M175">
        <f t="shared" si="30"/>
        <v>92437243860.6562</v>
      </c>
      <c r="N175">
        <f t="shared" si="31"/>
        <v>636102071.285545</v>
      </c>
    </row>
    <row r="176" customFormat="1" spans="1:14">
      <c r="A176">
        <v>2011</v>
      </c>
      <c r="B176" s="13" t="s">
        <v>19</v>
      </c>
      <c r="C176" s="11">
        <f>1.53*1000000000</f>
        <v>1530000000</v>
      </c>
      <c r="D176" s="11">
        <f>51.39*1000000</f>
        <v>51390000</v>
      </c>
      <c r="E176" s="12">
        <f t="shared" si="40"/>
        <v>68250000000</v>
      </c>
      <c r="F176" s="12">
        <f t="shared" si="41"/>
        <v>458820000</v>
      </c>
      <c r="G176" s="12">
        <v>68240000000</v>
      </c>
      <c r="H176">
        <v>469590000</v>
      </c>
      <c r="I176">
        <v>200</v>
      </c>
      <c r="J176">
        <v>221.237</v>
      </c>
      <c r="K176">
        <f t="shared" si="28"/>
        <v>2072523199.10322</v>
      </c>
      <c r="L176">
        <f t="shared" si="29"/>
        <v>92450789763.9183</v>
      </c>
      <c r="M176">
        <f t="shared" si="30"/>
        <v>92437243860.6562</v>
      </c>
      <c r="N176">
        <f t="shared" si="31"/>
        <v>636102071.285545</v>
      </c>
    </row>
    <row r="177" customFormat="1" spans="1:14">
      <c r="A177">
        <v>2011</v>
      </c>
      <c r="B177" s="13" t="s">
        <v>20</v>
      </c>
      <c r="C177" s="11">
        <f>-111.66*1000000</f>
        <v>-111660000</v>
      </c>
      <c r="D177" s="11">
        <f>96.66*1000000</f>
        <v>96660000</v>
      </c>
      <c r="E177" s="12">
        <f t="shared" si="40"/>
        <v>68250000000</v>
      </c>
      <c r="F177" s="12">
        <f t="shared" si="41"/>
        <v>458820000</v>
      </c>
      <c r="G177" s="12">
        <v>68240000000</v>
      </c>
      <c r="H177">
        <v>469590000</v>
      </c>
      <c r="I177">
        <v>200</v>
      </c>
      <c r="J177">
        <v>221.237</v>
      </c>
      <c r="K177">
        <f t="shared" si="28"/>
        <v>-151253555.824749</v>
      </c>
      <c r="L177">
        <f t="shared" si="29"/>
        <v>92450789763.9183</v>
      </c>
      <c r="M177">
        <f t="shared" si="30"/>
        <v>92437243860.6562</v>
      </c>
      <c r="N177">
        <f t="shared" si="31"/>
        <v>636102071.285545</v>
      </c>
    </row>
    <row r="178" customFormat="1" spans="1:14">
      <c r="A178">
        <v>2011</v>
      </c>
      <c r="B178" s="13" t="s">
        <v>21</v>
      </c>
      <c r="C178" s="11">
        <f>1.06*1000000000</f>
        <v>1060000000</v>
      </c>
      <c r="D178" s="11">
        <f>108.61*1000000</f>
        <v>108610000</v>
      </c>
      <c r="E178" s="12">
        <f t="shared" si="40"/>
        <v>68250000000</v>
      </c>
      <c r="F178" s="12">
        <f t="shared" si="41"/>
        <v>458820000</v>
      </c>
      <c r="G178" s="12">
        <v>68240000000</v>
      </c>
      <c r="H178">
        <v>469590000</v>
      </c>
      <c r="I178">
        <v>200</v>
      </c>
      <c r="J178">
        <v>221.237</v>
      </c>
      <c r="K178">
        <f t="shared" si="28"/>
        <v>1435865745.78393</v>
      </c>
      <c r="L178">
        <f t="shared" si="29"/>
        <v>92450789763.9183</v>
      </c>
      <c r="M178">
        <f t="shared" si="30"/>
        <v>92437243860.6562</v>
      </c>
      <c r="N178">
        <f t="shared" si="31"/>
        <v>636102071.285545</v>
      </c>
    </row>
    <row r="179" customFormat="1" spans="1:14">
      <c r="A179">
        <v>2011</v>
      </c>
      <c r="B179" s="13" t="s">
        <v>22</v>
      </c>
      <c r="C179" s="11">
        <f>11.33*1000000000</f>
        <v>11330000000</v>
      </c>
      <c r="D179" s="11">
        <f>160.88*1000000</f>
        <v>160880000</v>
      </c>
      <c r="E179" s="12">
        <f t="shared" si="40"/>
        <v>68250000000</v>
      </c>
      <c r="F179" s="12">
        <f t="shared" si="41"/>
        <v>458820000</v>
      </c>
      <c r="G179" s="12">
        <v>68240000000</v>
      </c>
      <c r="H179">
        <v>469590000</v>
      </c>
      <c r="I179">
        <v>200</v>
      </c>
      <c r="J179">
        <v>221.237</v>
      </c>
      <c r="K179">
        <f t="shared" si="28"/>
        <v>15347508395.9735</v>
      </c>
      <c r="L179">
        <f t="shared" si="29"/>
        <v>92450789763.9183</v>
      </c>
      <c r="M179">
        <f t="shared" si="30"/>
        <v>92437243860.6562</v>
      </c>
      <c r="N179">
        <f t="shared" si="31"/>
        <v>636102071.285545</v>
      </c>
    </row>
    <row r="180" customFormat="1" spans="1:14">
      <c r="A180">
        <v>2011</v>
      </c>
      <c r="B180" s="13" t="s">
        <v>23</v>
      </c>
      <c r="C180" s="11">
        <f>7.93*1000000000</f>
        <v>7930000000</v>
      </c>
      <c r="D180" s="11">
        <f>191.79*1000000</f>
        <v>191790000</v>
      </c>
      <c r="E180" s="12">
        <f t="shared" si="40"/>
        <v>68250000000</v>
      </c>
      <c r="F180" s="12">
        <f t="shared" si="41"/>
        <v>458820000</v>
      </c>
      <c r="G180" s="12">
        <v>68240000000</v>
      </c>
      <c r="H180">
        <v>469590000</v>
      </c>
      <c r="I180">
        <v>200</v>
      </c>
      <c r="J180">
        <v>221.237</v>
      </c>
      <c r="K180">
        <f t="shared" si="28"/>
        <v>10741901286.8553</v>
      </c>
      <c r="L180">
        <f t="shared" si="29"/>
        <v>92450789763.9183</v>
      </c>
      <c r="M180">
        <f t="shared" si="30"/>
        <v>92437243860.6562</v>
      </c>
      <c r="N180">
        <f t="shared" si="31"/>
        <v>636102071.285545</v>
      </c>
    </row>
    <row r="181" customFormat="1" spans="1:14">
      <c r="A181">
        <v>2011</v>
      </c>
      <c r="B181" s="13" t="s">
        <v>24</v>
      </c>
      <c r="C181" s="11">
        <f>820.09*1000000</f>
        <v>820090000</v>
      </c>
      <c r="D181" s="11">
        <f>-13.06*1000000</f>
        <v>-13060000</v>
      </c>
      <c r="E181" s="12">
        <f t="shared" si="40"/>
        <v>68250000000</v>
      </c>
      <c r="F181" s="12">
        <f t="shared" si="41"/>
        <v>458820000</v>
      </c>
      <c r="G181" s="12">
        <v>68240000000</v>
      </c>
      <c r="H181">
        <v>469590000</v>
      </c>
      <c r="I181">
        <v>200</v>
      </c>
      <c r="J181">
        <v>221.237</v>
      </c>
      <c r="K181">
        <f t="shared" si="28"/>
        <v>1110885980.62259</v>
      </c>
      <c r="L181">
        <f t="shared" si="29"/>
        <v>92450789763.9183</v>
      </c>
      <c r="M181">
        <f t="shared" si="30"/>
        <v>92437243860.6562</v>
      </c>
      <c r="N181">
        <f t="shared" si="31"/>
        <v>636102071.285545</v>
      </c>
    </row>
    <row r="182" customFormat="1" spans="1:14">
      <c r="A182">
        <v>2011</v>
      </c>
      <c r="B182" s="13" t="s">
        <v>25</v>
      </c>
      <c r="C182" s="11">
        <f>40.35*1000000000</f>
        <v>40350000000</v>
      </c>
      <c r="D182" s="11">
        <f>-168.98*1000000</f>
        <v>-168980000</v>
      </c>
      <c r="E182" s="12">
        <f t="shared" si="40"/>
        <v>68250000000</v>
      </c>
      <c r="F182" s="12">
        <f t="shared" si="41"/>
        <v>458820000</v>
      </c>
      <c r="G182" s="12">
        <v>68240000000</v>
      </c>
      <c r="H182">
        <v>469590000</v>
      </c>
      <c r="I182">
        <v>200</v>
      </c>
      <c r="J182">
        <v>221.237</v>
      </c>
      <c r="K182">
        <f t="shared" si="28"/>
        <v>54657719662.6242</v>
      </c>
      <c r="L182">
        <f t="shared" si="29"/>
        <v>92450789763.9183</v>
      </c>
      <c r="M182">
        <f t="shared" si="30"/>
        <v>92437243860.6562</v>
      </c>
      <c r="N182">
        <f t="shared" si="31"/>
        <v>636102071.285545</v>
      </c>
    </row>
    <row r="183" customFormat="1" spans="1:14">
      <c r="A183">
        <v>2011</v>
      </c>
      <c r="B183" s="13" t="s">
        <v>26</v>
      </c>
      <c r="C183" s="11">
        <f>524.67*1000000</f>
        <v>524670000</v>
      </c>
      <c r="D183" s="11">
        <f>-2.16*1000000</f>
        <v>-2160000</v>
      </c>
      <c r="E183" s="12">
        <f t="shared" si="40"/>
        <v>68250000000</v>
      </c>
      <c r="F183" s="12">
        <f t="shared" si="41"/>
        <v>458820000</v>
      </c>
      <c r="G183" s="12">
        <v>68240000000</v>
      </c>
      <c r="H183">
        <v>469590000</v>
      </c>
      <c r="I183">
        <v>200</v>
      </c>
      <c r="J183">
        <v>221.237</v>
      </c>
      <c r="K183">
        <f t="shared" si="28"/>
        <v>710712906.453261</v>
      </c>
      <c r="L183">
        <f t="shared" si="29"/>
        <v>92450789763.9183</v>
      </c>
      <c r="M183">
        <f t="shared" si="30"/>
        <v>92437243860.6562</v>
      </c>
      <c r="N183">
        <f t="shared" si="31"/>
        <v>636102071.285545</v>
      </c>
    </row>
    <row r="184" customFormat="1" spans="1:14">
      <c r="A184">
        <v>2012</v>
      </c>
      <c r="B184" s="13" t="s">
        <v>17</v>
      </c>
      <c r="C184" s="11">
        <f>25*1000000</f>
        <v>25000000</v>
      </c>
      <c r="D184" s="11">
        <v>0</v>
      </c>
      <c r="E184" s="12">
        <f t="shared" ref="E184:E196" si="42">69.68*1000000000</f>
        <v>69680000000</v>
      </c>
      <c r="F184" s="12">
        <f t="shared" ref="F184:F196" si="43">506.41*1000000</f>
        <v>506410000</v>
      </c>
      <c r="G184" s="12">
        <v>69600000000</v>
      </c>
      <c r="H184">
        <v>586390000</v>
      </c>
      <c r="I184">
        <v>200</v>
      </c>
      <c r="J184">
        <v>226.596</v>
      </c>
      <c r="K184">
        <f t="shared" si="28"/>
        <v>33063855.9374393</v>
      </c>
      <c r="L184">
        <f t="shared" si="29"/>
        <v>92155579268.8309</v>
      </c>
      <c r="M184">
        <f t="shared" si="30"/>
        <v>92049774929.8311</v>
      </c>
      <c r="N184">
        <f t="shared" si="31"/>
        <v>775532579.326202</v>
      </c>
    </row>
    <row r="185" customFormat="1" spans="1:14">
      <c r="A185">
        <v>2012</v>
      </c>
      <c r="B185" s="13" t="s">
        <v>14</v>
      </c>
      <c r="C185" s="11">
        <v>0</v>
      </c>
      <c r="D185" s="11">
        <v>0</v>
      </c>
      <c r="E185" s="12">
        <f t="shared" si="42"/>
        <v>69680000000</v>
      </c>
      <c r="F185" s="12">
        <f t="shared" si="43"/>
        <v>506410000</v>
      </c>
      <c r="G185" s="12">
        <v>69600000000</v>
      </c>
      <c r="H185">
        <v>586390000</v>
      </c>
      <c r="I185">
        <v>200</v>
      </c>
      <c r="J185">
        <v>226.596</v>
      </c>
      <c r="K185">
        <f t="shared" si="28"/>
        <v>0</v>
      </c>
      <c r="L185">
        <f t="shared" si="29"/>
        <v>92155579268.8309</v>
      </c>
      <c r="M185">
        <f t="shared" si="30"/>
        <v>92049774929.8311</v>
      </c>
      <c r="N185">
        <f t="shared" si="31"/>
        <v>775532579.326202</v>
      </c>
    </row>
    <row r="186" customFormat="1" spans="1:14">
      <c r="A186">
        <v>2012</v>
      </c>
      <c r="B186" s="13" t="s">
        <v>16</v>
      </c>
      <c r="C186" s="11">
        <f>16.23*1000000</f>
        <v>16230000</v>
      </c>
      <c r="D186" s="11">
        <f>1.1*1000000</f>
        <v>1100000</v>
      </c>
      <c r="E186" s="12">
        <f t="shared" si="42"/>
        <v>69680000000</v>
      </c>
      <c r="F186" s="12">
        <f t="shared" si="43"/>
        <v>506410000</v>
      </c>
      <c r="G186" s="12">
        <v>69600000000</v>
      </c>
      <c r="H186">
        <v>586390000</v>
      </c>
      <c r="I186">
        <v>200</v>
      </c>
      <c r="J186">
        <v>226.596</v>
      </c>
      <c r="K186">
        <f t="shared" si="28"/>
        <v>21465055.2745856</v>
      </c>
      <c r="L186">
        <f t="shared" si="29"/>
        <v>92155579268.8309</v>
      </c>
      <c r="M186">
        <f t="shared" si="30"/>
        <v>92049774929.8311</v>
      </c>
      <c r="N186">
        <f t="shared" si="31"/>
        <v>775532579.326202</v>
      </c>
    </row>
    <row r="187" customFormat="1" spans="1:14">
      <c r="A187">
        <v>2012</v>
      </c>
      <c r="B187" s="13" t="s">
        <v>24</v>
      </c>
      <c r="C187" s="11">
        <f>858.56*1000000</f>
        <v>858560000</v>
      </c>
      <c r="D187" s="11">
        <f>4.63*1000000</f>
        <v>4630000</v>
      </c>
      <c r="E187" s="12">
        <f t="shared" si="42"/>
        <v>69680000000</v>
      </c>
      <c r="F187" s="12">
        <f t="shared" si="43"/>
        <v>506410000</v>
      </c>
      <c r="G187" s="12">
        <v>69600000000</v>
      </c>
      <c r="H187">
        <v>586390000</v>
      </c>
      <c r="I187">
        <v>200</v>
      </c>
      <c r="J187">
        <v>226.596</v>
      </c>
      <c r="K187">
        <f t="shared" si="28"/>
        <v>1135492166.14592</v>
      </c>
      <c r="L187">
        <f t="shared" si="29"/>
        <v>92155579268.8309</v>
      </c>
      <c r="M187">
        <f t="shared" si="30"/>
        <v>92049774929.8311</v>
      </c>
      <c r="N187">
        <f t="shared" si="31"/>
        <v>775532579.326202</v>
      </c>
    </row>
    <row r="188" customFormat="1" spans="1:14">
      <c r="A188">
        <v>2012</v>
      </c>
      <c r="B188" s="13" t="s">
        <v>22</v>
      </c>
      <c r="C188" s="11">
        <f>11.22*1000000000</f>
        <v>11220000000</v>
      </c>
      <c r="D188" s="11">
        <f>12.65*1000000</f>
        <v>12650000</v>
      </c>
      <c r="E188" s="12">
        <f t="shared" si="42"/>
        <v>69680000000</v>
      </c>
      <c r="F188" s="12">
        <f t="shared" si="43"/>
        <v>506410000</v>
      </c>
      <c r="G188" s="12">
        <v>69600000000</v>
      </c>
      <c r="H188">
        <v>586390000</v>
      </c>
      <c r="I188">
        <v>200</v>
      </c>
      <c r="J188">
        <v>226.596</v>
      </c>
      <c r="K188">
        <f t="shared" si="28"/>
        <v>14839058544.7228</v>
      </c>
      <c r="L188">
        <f t="shared" si="29"/>
        <v>92155579268.8309</v>
      </c>
      <c r="M188">
        <f t="shared" si="30"/>
        <v>92049774929.8311</v>
      </c>
      <c r="N188">
        <f t="shared" si="31"/>
        <v>775532579.326202</v>
      </c>
    </row>
    <row r="189" customFormat="1" spans="1:14">
      <c r="A189">
        <v>2012</v>
      </c>
      <c r="B189" s="13" t="s">
        <v>18</v>
      </c>
      <c r="C189" s="11">
        <f>4.28*1000000000</f>
        <v>4280000000</v>
      </c>
      <c r="D189" s="11">
        <f>19.29*1000000</f>
        <v>19290000</v>
      </c>
      <c r="E189" s="12">
        <f t="shared" si="42"/>
        <v>69680000000</v>
      </c>
      <c r="F189" s="12">
        <f t="shared" si="43"/>
        <v>506410000</v>
      </c>
      <c r="G189" s="12">
        <v>69600000000</v>
      </c>
      <c r="H189">
        <v>586390000</v>
      </c>
      <c r="I189">
        <v>200</v>
      </c>
      <c r="J189">
        <v>226.596</v>
      </c>
      <c r="K189">
        <f t="shared" si="28"/>
        <v>5660532136.48961</v>
      </c>
      <c r="L189">
        <f t="shared" si="29"/>
        <v>92155579268.8309</v>
      </c>
      <c r="M189">
        <f t="shared" si="30"/>
        <v>92049774929.8311</v>
      </c>
      <c r="N189">
        <f t="shared" si="31"/>
        <v>775532579.326202</v>
      </c>
    </row>
    <row r="190" customFormat="1" spans="1:14">
      <c r="A190">
        <v>2012</v>
      </c>
      <c r="B190" s="13" t="s">
        <v>19</v>
      </c>
      <c r="C190" s="11">
        <f>1.14*1000000000</f>
        <v>1140000000</v>
      </c>
      <c r="D190" s="11">
        <f>101.33*1000000</f>
        <v>101330000</v>
      </c>
      <c r="E190" s="12">
        <f t="shared" si="42"/>
        <v>69680000000</v>
      </c>
      <c r="F190" s="12">
        <f t="shared" si="43"/>
        <v>506410000</v>
      </c>
      <c r="G190" s="12">
        <v>69600000000</v>
      </c>
      <c r="H190">
        <v>586390000</v>
      </c>
      <c r="I190">
        <v>200</v>
      </c>
      <c r="J190">
        <v>226.596</v>
      </c>
      <c r="K190">
        <f t="shared" si="28"/>
        <v>1507711830.74723</v>
      </c>
      <c r="L190">
        <f t="shared" si="29"/>
        <v>92155579268.8309</v>
      </c>
      <c r="M190">
        <f t="shared" si="30"/>
        <v>92049774929.8311</v>
      </c>
      <c r="N190">
        <f t="shared" si="31"/>
        <v>775532579.326202</v>
      </c>
    </row>
    <row r="191" customFormat="1" spans="1:14">
      <c r="A191">
        <v>2012</v>
      </c>
      <c r="B191" s="13" t="s">
        <v>23</v>
      </c>
      <c r="C191" s="11">
        <f>7.26*1000000000</f>
        <v>7260000000</v>
      </c>
      <c r="D191" s="11">
        <f>172.58*1000000</f>
        <v>172580000</v>
      </c>
      <c r="E191" s="12">
        <f t="shared" si="42"/>
        <v>69680000000</v>
      </c>
      <c r="F191" s="12">
        <f t="shared" si="43"/>
        <v>506410000</v>
      </c>
      <c r="G191" s="12">
        <v>69600000000</v>
      </c>
      <c r="H191">
        <v>586390000</v>
      </c>
      <c r="I191">
        <v>200</v>
      </c>
      <c r="J191">
        <v>226.596</v>
      </c>
      <c r="K191">
        <f t="shared" si="28"/>
        <v>9601743764.23238</v>
      </c>
      <c r="L191">
        <f t="shared" si="29"/>
        <v>92155579268.8309</v>
      </c>
      <c r="M191">
        <f t="shared" si="30"/>
        <v>92049774929.8311</v>
      </c>
      <c r="N191">
        <f t="shared" si="31"/>
        <v>775532579.326202</v>
      </c>
    </row>
    <row r="192" customFormat="1" spans="1:14">
      <c r="A192">
        <v>2012</v>
      </c>
      <c r="B192" s="13" t="s">
        <v>21</v>
      </c>
      <c r="C192" s="11">
        <f>1.47*1000000000</f>
        <v>1470000000</v>
      </c>
      <c r="D192" s="11">
        <f>274.17*1000000</f>
        <v>274170000</v>
      </c>
      <c r="E192" s="12">
        <f t="shared" si="42"/>
        <v>69680000000</v>
      </c>
      <c r="F192" s="12">
        <f t="shared" si="43"/>
        <v>506410000</v>
      </c>
      <c r="G192" s="12">
        <v>69600000000</v>
      </c>
      <c r="H192">
        <v>586390000</v>
      </c>
      <c r="I192">
        <v>200</v>
      </c>
      <c r="J192">
        <v>226.596</v>
      </c>
      <c r="K192">
        <f t="shared" si="28"/>
        <v>1944154729.12143</v>
      </c>
      <c r="L192">
        <f t="shared" si="29"/>
        <v>92155579268.8309</v>
      </c>
      <c r="M192">
        <f t="shared" si="30"/>
        <v>92049774929.8311</v>
      </c>
      <c r="N192">
        <f t="shared" si="31"/>
        <v>775532579.326202</v>
      </c>
    </row>
    <row r="193" customFormat="1" spans="1:14">
      <c r="A193">
        <v>2012</v>
      </c>
      <c r="B193" s="13" t="s">
        <v>20</v>
      </c>
      <c r="C193" s="11">
        <f>166.02*1000000</f>
        <v>166020000</v>
      </c>
      <c r="D193" s="11">
        <f>-1.02*1000000</f>
        <v>-1020000</v>
      </c>
      <c r="E193" s="12">
        <f t="shared" si="42"/>
        <v>69680000000</v>
      </c>
      <c r="F193" s="12">
        <f t="shared" si="43"/>
        <v>506410000</v>
      </c>
      <c r="G193" s="12">
        <v>69600000000</v>
      </c>
      <c r="H193">
        <v>586390000</v>
      </c>
      <c r="I193">
        <v>200</v>
      </c>
      <c r="J193">
        <v>226.596</v>
      </c>
      <c r="K193">
        <f t="shared" si="28"/>
        <v>219570454.509347</v>
      </c>
      <c r="L193">
        <f t="shared" si="29"/>
        <v>92155579268.8309</v>
      </c>
      <c r="M193">
        <f t="shared" si="30"/>
        <v>92049774929.8311</v>
      </c>
      <c r="N193">
        <f t="shared" si="31"/>
        <v>775532579.326202</v>
      </c>
    </row>
    <row r="194" customFormat="1" spans="1:14">
      <c r="A194">
        <v>2012</v>
      </c>
      <c r="B194" s="13" t="s">
        <v>15</v>
      </c>
      <c r="C194" s="11">
        <f>551.32*1000000</f>
        <v>551320000</v>
      </c>
      <c r="D194" s="11">
        <f>-155.61*1000</f>
        <v>-155610</v>
      </c>
      <c r="E194" s="12">
        <f t="shared" si="42"/>
        <v>69680000000</v>
      </c>
      <c r="F194" s="12">
        <f t="shared" si="43"/>
        <v>506410000</v>
      </c>
      <c r="G194" s="12">
        <v>69600000000</v>
      </c>
      <c r="H194">
        <v>586390000</v>
      </c>
      <c r="I194">
        <v>200</v>
      </c>
      <c r="J194">
        <v>226.596</v>
      </c>
      <c r="K194">
        <f t="shared" si="28"/>
        <v>729150602.217162</v>
      </c>
      <c r="L194">
        <f t="shared" si="29"/>
        <v>92155579268.8309</v>
      </c>
      <c r="M194">
        <f t="shared" si="30"/>
        <v>92049774929.8311</v>
      </c>
      <c r="N194">
        <f t="shared" si="31"/>
        <v>775532579.326202</v>
      </c>
    </row>
    <row r="195" customFormat="1" spans="1:14">
      <c r="A195">
        <v>2012</v>
      </c>
      <c r="B195" s="13" t="s">
        <v>26</v>
      </c>
      <c r="C195" s="11">
        <f>583.25*1000000</f>
        <v>583250000</v>
      </c>
      <c r="D195" s="11">
        <f>-19.5*1000000</f>
        <v>-19500000</v>
      </c>
      <c r="E195" s="12">
        <f t="shared" si="42"/>
        <v>69680000000</v>
      </c>
      <c r="F195" s="12">
        <f t="shared" si="43"/>
        <v>506410000</v>
      </c>
      <c r="G195" s="12">
        <v>69600000000</v>
      </c>
      <c r="H195">
        <v>586390000</v>
      </c>
      <c r="I195">
        <v>200</v>
      </c>
      <c r="J195">
        <v>226.596</v>
      </c>
      <c r="K195">
        <f t="shared" ref="K195:K258" si="44">C195*299.6855/J195</f>
        <v>771379759.020459</v>
      </c>
      <c r="L195">
        <f t="shared" ref="L195:L258" si="45">E195*299.6855/J195</f>
        <v>92155579268.8309</v>
      </c>
      <c r="M195">
        <f t="shared" ref="M195:M258" si="46">G195*299.6855/J195</f>
        <v>92049774929.8311</v>
      </c>
      <c r="N195">
        <f t="shared" ref="N195:N258" si="47">H195*299.6855/J195</f>
        <v>775532579.326202</v>
      </c>
    </row>
    <row r="196" customFormat="1" spans="1:14">
      <c r="A196">
        <v>2012</v>
      </c>
      <c r="B196" s="13" t="s">
        <v>25</v>
      </c>
      <c r="C196" s="11">
        <f>42.11*1000000000</f>
        <v>42110000000</v>
      </c>
      <c r="D196" s="11">
        <f>-58.66*1000000</f>
        <v>-58660000</v>
      </c>
      <c r="E196" s="12">
        <f t="shared" si="42"/>
        <v>69680000000</v>
      </c>
      <c r="F196" s="12">
        <f t="shared" si="43"/>
        <v>506410000</v>
      </c>
      <c r="G196" s="12">
        <v>69600000000</v>
      </c>
      <c r="H196">
        <v>586390000</v>
      </c>
      <c r="I196">
        <v>200</v>
      </c>
      <c r="J196">
        <v>226.596</v>
      </c>
      <c r="K196">
        <f t="shared" si="44"/>
        <v>55692758941.0228</v>
      </c>
      <c r="L196">
        <f t="shared" si="45"/>
        <v>92155579268.8309</v>
      </c>
      <c r="M196">
        <f t="shared" si="46"/>
        <v>92049774929.8311</v>
      </c>
      <c r="N196">
        <f t="shared" si="47"/>
        <v>775532579.326202</v>
      </c>
    </row>
    <row r="197" customFormat="1" spans="1:14">
      <c r="A197">
        <v>2013</v>
      </c>
      <c r="B197" s="13" t="s">
        <v>14</v>
      </c>
      <c r="C197" s="11">
        <v>0</v>
      </c>
      <c r="D197" s="11">
        <v>0</v>
      </c>
      <c r="E197" s="12">
        <f t="shared" ref="E197:E209" si="48">73.01*1000000000</f>
        <v>73010000000</v>
      </c>
      <c r="F197" s="12">
        <f t="shared" ref="F197:F209" si="49">1.48*1000000000</f>
        <v>1480000000</v>
      </c>
      <c r="G197" s="12">
        <v>73620000000</v>
      </c>
      <c r="H197">
        <v>875460000</v>
      </c>
      <c r="I197">
        <v>200</v>
      </c>
      <c r="J197">
        <v>230.608</v>
      </c>
      <c r="K197">
        <f t="shared" si="44"/>
        <v>0</v>
      </c>
      <c r="L197">
        <f t="shared" si="45"/>
        <v>94879788884.1671</v>
      </c>
      <c r="M197">
        <f t="shared" si="46"/>
        <v>95672511404.6347</v>
      </c>
      <c r="N197">
        <f t="shared" si="47"/>
        <v>1137699766.83376</v>
      </c>
    </row>
    <row r="198" customFormat="1" spans="1:14">
      <c r="A198">
        <v>2013</v>
      </c>
      <c r="B198" s="13" t="s">
        <v>17</v>
      </c>
      <c r="C198" s="11">
        <v>0</v>
      </c>
      <c r="D198" s="11">
        <v>0</v>
      </c>
      <c r="E198" s="12">
        <f t="shared" si="48"/>
        <v>73010000000</v>
      </c>
      <c r="F198" s="12">
        <f t="shared" si="49"/>
        <v>1480000000</v>
      </c>
      <c r="G198" s="12">
        <v>73620000000</v>
      </c>
      <c r="H198">
        <v>875460000</v>
      </c>
      <c r="I198">
        <v>200</v>
      </c>
      <c r="J198">
        <v>230.608</v>
      </c>
      <c r="K198">
        <f t="shared" si="44"/>
        <v>0</v>
      </c>
      <c r="L198">
        <f t="shared" si="45"/>
        <v>94879788884.1671</v>
      </c>
      <c r="M198">
        <f t="shared" si="46"/>
        <v>95672511404.6347</v>
      </c>
      <c r="N198">
        <f t="shared" si="47"/>
        <v>1137699766.83376</v>
      </c>
    </row>
    <row r="199" customFormat="1" spans="1:14">
      <c r="A199">
        <v>2013</v>
      </c>
      <c r="B199" s="13" t="s">
        <v>16</v>
      </c>
      <c r="C199" s="11">
        <f>16.2*1000000</f>
        <v>16200000</v>
      </c>
      <c r="D199" s="11">
        <f>53.26*1000</f>
        <v>53260</v>
      </c>
      <c r="E199" s="12">
        <f t="shared" si="48"/>
        <v>73010000000</v>
      </c>
      <c r="F199" s="12">
        <f t="shared" si="49"/>
        <v>1480000000</v>
      </c>
      <c r="G199" s="12">
        <v>73620000000</v>
      </c>
      <c r="H199">
        <v>875460000</v>
      </c>
      <c r="I199">
        <v>200</v>
      </c>
      <c r="J199">
        <v>230.608</v>
      </c>
      <c r="K199">
        <f t="shared" si="44"/>
        <v>21052630.8714355</v>
      </c>
      <c r="L199">
        <f t="shared" si="45"/>
        <v>94879788884.1671</v>
      </c>
      <c r="M199">
        <f t="shared" si="46"/>
        <v>95672511404.6347</v>
      </c>
      <c r="N199">
        <f t="shared" si="47"/>
        <v>1137699766.83376</v>
      </c>
    </row>
    <row r="200" customFormat="1" spans="1:14">
      <c r="A200">
        <v>2013</v>
      </c>
      <c r="B200" s="13" t="s">
        <v>15</v>
      </c>
      <c r="C200" s="11">
        <f>524.12*1000000</f>
        <v>524120000</v>
      </c>
      <c r="D200" s="11">
        <f>27.08*1000000</f>
        <v>27080000</v>
      </c>
      <c r="E200" s="12">
        <f t="shared" si="48"/>
        <v>73010000000</v>
      </c>
      <c r="F200" s="12">
        <f t="shared" si="49"/>
        <v>1480000000</v>
      </c>
      <c r="G200" s="12">
        <v>73620000000</v>
      </c>
      <c r="H200">
        <v>875460000</v>
      </c>
      <c r="I200">
        <v>200</v>
      </c>
      <c r="J200">
        <v>230.608</v>
      </c>
      <c r="K200">
        <f t="shared" si="44"/>
        <v>681117585.946715</v>
      </c>
      <c r="L200">
        <f t="shared" si="45"/>
        <v>94879788884.1671</v>
      </c>
      <c r="M200">
        <f t="shared" si="46"/>
        <v>95672511404.6347</v>
      </c>
      <c r="N200">
        <f t="shared" si="47"/>
        <v>1137699766.83376</v>
      </c>
    </row>
    <row r="201" customFormat="1" spans="1:14">
      <c r="A201">
        <v>2013</v>
      </c>
      <c r="B201" s="13" t="s">
        <v>20</v>
      </c>
      <c r="C201" s="11">
        <f>-59.2*1000000</f>
        <v>-59200000</v>
      </c>
      <c r="D201" s="11">
        <f>44.2*1000000</f>
        <v>44200000</v>
      </c>
      <c r="E201" s="12">
        <f t="shared" si="48"/>
        <v>73010000000</v>
      </c>
      <c r="F201" s="12">
        <f t="shared" si="49"/>
        <v>1480000000</v>
      </c>
      <c r="G201" s="12">
        <v>73620000000</v>
      </c>
      <c r="H201">
        <v>875460000</v>
      </c>
      <c r="I201">
        <v>200</v>
      </c>
      <c r="J201">
        <v>230.608</v>
      </c>
      <c r="K201">
        <f t="shared" si="44"/>
        <v>-76933070.8388261</v>
      </c>
      <c r="L201">
        <f t="shared" si="45"/>
        <v>94879788884.1671</v>
      </c>
      <c r="M201">
        <f t="shared" si="46"/>
        <v>95672511404.6347</v>
      </c>
      <c r="N201">
        <f t="shared" si="47"/>
        <v>1137699766.83376</v>
      </c>
    </row>
    <row r="202" customFormat="1" spans="1:14">
      <c r="A202">
        <v>2013</v>
      </c>
      <c r="B202" s="13" t="s">
        <v>18</v>
      </c>
      <c r="C202" s="11">
        <f>4.28*1000000000</f>
        <v>4280000000</v>
      </c>
      <c r="D202" s="11">
        <f>51.63*1000000</f>
        <v>51630000</v>
      </c>
      <c r="E202" s="12">
        <f t="shared" si="48"/>
        <v>73010000000</v>
      </c>
      <c r="F202" s="12">
        <f t="shared" si="49"/>
        <v>1480000000</v>
      </c>
      <c r="G202" s="12">
        <v>73620000000</v>
      </c>
      <c r="H202">
        <v>875460000</v>
      </c>
      <c r="I202">
        <v>200</v>
      </c>
      <c r="J202">
        <v>230.608</v>
      </c>
      <c r="K202">
        <f t="shared" si="44"/>
        <v>5562053094.42864</v>
      </c>
      <c r="L202">
        <f t="shared" si="45"/>
        <v>94879788884.1671</v>
      </c>
      <c r="M202">
        <f t="shared" si="46"/>
        <v>95672511404.6347</v>
      </c>
      <c r="N202">
        <f t="shared" si="47"/>
        <v>1137699766.83376</v>
      </c>
    </row>
    <row r="203" customFormat="1" spans="1:14">
      <c r="A203">
        <v>2013</v>
      </c>
      <c r="B203" s="13" t="s">
        <v>19</v>
      </c>
      <c r="C203" s="11">
        <f>1.07*1000000000</f>
        <v>1070000000</v>
      </c>
      <c r="D203" s="11">
        <f>76.35*1000000</f>
        <v>76350000</v>
      </c>
      <c r="E203" s="12">
        <f t="shared" si="48"/>
        <v>73010000000</v>
      </c>
      <c r="F203" s="12">
        <f t="shared" si="49"/>
        <v>1480000000</v>
      </c>
      <c r="G203" s="12">
        <v>73620000000</v>
      </c>
      <c r="H203">
        <v>875460000</v>
      </c>
      <c r="I203">
        <v>200</v>
      </c>
      <c r="J203">
        <v>230.608</v>
      </c>
      <c r="K203">
        <f t="shared" si="44"/>
        <v>1390513273.60716</v>
      </c>
      <c r="L203">
        <f t="shared" si="45"/>
        <v>94879788884.1671</v>
      </c>
      <c r="M203">
        <f t="shared" si="46"/>
        <v>95672511404.6347</v>
      </c>
      <c r="N203">
        <f t="shared" si="47"/>
        <v>1137699766.83376</v>
      </c>
    </row>
    <row r="204" customFormat="1" spans="1:14">
      <c r="A204">
        <v>2013</v>
      </c>
      <c r="B204" s="13" t="s">
        <v>22</v>
      </c>
      <c r="C204" s="11">
        <f>11.15*1000000000</f>
        <v>11150000000</v>
      </c>
      <c r="D204" s="11">
        <f>121.2*1000000</f>
        <v>121200000</v>
      </c>
      <c r="E204" s="12">
        <f t="shared" si="48"/>
        <v>73010000000</v>
      </c>
      <c r="F204" s="12">
        <f t="shared" si="49"/>
        <v>1480000000</v>
      </c>
      <c r="G204" s="12">
        <v>73620000000</v>
      </c>
      <c r="H204">
        <v>875460000</v>
      </c>
      <c r="I204">
        <v>200</v>
      </c>
      <c r="J204">
        <v>230.608</v>
      </c>
      <c r="K204">
        <f t="shared" si="44"/>
        <v>14489928038.0559</v>
      </c>
      <c r="L204">
        <f t="shared" si="45"/>
        <v>94879788884.1671</v>
      </c>
      <c r="M204">
        <f t="shared" si="46"/>
        <v>95672511404.6347</v>
      </c>
      <c r="N204">
        <f t="shared" si="47"/>
        <v>1137699766.83376</v>
      </c>
    </row>
    <row r="205" customFormat="1" spans="1:14">
      <c r="A205">
        <v>2013</v>
      </c>
      <c r="B205" s="13" t="s">
        <v>21</v>
      </c>
      <c r="C205" s="11">
        <f>838.81*1000000</f>
        <v>838810000</v>
      </c>
      <c r="D205" s="11">
        <f>306.49*1000000</f>
        <v>306490000</v>
      </c>
      <c r="E205" s="12">
        <f t="shared" si="48"/>
        <v>73010000000</v>
      </c>
      <c r="F205" s="12">
        <f t="shared" si="49"/>
        <v>1480000000</v>
      </c>
      <c r="G205" s="12">
        <v>73620000000</v>
      </c>
      <c r="H205">
        <v>875460000</v>
      </c>
      <c r="I205">
        <v>200</v>
      </c>
      <c r="J205">
        <v>230.608</v>
      </c>
      <c r="K205">
        <f t="shared" si="44"/>
        <v>1090071438.34993</v>
      </c>
      <c r="L205">
        <f t="shared" si="45"/>
        <v>94879788884.1671</v>
      </c>
      <c r="M205">
        <f t="shared" si="46"/>
        <v>95672511404.6347</v>
      </c>
      <c r="N205">
        <f t="shared" si="47"/>
        <v>1137699766.83376</v>
      </c>
    </row>
    <row r="206" customFormat="1" spans="1:14">
      <c r="A206">
        <v>2013</v>
      </c>
      <c r="B206" s="13" t="s">
        <v>23</v>
      </c>
      <c r="C206" s="11">
        <f>8.66*1000000000</f>
        <v>8660000000</v>
      </c>
      <c r="D206" s="11">
        <f>306.82*1000000</f>
        <v>306820000</v>
      </c>
      <c r="E206" s="12">
        <f t="shared" si="48"/>
        <v>73010000000</v>
      </c>
      <c r="F206" s="12">
        <f t="shared" si="49"/>
        <v>1480000000</v>
      </c>
      <c r="G206" s="12">
        <v>73620000000</v>
      </c>
      <c r="H206">
        <v>875460000</v>
      </c>
      <c r="I206">
        <v>200</v>
      </c>
      <c r="J206">
        <v>230.608</v>
      </c>
      <c r="K206">
        <f t="shared" si="44"/>
        <v>11254060700.4094</v>
      </c>
      <c r="L206">
        <f t="shared" si="45"/>
        <v>94879788884.1671</v>
      </c>
      <c r="M206">
        <f t="shared" si="46"/>
        <v>95672511404.6347</v>
      </c>
      <c r="N206">
        <f t="shared" si="47"/>
        <v>1137699766.83376</v>
      </c>
    </row>
    <row r="207" customFormat="1" spans="1:14">
      <c r="A207">
        <v>2013</v>
      </c>
      <c r="B207" s="13" t="s">
        <v>25</v>
      </c>
      <c r="C207" s="11">
        <f>45.12*1000000000</f>
        <v>45120000000</v>
      </c>
      <c r="D207" s="11">
        <f>570.53*1000000</f>
        <v>570530000</v>
      </c>
      <c r="E207" s="12">
        <f t="shared" si="48"/>
        <v>73010000000</v>
      </c>
      <c r="F207" s="12">
        <f t="shared" si="49"/>
        <v>1480000000</v>
      </c>
      <c r="G207" s="12">
        <v>73620000000</v>
      </c>
      <c r="H207">
        <v>875460000</v>
      </c>
      <c r="I207">
        <v>200</v>
      </c>
      <c r="J207">
        <v>230.608</v>
      </c>
      <c r="K207">
        <f t="shared" si="44"/>
        <v>58635475612.2945</v>
      </c>
      <c r="L207">
        <f t="shared" si="45"/>
        <v>94879788884.1671</v>
      </c>
      <c r="M207">
        <f t="shared" si="46"/>
        <v>95672511404.6347</v>
      </c>
      <c r="N207">
        <f t="shared" si="47"/>
        <v>1137699766.83376</v>
      </c>
    </row>
    <row r="208" customFormat="1" spans="1:14">
      <c r="A208">
        <v>2013</v>
      </c>
      <c r="B208" s="13" t="s">
        <v>26</v>
      </c>
      <c r="C208" s="11">
        <f>591.66*1000000</f>
        <v>591660000</v>
      </c>
      <c r="D208" s="11">
        <f>-15*1000000</f>
        <v>-15000000</v>
      </c>
      <c r="E208" s="12">
        <f t="shared" si="48"/>
        <v>73010000000</v>
      </c>
      <c r="F208" s="12">
        <f t="shared" si="49"/>
        <v>1480000000</v>
      </c>
      <c r="G208" s="12">
        <v>73620000000</v>
      </c>
      <c r="H208">
        <v>875460000</v>
      </c>
      <c r="I208">
        <v>200</v>
      </c>
      <c r="J208">
        <v>230.608</v>
      </c>
      <c r="K208">
        <f t="shared" si="44"/>
        <v>768888863.048984</v>
      </c>
      <c r="L208">
        <f t="shared" si="45"/>
        <v>94879788884.1671</v>
      </c>
      <c r="M208">
        <f t="shared" si="46"/>
        <v>95672511404.6347</v>
      </c>
      <c r="N208">
        <f t="shared" si="47"/>
        <v>1137699766.83376</v>
      </c>
    </row>
    <row r="209" customFormat="1" spans="1:14">
      <c r="A209">
        <v>2013</v>
      </c>
      <c r="B209" s="13" t="s">
        <v>24</v>
      </c>
      <c r="C209" s="11">
        <f>810.01*1000000</f>
        <v>810010000</v>
      </c>
      <c r="D209" s="11">
        <f>-6.17*1000000</f>
        <v>-6170000</v>
      </c>
      <c r="E209" s="12">
        <f t="shared" si="48"/>
        <v>73010000000</v>
      </c>
      <c r="F209" s="12">
        <f t="shared" si="49"/>
        <v>1480000000</v>
      </c>
      <c r="G209" s="12">
        <v>73620000000</v>
      </c>
      <c r="H209">
        <v>875460000</v>
      </c>
      <c r="I209">
        <v>200</v>
      </c>
      <c r="J209">
        <v>230.608</v>
      </c>
      <c r="K209">
        <f t="shared" si="44"/>
        <v>1052644539.02293</v>
      </c>
      <c r="L209">
        <f t="shared" si="45"/>
        <v>94879788884.1671</v>
      </c>
      <c r="M209">
        <f t="shared" si="46"/>
        <v>95672511404.6347</v>
      </c>
      <c r="N209">
        <f t="shared" si="47"/>
        <v>1137699766.83376</v>
      </c>
    </row>
    <row r="210" customFormat="1" spans="1:14">
      <c r="A210">
        <v>2014</v>
      </c>
      <c r="B210" s="13" t="s">
        <v>14</v>
      </c>
      <c r="C210" s="11">
        <v>0</v>
      </c>
      <c r="D210" s="11">
        <v>0</v>
      </c>
      <c r="E210" s="12">
        <f t="shared" ref="E210:E222" si="50">76.97*1000000000</f>
        <v>76970000000</v>
      </c>
      <c r="F210" s="12">
        <f t="shared" ref="F210:F222" si="51">525.14*1000000</f>
        <v>525140000</v>
      </c>
      <c r="G210" s="12">
        <v>76910000000</v>
      </c>
      <c r="H210">
        <v>579900000</v>
      </c>
      <c r="I210">
        <v>200</v>
      </c>
      <c r="J210">
        <v>234.966</v>
      </c>
      <c r="K210">
        <f t="shared" si="44"/>
        <v>0</v>
      </c>
      <c r="L210">
        <f t="shared" si="45"/>
        <v>98170769111.2757</v>
      </c>
      <c r="M210">
        <f t="shared" si="46"/>
        <v>98094242592.5453</v>
      </c>
      <c r="N210">
        <f t="shared" si="47"/>
        <v>739628803.529021</v>
      </c>
    </row>
    <row r="211" customFormat="1" spans="1:14">
      <c r="A211">
        <v>2014</v>
      </c>
      <c r="B211" s="13" t="s">
        <v>16</v>
      </c>
      <c r="C211" s="11">
        <f>15.99*1000000</f>
        <v>15990000</v>
      </c>
      <c r="D211" s="11">
        <f>264.73*1000</f>
        <v>264730</v>
      </c>
      <c r="E211" s="12">
        <f t="shared" si="50"/>
        <v>76970000000</v>
      </c>
      <c r="F211" s="12">
        <f t="shared" si="51"/>
        <v>525140000</v>
      </c>
      <c r="G211" s="12">
        <v>76910000000</v>
      </c>
      <c r="H211">
        <v>579900000</v>
      </c>
      <c r="I211">
        <v>200</v>
      </c>
      <c r="J211">
        <v>234.966</v>
      </c>
      <c r="K211">
        <f t="shared" si="44"/>
        <v>20394317.2416435</v>
      </c>
      <c r="L211">
        <f t="shared" si="45"/>
        <v>98170769111.2757</v>
      </c>
      <c r="M211">
        <f t="shared" si="46"/>
        <v>98094242592.5453</v>
      </c>
      <c r="N211">
        <f t="shared" si="47"/>
        <v>739628803.529021</v>
      </c>
    </row>
    <row r="212" customFormat="1" spans="1:14">
      <c r="A212">
        <v>2014</v>
      </c>
      <c r="B212" s="13" t="s">
        <v>20</v>
      </c>
      <c r="C212" s="11">
        <f>-18.56*1000000</f>
        <v>-18560000</v>
      </c>
      <c r="D212" s="11">
        <f>3.56*1000000</f>
        <v>3560000</v>
      </c>
      <c r="E212" s="12">
        <f t="shared" si="50"/>
        <v>76970000000</v>
      </c>
      <c r="F212" s="12">
        <f t="shared" si="51"/>
        <v>525140000</v>
      </c>
      <c r="G212" s="12">
        <v>76910000000</v>
      </c>
      <c r="H212">
        <v>579900000</v>
      </c>
      <c r="I212">
        <v>200</v>
      </c>
      <c r="J212">
        <v>234.966</v>
      </c>
      <c r="K212">
        <f t="shared" si="44"/>
        <v>-23672203.127261</v>
      </c>
      <c r="L212">
        <f t="shared" si="45"/>
        <v>98170769111.2757</v>
      </c>
      <c r="M212">
        <f t="shared" si="46"/>
        <v>98094242592.5453</v>
      </c>
      <c r="N212">
        <f t="shared" si="47"/>
        <v>739628803.529021</v>
      </c>
    </row>
    <row r="213" customFormat="1" spans="1:14">
      <c r="A213">
        <v>2014</v>
      </c>
      <c r="B213" s="13" t="s">
        <v>15</v>
      </c>
      <c r="C213" s="11">
        <f>535.29*1000000</f>
        <v>535290000</v>
      </c>
      <c r="D213" s="11">
        <f>5.27*1000000</f>
        <v>5270000</v>
      </c>
      <c r="E213" s="12">
        <f t="shared" si="50"/>
        <v>76970000000</v>
      </c>
      <c r="F213" s="12">
        <f t="shared" si="51"/>
        <v>525140000</v>
      </c>
      <c r="G213" s="12">
        <v>76910000000</v>
      </c>
      <c r="H213">
        <v>579900000</v>
      </c>
      <c r="I213">
        <v>200</v>
      </c>
      <c r="J213">
        <v>234.966</v>
      </c>
      <c r="K213">
        <f t="shared" si="44"/>
        <v>682731336.852991</v>
      </c>
      <c r="L213">
        <f t="shared" si="45"/>
        <v>98170769111.2757</v>
      </c>
      <c r="M213">
        <f t="shared" si="46"/>
        <v>98094242592.5453</v>
      </c>
      <c r="N213">
        <f t="shared" si="47"/>
        <v>739628803.529021</v>
      </c>
    </row>
    <row r="214" customFormat="1" spans="1:14">
      <c r="A214">
        <v>2014</v>
      </c>
      <c r="B214" s="13" t="s">
        <v>19</v>
      </c>
      <c r="C214" s="11">
        <f>1.18*1000000000</f>
        <v>1180000000</v>
      </c>
      <c r="D214" s="11">
        <f>21.43*1000000</f>
        <v>21430000</v>
      </c>
      <c r="E214" s="12">
        <f t="shared" si="50"/>
        <v>76970000000</v>
      </c>
      <c r="F214" s="12">
        <f t="shared" si="51"/>
        <v>525140000</v>
      </c>
      <c r="G214" s="12">
        <v>76910000000</v>
      </c>
      <c r="H214">
        <v>579900000</v>
      </c>
      <c r="I214">
        <v>200</v>
      </c>
      <c r="J214">
        <v>234.966</v>
      </c>
      <c r="K214">
        <f t="shared" si="44"/>
        <v>1505021535.0306</v>
      </c>
      <c r="L214">
        <f t="shared" si="45"/>
        <v>98170769111.2757</v>
      </c>
      <c r="M214">
        <f t="shared" si="46"/>
        <v>98094242592.5453</v>
      </c>
      <c r="N214">
        <f t="shared" si="47"/>
        <v>739628803.529021</v>
      </c>
    </row>
    <row r="215" customFormat="1" spans="1:14">
      <c r="A215">
        <v>2014</v>
      </c>
      <c r="B215" s="13" t="s">
        <v>22</v>
      </c>
      <c r="C215" s="11">
        <f>11.57*1000000000</f>
        <v>11570000000</v>
      </c>
      <c r="D215" s="11">
        <f>73.86*1000000</f>
        <v>73860000</v>
      </c>
      <c r="E215" s="12">
        <f t="shared" si="50"/>
        <v>76970000000</v>
      </c>
      <c r="F215" s="12">
        <f t="shared" si="51"/>
        <v>525140000</v>
      </c>
      <c r="G215" s="12">
        <v>76910000000</v>
      </c>
      <c r="H215">
        <v>579900000</v>
      </c>
      <c r="I215">
        <v>200</v>
      </c>
      <c r="J215">
        <v>234.966</v>
      </c>
      <c r="K215">
        <f t="shared" si="44"/>
        <v>14756863695.1729</v>
      </c>
      <c r="L215">
        <f t="shared" si="45"/>
        <v>98170769111.2757</v>
      </c>
      <c r="M215">
        <f t="shared" si="46"/>
        <v>98094242592.5453</v>
      </c>
      <c r="N215">
        <f t="shared" si="47"/>
        <v>739628803.529021</v>
      </c>
    </row>
    <row r="216" customFormat="1" spans="1:14">
      <c r="A216">
        <v>2014</v>
      </c>
      <c r="B216" s="13" t="s">
        <v>23</v>
      </c>
      <c r="C216" s="11">
        <f>7.12*1000000000</f>
        <v>7120000000</v>
      </c>
      <c r="D216" s="11">
        <f>226.14*1000000</f>
        <v>226140000</v>
      </c>
      <c r="E216" s="12">
        <f t="shared" si="50"/>
        <v>76970000000</v>
      </c>
      <c r="F216" s="12">
        <f t="shared" si="51"/>
        <v>525140000</v>
      </c>
      <c r="G216" s="12">
        <v>76910000000</v>
      </c>
      <c r="H216">
        <v>579900000</v>
      </c>
      <c r="I216">
        <v>200</v>
      </c>
      <c r="J216">
        <v>234.966</v>
      </c>
      <c r="K216">
        <f t="shared" si="44"/>
        <v>9081146889.33718</v>
      </c>
      <c r="L216">
        <f t="shared" si="45"/>
        <v>98170769111.2757</v>
      </c>
      <c r="M216">
        <f t="shared" si="46"/>
        <v>98094242592.5453</v>
      </c>
      <c r="N216">
        <f t="shared" si="47"/>
        <v>739628803.529021</v>
      </c>
    </row>
    <row r="217" customFormat="1" spans="1:14">
      <c r="A217">
        <v>2014</v>
      </c>
      <c r="B217" s="13" t="s">
        <v>21</v>
      </c>
      <c r="C217" s="11">
        <f>2.1*1000000000</f>
        <v>2100000000</v>
      </c>
      <c r="D217" s="11">
        <f>338.16*1000000</f>
        <v>338160000</v>
      </c>
      <c r="E217" s="12">
        <f t="shared" si="50"/>
        <v>76970000000</v>
      </c>
      <c r="F217" s="12">
        <f t="shared" si="51"/>
        <v>525140000</v>
      </c>
      <c r="G217" s="12">
        <v>76910000000</v>
      </c>
      <c r="H217">
        <v>579900000</v>
      </c>
      <c r="I217">
        <v>200</v>
      </c>
      <c r="J217">
        <v>234.966</v>
      </c>
      <c r="K217">
        <f t="shared" si="44"/>
        <v>2678428155.56293</v>
      </c>
      <c r="L217">
        <f t="shared" si="45"/>
        <v>98170769111.2757</v>
      </c>
      <c r="M217">
        <f t="shared" si="46"/>
        <v>98094242592.5453</v>
      </c>
      <c r="N217">
        <f t="shared" si="47"/>
        <v>739628803.529021</v>
      </c>
    </row>
    <row r="218" customFormat="1" spans="1:14">
      <c r="A218">
        <v>2014</v>
      </c>
      <c r="B218" s="13" t="s">
        <v>17</v>
      </c>
      <c r="C218" s="11">
        <f>1.07*1000000</f>
        <v>1070000</v>
      </c>
      <c r="D218" s="11">
        <f>-1.07*1000000</f>
        <v>-1070000</v>
      </c>
      <c r="E218" s="12">
        <f t="shared" si="50"/>
        <v>76970000000</v>
      </c>
      <c r="F218" s="12">
        <f t="shared" si="51"/>
        <v>525140000</v>
      </c>
      <c r="G218" s="12">
        <v>76910000000</v>
      </c>
      <c r="H218">
        <v>579900000</v>
      </c>
      <c r="I218">
        <v>200</v>
      </c>
      <c r="J218">
        <v>234.966</v>
      </c>
      <c r="K218">
        <f t="shared" si="44"/>
        <v>1364722.91735826</v>
      </c>
      <c r="L218">
        <f t="shared" si="45"/>
        <v>98170769111.2757</v>
      </c>
      <c r="M218">
        <f t="shared" si="46"/>
        <v>98094242592.5453</v>
      </c>
      <c r="N218">
        <f t="shared" si="47"/>
        <v>739628803.529021</v>
      </c>
    </row>
    <row r="219" customFormat="1" spans="1:14">
      <c r="A219">
        <v>2014</v>
      </c>
      <c r="B219" s="13" t="s">
        <v>26</v>
      </c>
      <c r="C219" s="11">
        <f>647.83*1000000</f>
        <v>647830000</v>
      </c>
      <c r="D219" s="11">
        <f>-10.65*1000000</f>
        <v>-10650000</v>
      </c>
      <c r="E219" s="12">
        <f t="shared" si="50"/>
        <v>76970000000</v>
      </c>
      <c r="F219" s="12">
        <f t="shared" si="51"/>
        <v>525140000</v>
      </c>
      <c r="G219" s="12">
        <v>76910000000</v>
      </c>
      <c r="H219">
        <v>579900000</v>
      </c>
      <c r="I219">
        <v>200</v>
      </c>
      <c r="J219">
        <v>234.966</v>
      </c>
      <c r="K219">
        <f t="shared" si="44"/>
        <v>826269577.151588</v>
      </c>
      <c r="L219">
        <f t="shared" si="45"/>
        <v>98170769111.2757</v>
      </c>
      <c r="M219">
        <f t="shared" si="46"/>
        <v>98094242592.5453</v>
      </c>
      <c r="N219">
        <f t="shared" si="47"/>
        <v>739628803.529021</v>
      </c>
    </row>
    <row r="220" customFormat="1" spans="1:14">
      <c r="A220">
        <v>2014</v>
      </c>
      <c r="B220" s="13" t="s">
        <v>24</v>
      </c>
      <c r="C220" s="11">
        <f>892.19*1000000</f>
        <v>892190000</v>
      </c>
      <c r="D220" s="11">
        <f>-18.61*1000000</f>
        <v>-18610000</v>
      </c>
      <c r="E220" s="12">
        <f t="shared" si="50"/>
        <v>76970000000</v>
      </c>
      <c r="F220" s="12">
        <f t="shared" si="51"/>
        <v>525140000</v>
      </c>
      <c r="G220" s="12">
        <v>76910000000</v>
      </c>
      <c r="H220">
        <v>579900000</v>
      </c>
      <c r="I220">
        <v>200</v>
      </c>
      <c r="J220">
        <v>234.966</v>
      </c>
      <c r="K220">
        <f t="shared" si="44"/>
        <v>1137936579.10081</v>
      </c>
      <c r="L220">
        <f t="shared" si="45"/>
        <v>98170769111.2757</v>
      </c>
      <c r="M220">
        <f t="shared" si="46"/>
        <v>98094242592.5453</v>
      </c>
      <c r="N220">
        <f t="shared" si="47"/>
        <v>739628803.529021</v>
      </c>
    </row>
    <row r="221" customFormat="1" spans="1:14">
      <c r="A221">
        <v>2014</v>
      </c>
      <c r="B221" s="13" t="s">
        <v>18</v>
      </c>
      <c r="C221" s="11">
        <f>4.55*1000000000</f>
        <v>4550000000</v>
      </c>
      <c r="D221" s="11">
        <f>-30.79*1000000</f>
        <v>-30790000</v>
      </c>
      <c r="E221" s="12">
        <f t="shared" si="50"/>
        <v>76970000000</v>
      </c>
      <c r="F221" s="12">
        <f t="shared" si="51"/>
        <v>525140000</v>
      </c>
      <c r="G221" s="12">
        <v>76910000000</v>
      </c>
      <c r="H221">
        <v>579900000</v>
      </c>
      <c r="I221">
        <v>200</v>
      </c>
      <c r="J221">
        <v>234.966</v>
      </c>
      <c r="K221">
        <f t="shared" si="44"/>
        <v>5803261003.71969</v>
      </c>
      <c r="L221">
        <f t="shared" si="45"/>
        <v>98170769111.2757</v>
      </c>
      <c r="M221">
        <f t="shared" si="46"/>
        <v>98094242592.5453</v>
      </c>
      <c r="N221">
        <f t="shared" si="47"/>
        <v>739628803.529021</v>
      </c>
    </row>
    <row r="222" customFormat="1" spans="1:14">
      <c r="A222">
        <v>2014</v>
      </c>
      <c r="B222" s="13" t="s">
        <v>25</v>
      </c>
      <c r="C222" s="11">
        <f>48.38*1000000000</f>
        <v>48380000000</v>
      </c>
      <c r="D222" s="11">
        <f>-82.41*1000000</f>
        <v>-82410000</v>
      </c>
      <c r="E222" s="12">
        <f t="shared" si="50"/>
        <v>76970000000</v>
      </c>
      <c r="F222" s="12">
        <f t="shared" si="51"/>
        <v>525140000</v>
      </c>
      <c r="G222" s="12">
        <v>76910000000</v>
      </c>
      <c r="H222">
        <v>579900000</v>
      </c>
      <c r="I222">
        <v>200</v>
      </c>
      <c r="J222">
        <v>234.966</v>
      </c>
      <c r="K222">
        <f t="shared" si="44"/>
        <v>61705882936.2546</v>
      </c>
      <c r="L222">
        <f t="shared" si="45"/>
        <v>98170769111.2757</v>
      </c>
      <c r="M222">
        <f t="shared" si="46"/>
        <v>98094242592.5453</v>
      </c>
      <c r="N222">
        <f t="shared" si="47"/>
        <v>739628803.529021</v>
      </c>
    </row>
    <row r="223" customFormat="1" spans="1:14">
      <c r="A223">
        <v>2015</v>
      </c>
      <c r="B223" s="13" t="s">
        <v>14</v>
      </c>
      <c r="C223" s="11">
        <v>0</v>
      </c>
      <c r="D223" s="11">
        <v>0</v>
      </c>
      <c r="E223" s="12">
        <f t="shared" ref="E223:E235" si="52">81.51*1000000000</f>
        <v>81510000000</v>
      </c>
      <c r="F223" s="12">
        <f t="shared" ref="F223:F235" si="53">665.11*1000000</f>
        <v>665110000</v>
      </c>
      <c r="G223" s="12">
        <v>81440000000</v>
      </c>
      <c r="H223">
        <v>736510000</v>
      </c>
      <c r="I223">
        <v>200</v>
      </c>
      <c r="J223">
        <v>236.6765</v>
      </c>
      <c r="K223">
        <f t="shared" si="44"/>
        <v>0</v>
      </c>
      <c r="L223">
        <f t="shared" si="45"/>
        <v>103209930453.594</v>
      </c>
      <c r="M223">
        <f t="shared" si="46"/>
        <v>103121294763.105</v>
      </c>
      <c r="N223">
        <f t="shared" si="47"/>
        <v>932586748.599882</v>
      </c>
    </row>
    <row r="224" customFormat="1" spans="1:14">
      <c r="A224">
        <v>2015</v>
      </c>
      <c r="B224" s="13" t="s">
        <v>15</v>
      </c>
      <c r="C224" s="11">
        <f>551.49*1000000</f>
        <v>551490000</v>
      </c>
      <c r="D224" s="11">
        <f>6.26*1000000</f>
        <v>6260000</v>
      </c>
      <c r="E224" s="12">
        <f t="shared" si="52"/>
        <v>81510000000</v>
      </c>
      <c r="F224" s="12">
        <f t="shared" si="53"/>
        <v>665110000</v>
      </c>
      <c r="G224" s="12">
        <v>81440000000</v>
      </c>
      <c r="H224">
        <v>736510000</v>
      </c>
      <c r="I224">
        <v>200</v>
      </c>
      <c r="J224">
        <v>236.6765</v>
      </c>
      <c r="K224">
        <f t="shared" si="44"/>
        <v>698309956.396178</v>
      </c>
      <c r="L224">
        <f t="shared" si="45"/>
        <v>103209930453.594</v>
      </c>
      <c r="M224">
        <f t="shared" si="46"/>
        <v>103121294763.105</v>
      </c>
      <c r="N224">
        <f t="shared" si="47"/>
        <v>932586748.599882</v>
      </c>
    </row>
    <row r="225" customFormat="1" spans="1:14">
      <c r="A225">
        <v>2015</v>
      </c>
      <c r="B225" s="13" t="s">
        <v>18</v>
      </c>
      <c r="C225" s="11">
        <f>4.72*1000000000</f>
        <v>4720000000</v>
      </c>
      <c r="D225" s="11">
        <f>84.58*1000000</f>
        <v>84580000</v>
      </c>
      <c r="E225" s="12">
        <f t="shared" si="52"/>
        <v>81510000000</v>
      </c>
      <c r="F225" s="12">
        <f t="shared" si="53"/>
        <v>665110000</v>
      </c>
      <c r="G225" s="12">
        <v>81440000000</v>
      </c>
      <c r="H225">
        <v>736510000</v>
      </c>
      <c r="I225">
        <v>200</v>
      </c>
      <c r="J225">
        <v>236.6765</v>
      </c>
      <c r="K225">
        <f t="shared" si="44"/>
        <v>5976577987.25264</v>
      </c>
      <c r="L225">
        <f t="shared" si="45"/>
        <v>103209930453.594</v>
      </c>
      <c r="M225">
        <f t="shared" si="46"/>
        <v>103121294763.105</v>
      </c>
      <c r="N225">
        <f t="shared" si="47"/>
        <v>932586748.599882</v>
      </c>
    </row>
    <row r="226" customFormat="1" spans="1:14">
      <c r="A226">
        <v>2015</v>
      </c>
      <c r="B226" s="13" t="s">
        <v>20</v>
      </c>
      <c r="C226" s="11">
        <f>-109.97*1000000</f>
        <v>-109970000</v>
      </c>
      <c r="D226" s="11">
        <f>94.97*1000000</f>
        <v>94970000</v>
      </c>
      <c r="E226" s="12">
        <f t="shared" si="52"/>
        <v>81510000000</v>
      </c>
      <c r="F226" s="12">
        <f t="shared" si="53"/>
        <v>665110000</v>
      </c>
      <c r="G226" s="12">
        <v>81440000000</v>
      </c>
      <c r="H226">
        <v>736510000</v>
      </c>
      <c r="I226">
        <v>200</v>
      </c>
      <c r="J226">
        <v>236.6765</v>
      </c>
      <c r="K226">
        <f t="shared" si="44"/>
        <v>-139246669.758088</v>
      </c>
      <c r="L226">
        <f t="shared" si="45"/>
        <v>103209930453.594</v>
      </c>
      <c r="M226">
        <f t="shared" si="46"/>
        <v>103121294763.105</v>
      </c>
      <c r="N226">
        <f t="shared" si="47"/>
        <v>932586748.599882</v>
      </c>
    </row>
    <row r="227" customFormat="1" spans="1:14">
      <c r="A227">
        <v>2015</v>
      </c>
      <c r="B227" s="13" t="s">
        <v>22</v>
      </c>
      <c r="C227" s="11">
        <f>12.25*1000000000</f>
        <v>12250000000</v>
      </c>
      <c r="D227" s="11">
        <f>264.34*1000000</f>
        <v>264340000</v>
      </c>
      <c r="E227" s="12">
        <f t="shared" si="52"/>
        <v>81510000000</v>
      </c>
      <c r="F227" s="12">
        <f t="shared" si="53"/>
        <v>665110000</v>
      </c>
      <c r="G227" s="12">
        <v>81440000000</v>
      </c>
      <c r="H227">
        <v>736510000</v>
      </c>
      <c r="I227">
        <v>200</v>
      </c>
      <c r="J227">
        <v>236.6765</v>
      </c>
      <c r="K227">
        <f t="shared" si="44"/>
        <v>15511245835.5604</v>
      </c>
      <c r="L227">
        <f t="shared" si="45"/>
        <v>103209930453.594</v>
      </c>
      <c r="M227">
        <f t="shared" si="46"/>
        <v>103121294763.105</v>
      </c>
      <c r="N227">
        <f t="shared" si="47"/>
        <v>932586748.599882</v>
      </c>
    </row>
    <row r="228" customFormat="1" spans="1:14">
      <c r="A228">
        <v>2015</v>
      </c>
      <c r="B228" s="13" t="s">
        <v>19</v>
      </c>
      <c r="C228" s="11">
        <f>928.51*1000000</f>
        <v>928510000</v>
      </c>
      <c r="D228" s="11">
        <f>312.75*1000000</f>
        <v>312750000</v>
      </c>
      <c r="E228" s="12">
        <f t="shared" si="52"/>
        <v>81510000000</v>
      </c>
      <c r="F228" s="12">
        <f t="shared" si="53"/>
        <v>665110000</v>
      </c>
      <c r="G228" s="12">
        <v>81440000000</v>
      </c>
      <c r="H228">
        <v>736510000</v>
      </c>
      <c r="I228">
        <v>200</v>
      </c>
      <c r="J228">
        <v>236.6765</v>
      </c>
      <c r="K228">
        <f t="shared" si="44"/>
        <v>1175701785.36948</v>
      </c>
      <c r="L228">
        <f t="shared" si="45"/>
        <v>103209930453.594</v>
      </c>
      <c r="M228">
        <f t="shared" si="46"/>
        <v>103121294763.105</v>
      </c>
      <c r="N228">
        <f t="shared" si="47"/>
        <v>932586748.599882</v>
      </c>
    </row>
    <row r="229" customFormat="1" spans="1:14">
      <c r="A229">
        <v>2015</v>
      </c>
      <c r="B229" s="13" t="s">
        <v>23</v>
      </c>
      <c r="C229" s="11">
        <f>7.13*1000000000</f>
        <v>7130000000</v>
      </c>
      <c r="D229" s="11">
        <f>421.45*1000000</f>
        <v>421450000</v>
      </c>
      <c r="E229" s="12">
        <f t="shared" si="52"/>
        <v>81510000000</v>
      </c>
      <c r="F229" s="12">
        <f t="shared" si="53"/>
        <v>665110000</v>
      </c>
      <c r="G229" s="12">
        <v>81440000000</v>
      </c>
      <c r="H229">
        <v>736510000</v>
      </c>
      <c r="I229">
        <v>200</v>
      </c>
      <c r="J229">
        <v>236.6765</v>
      </c>
      <c r="K229">
        <f t="shared" si="44"/>
        <v>9028178188.37105</v>
      </c>
      <c r="L229">
        <f t="shared" si="45"/>
        <v>103209930453.594</v>
      </c>
      <c r="M229">
        <f t="shared" si="46"/>
        <v>103121294763.105</v>
      </c>
      <c r="N229">
        <f t="shared" si="47"/>
        <v>932586748.599882</v>
      </c>
    </row>
    <row r="230" customFormat="1" spans="1:14">
      <c r="A230">
        <v>2015</v>
      </c>
      <c r="B230" s="13" t="s">
        <v>25</v>
      </c>
      <c r="C230" s="11">
        <f>51.94*1000000000</f>
        <v>51940000000</v>
      </c>
      <c r="D230" s="11">
        <f>-194.95*1000000</f>
        <v>-194950000</v>
      </c>
      <c r="E230" s="12">
        <f t="shared" si="52"/>
        <v>81510000000</v>
      </c>
      <c r="F230" s="12">
        <f t="shared" si="53"/>
        <v>665110000</v>
      </c>
      <c r="G230" s="12">
        <v>81440000000</v>
      </c>
      <c r="H230">
        <v>736510000</v>
      </c>
      <c r="I230">
        <v>200</v>
      </c>
      <c r="J230">
        <v>236.6765</v>
      </c>
      <c r="K230">
        <f t="shared" si="44"/>
        <v>65767682342.7759</v>
      </c>
      <c r="L230">
        <f t="shared" si="45"/>
        <v>103209930453.594</v>
      </c>
      <c r="M230">
        <f t="shared" si="46"/>
        <v>103121294763.105</v>
      </c>
      <c r="N230">
        <f t="shared" si="47"/>
        <v>932586748.599882</v>
      </c>
    </row>
    <row r="231" customFormat="1" spans="1:14">
      <c r="A231">
        <v>2015</v>
      </c>
      <c r="B231" s="13" t="s">
        <v>26</v>
      </c>
      <c r="C231" s="11">
        <f>703.01*1000000</f>
        <v>703010000</v>
      </c>
      <c r="D231" s="11">
        <f>-24.63*1000000</f>
        <v>-24630000</v>
      </c>
      <c r="E231" s="12">
        <f t="shared" si="52"/>
        <v>81510000000</v>
      </c>
      <c r="F231" s="12">
        <f t="shared" si="53"/>
        <v>665110000</v>
      </c>
      <c r="G231" s="12">
        <v>81440000000</v>
      </c>
      <c r="H231">
        <v>736510000</v>
      </c>
      <c r="I231">
        <v>200</v>
      </c>
      <c r="J231">
        <v>236.6765</v>
      </c>
      <c r="K231">
        <f t="shared" si="44"/>
        <v>890168239.580186</v>
      </c>
      <c r="L231">
        <f t="shared" si="45"/>
        <v>103209930453.594</v>
      </c>
      <c r="M231">
        <f t="shared" si="46"/>
        <v>103121294763.105</v>
      </c>
      <c r="N231">
        <f t="shared" si="47"/>
        <v>932586748.599882</v>
      </c>
    </row>
    <row r="232" customFormat="1" spans="1:14">
      <c r="A232">
        <v>2015</v>
      </c>
      <c r="B232" s="13" t="s">
        <v>21</v>
      </c>
      <c r="C232" s="11">
        <f>2.4*1000000000</f>
        <v>2400000000</v>
      </c>
      <c r="D232" s="11">
        <f>-283.34*1000000</f>
        <v>-283340000</v>
      </c>
      <c r="E232" s="12">
        <f t="shared" si="52"/>
        <v>81510000000</v>
      </c>
      <c r="F232" s="12">
        <f t="shared" si="53"/>
        <v>665110000</v>
      </c>
      <c r="G232" s="12">
        <v>81440000000</v>
      </c>
      <c r="H232">
        <v>736510000</v>
      </c>
      <c r="I232">
        <v>200</v>
      </c>
      <c r="J232">
        <v>236.6765</v>
      </c>
      <c r="K232">
        <f t="shared" si="44"/>
        <v>3038937959.61999</v>
      </c>
      <c r="L232">
        <f t="shared" si="45"/>
        <v>103209930453.594</v>
      </c>
      <c r="M232">
        <f t="shared" si="46"/>
        <v>103121294763.105</v>
      </c>
      <c r="N232">
        <f t="shared" si="47"/>
        <v>932586748.599882</v>
      </c>
    </row>
    <row r="233" customFormat="1" spans="1:14">
      <c r="A233">
        <v>2015</v>
      </c>
      <c r="B233" s="13" t="s">
        <v>17</v>
      </c>
      <c r="C233" s="11">
        <f>408.64*1000</f>
        <v>408640</v>
      </c>
      <c r="D233" s="11">
        <f>-408.64*1000</f>
        <v>-408640</v>
      </c>
      <c r="E233" s="12">
        <f t="shared" si="52"/>
        <v>81510000000</v>
      </c>
      <c r="F233" s="12">
        <f t="shared" si="53"/>
        <v>665110000</v>
      </c>
      <c r="G233" s="12">
        <v>81440000000</v>
      </c>
      <c r="H233">
        <v>736510000</v>
      </c>
      <c r="I233">
        <v>200</v>
      </c>
      <c r="J233">
        <v>236.6765</v>
      </c>
      <c r="K233">
        <f t="shared" si="44"/>
        <v>517429.836591297</v>
      </c>
      <c r="L233">
        <f t="shared" si="45"/>
        <v>103209930453.594</v>
      </c>
      <c r="M233">
        <f t="shared" si="46"/>
        <v>103121294763.105</v>
      </c>
      <c r="N233">
        <f t="shared" si="47"/>
        <v>932586748.599882</v>
      </c>
    </row>
    <row r="234" customFormat="1" spans="1:14">
      <c r="A234">
        <v>2015</v>
      </c>
      <c r="B234" s="13" t="s">
        <v>24</v>
      </c>
      <c r="C234" s="11">
        <f>959.28*1000000</f>
        <v>959280000</v>
      </c>
      <c r="D234" s="11">
        <f>-6.67*1000000</f>
        <v>-6670000</v>
      </c>
      <c r="E234" s="12">
        <f t="shared" si="52"/>
        <v>81510000000</v>
      </c>
      <c r="F234" s="12">
        <f t="shared" si="53"/>
        <v>665110000</v>
      </c>
      <c r="G234" s="12">
        <v>81440000000</v>
      </c>
      <c r="H234">
        <v>736510000</v>
      </c>
      <c r="I234">
        <v>200</v>
      </c>
      <c r="J234">
        <v>236.6765</v>
      </c>
      <c r="K234">
        <f t="shared" si="44"/>
        <v>1214663502.46011</v>
      </c>
      <c r="L234">
        <f t="shared" si="45"/>
        <v>103209930453.594</v>
      </c>
      <c r="M234">
        <f t="shared" si="46"/>
        <v>103121294763.105</v>
      </c>
      <c r="N234">
        <f t="shared" si="47"/>
        <v>932586748.599882</v>
      </c>
    </row>
    <row r="235" customFormat="1" spans="1:14">
      <c r="A235">
        <v>2015</v>
      </c>
      <c r="B235" s="13" t="s">
        <v>16</v>
      </c>
      <c r="C235" s="11">
        <f>29.89*1000000</f>
        <v>29890000</v>
      </c>
      <c r="D235" s="11">
        <f>-9.25*1000000</f>
        <v>-9250000</v>
      </c>
      <c r="E235" s="12">
        <f t="shared" si="52"/>
        <v>81510000000</v>
      </c>
      <c r="F235" s="12">
        <f t="shared" si="53"/>
        <v>665110000</v>
      </c>
      <c r="G235" s="12">
        <v>81440000000</v>
      </c>
      <c r="H235">
        <v>736510000</v>
      </c>
      <c r="I235">
        <v>200</v>
      </c>
      <c r="J235">
        <v>236.6765</v>
      </c>
      <c r="K235">
        <f t="shared" si="44"/>
        <v>37847439.8387673</v>
      </c>
      <c r="L235">
        <f t="shared" si="45"/>
        <v>103209930453.594</v>
      </c>
      <c r="M235">
        <f t="shared" si="46"/>
        <v>103121294763.105</v>
      </c>
      <c r="N235">
        <f t="shared" si="47"/>
        <v>932586748.599882</v>
      </c>
    </row>
    <row r="236" customFormat="1" spans="1:14">
      <c r="A236">
        <v>2016</v>
      </c>
      <c r="B236" s="13" t="s">
        <v>20</v>
      </c>
      <c r="C236" s="11">
        <f>-772.32*1000</f>
        <v>-772320</v>
      </c>
      <c r="D236" s="11">
        <f>-14.23*1000000</f>
        <v>-14230000</v>
      </c>
      <c r="E236" s="12">
        <f t="shared" ref="E236:E248" si="54">83.26*1000000000</f>
        <v>83260000000</v>
      </c>
      <c r="F236" s="12">
        <f t="shared" ref="F236:F248" si="55">1.12*1000000000</f>
        <v>1120000000</v>
      </c>
      <c r="G236" s="12">
        <v>83180000000</v>
      </c>
      <c r="H236" s="12">
        <v>1210000000</v>
      </c>
      <c r="I236">
        <v>200</v>
      </c>
      <c r="J236">
        <v>238.2735</v>
      </c>
      <c r="K236">
        <f t="shared" si="44"/>
        <v>-971375.773470403</v>
      </c>
      <c r="L236">
        <f t="shared" si="45"/>
        <v>104719218587.044</v>
      </c>
      <c r="M236">
        <f t="shared" si="46"/>
        <v>104618599592.485</v>
      </c>
      <c r="N236">
        <f t="shared" si="47"/>
        <v>1521862292.70145</v>
      </c>
    </row>
    <row r="237" customFormat="1" spans="1:14">
      <c r="A237">
        <v>2016</v>
      </c>
      <c r="B237" s="13" t="s">
        <v>17</v>
      </c>
      <c r="C237" s="11">
        <f>6.16*1000000</f>
        <v>6160000</v>
      </c>
      <c r="D237" s="11">
        <v>-0.1</v>
      </c>
      <c r="E237" s="12">
        <f t="shared" si="54"/>
        <v>83260000000</v>
      </c>
      <c r="F237" s="12">
        <f t="shared" si="55"/>
        <v>1120000000</v>
      </c>
      <c r="G237" s="12">
        <v>83180000000</v>
      </c>
      <c r="H237" s="12">
        <v>1210000000</v>
      </c>
      <c r="I237">
        <v>200</v>
      </c>
      <c r="J237">
        <v>238.2735</v>
      </c>
      <c r="K237">
        <f t="shared" si="44"/>
        <v>7747662.58102559</v>
      </c>
      <c r="L237">
        <f t="shared" si="45"/>
        <v>104719218587.044</v>
      </c>
      <c r="M237">
        <f t="shared" si="46"/>
        <v>104618599592.485</v>
      </c>
      <c r="N237">
        <f t="shared" si="47"/>
        <v>1521862292.70145</v>
      </c>
    </row>
    <row r="238" customFormat="1" spans="1:14">
      <c r="A238">
        <v>2016</v>
      </c>
      <c r="B238" s="13" t="s">
        <v>14</v>
      </c>
      <c r="C238" s="11">
        <v>0</v>
      </c>
      <c r="D238" s="11">
        <v>0</v>
      </c>
      <c r="E238" s="12">
        <f t="shared" si="54"/>
        <v>83260000000</v>
      </c>
      <c r="F238" s="12">
        <f t="shared" si="55"/>
        <v>1120000000</v>
      </c>
      <c r="G238" s="12">
        <v>83180000000</v>
      </c>
      <c r="H238" s="12">
        <v>1210000000</v>
      </c>
      <c r="I238">
        <v>200</v>
      </c>
      <c r="J238">
        <v>238.2735</v>
      </c>
      <c r="K238">
        <f t="shared" si="44"/>
        <v>0</v>
      </c>
      <c r="L238">
        <f t="shared" si="45"/>
        <v>104719218587.044</v>
      </c>
      <c r="M238">
        <f t="shared" si="46"/>
        <v>104618599592.485</v>
      </c>
      <c r="N238">
        <f t="shared" si="47"/>
        <v>1521862292.70145</v>
      </c>
    </row>
    <row r="239" customFormat="1" spans="1:14">
      <c r="A239">
        <v>2016</v>
      </c>
      <c r="B239" s="13" t="s">
        <v>19</v>
      </c>
      <c r="C239" s="11">
        <f>908.97*1000000</f>
        <v>908970000</v>
      </c>
      <c r="D239" s="11">
        <f>14.4*1000000</f>
        <v>14400000</v>
      </c>
      <c r="E239" s="12">
        <f t="shared" si="54"/>
        <v>83260000000</v>
      </c>
      <c r="F239" s="12">
        <f t="shared" si="55"/>
        <v>1120000000</v>
      </c>
      <c r="G239" s="12">
        <v>83180000000</v>
      </c>
      <c r="H239" s="12">
        <v>1210000000</v>
      </c>
      <c r="I239">
        <v>200</v>
      </c>
      <c r="J239">
        <v>238.2735</v>
      </c>
      <c r="K239">
        <f t="shared" si="44"/>
        <v>1143245593.55111</v>
      </c>
      <c r="L239">
        <f t="shared" si="45"/>
        <v>104719218587.044</v>
      </c>
      <c r="M239">
        <f t="shared" si="46"/>
        <v>104618599592.485</v>
      </c>
      <c r="N239">
        <f t="shared" si="47"/>
        <v>1521862292.70145</v>
      </c>
    </row>
    <row r="240" customFormat="1" spans="1:14">
      <c r="A240">
        <v>2016</v>
      </c>
      <c r="B240" s="13" t="s">
        <v>15</v>
      </c>
      <c r="C240" s="11">
        <f>557.22*1000000</f>
        <v>557220000</v>
      </c>
      <c r="D240" s="11">
        <f>16.5*1000000</f>
        <v>16500000</v>
      </c>
      <c r="E240" s="12">
        <f t="shared" si="54"/>
        <v>83260000000</v>
      </c>
      <c r="F240" s="12">
        <f t="shared" si="55"/>
        <v>1120000000</v>
      </c>
      <c r="G240" s="12">
        <v>83180000000</v>
      </c>
      <c r="H240" s="12">
        <v>1210000000</v>
      </c>
      <c r="I240">
        <v>200</v>
      </c>
      <c r="J240">
        <v>238.2735</v>
      </c>
      <c r="K240">
        <f t="shared" si="44"/>
        <v>700836451.8505</v>
      </c>
      <c r="L240">
        <f t="shared" si="45"/>
        <v>104719218587.044</v>
      </c>
      <c r="M240">
        <f t="shared" si="46"/>
        <v>104618599592.485</v>
      </c>
      <c r="N240">
        <f t="shared" si="47"/>
        <v>1521862292.70145</v>
      </c>
    </row>
    <row r="241" customFormat="1" spans="1:14">
      <c r="A241">
        <v>2016</v>
      </c>
      <c r="B241" s="13" t="s">
        <v>18</v>
      </c>
      <c r="C241" s="11">
        <f>4.55*1000000000</f>
        <v>4550000000</v>
      </c>
      <c r="D241" s="11">
        <f>155.6*1000000</f>
        <v>155600000</v>
      </c>
      <c r="E241" s="12">
        <f t="shared" si="54"/>
        <v>83260000000</v>
      </c>
      <c r="F241" s="12">
        <f t="shared" si="55"/>
        <v>1120000000</v>
      </c>
      <c r="G241" s="12">
        <v>83180000000</v>
      </c>
      <c r="H241" s="12">
        <v>1210000000</v>
      </c>
      <c r="I241">
        <v>200</v>
      </c>
      <c r="J241">
        <v>238.2735</v>
      </c>
      <c r="K241">
        <f t="shared" si="44"/>
        <v>5722705315.53026</v>
      </c>
      <c r="L241">
        <f t="shared" si="45"/>
        <v>104719218587.044</v>
      </c>
      <c r="M241">
        <f t="shared" si="46"/>
        <v>104618599592.485</v>
      </c>
      <c r="N241">
        <f t="shared" si="47"/>
        <v>1521862292.70145</v>
      </c>
    </row>
    <row r="242" customFormat="1" spans="1:14">
      <c r="A242">
        <v>2016</v>
      </c>
      <c r="B242" s="13" t="s">
        <v>25</v>
      </c>
      <c r="C242" s="11">
        <f>53.62*1000000000</f>
        <v>53620000000</v>
      </c>
      <c r="D242" s="11">
        <f>168.07*1000000</f>
        <v>168070000</v>
      </c>
      <c r="E242" s="12">
        <f t="shared" si="54"/>
        <v>83260000000</v>
      </c>
      <c r="F242" s="12">
        <f t="shared" si="55"/>
        <v>1120000000</v>
      </c>
      <c r="G242" s="12">
        <v>83180000000</v>
      </c>
      <c r="H242" s="12">
        <v>1210000000</v>
      </c>
      <c r="I242">
        <v>200</v>
      </c>
      <c r="J242">
        <v>238.2735</v>
      </c>
      <c r="K242">
        <f t="shared" si="44"/>
        <v>67439881103.0182</v>
      </c>
      <c r="L242">
        <f t="shared" si="45"/>
        <v>104719218587.044</v>
      </c>
      <c r="M242">
        <f t="shared" si="46"/>
        <v>104618599592.485</v>
      </c>
      <c r="N242">
        <f t="shared" si="47"/>
        <v>1521862292.70145</v>
      </c>
    </row>
    <row r="243" customFormat="1" spans="1:14">
      <c r="A243">
        <v>2016</v>
      </c>
      <c r="B243" s="13" t="s">
        <v>21</v>
      </c>
      <c r="C243" s="11">
        <f>1*1000000000</f>
        <v>1000000000</v>
      </c>
      <c r="D243" s="11">
        <f>211.07*1000000</f>
        <v>211070000</v>
      </c>
      <c r="E243" s="12">
        <f t="shared" si="54"/>
        <v>83260000000</v>
      </c>
      <c r="F243" s="12">
        <f t="shared" si="55"/>
        <v>1120000000</v>
      </c>
      <c r="G243" s="12">
        <v>83180000000</v>
      </c>
      <c r="H243" s="12">
        <v>1210000000</v>
      </c>
      <c r="I243">
        <v>200</v>
      </c>
      <c r="J243">
        <v>238.2735</v>
      </c>
      <c r="K243">
        <f t="shared" si="44"/>
        <v>1257737431.98467</v>
      </c>
      <c r="L243">
        <f t="shared" si="45"/>
        <v>104719218587.044</v>
      </c>
      <c r="M243">
        <f t="shared" si="46"/>
        <v>104618599592.485</v>
      </c>
      <c r="N243">
        <f t="shared" si="47"/>
        <v>1521862292.70145</v>
      </c>
    </row>
    <row r="244" customFormat="1" spans="1:14">
      <c r="A244">
        <v>2016</v>
      </c>
      <c r="B244" s="13" t="s">
        <v>22</v>
      </c>
      <c r="C244" s="11">
        <f>13.19*1000000000</f>
        <v>13190000000</v>
      </c>
      <c r="D244" s="11">
        <f>263.71*1000000</f>
        <v>263710000</v>
      </c>
      <c r="E244" s="12">
        <f t="shared" si="54"/>
        <v>83260000000</v>
      </c>
      <c r="F244" s="12">
        <f t="shared" si="55"/>
        <v>1120000000</v>
      </c>
      <c r="G244" s="12">
        <v>83180000000</v>
      </c>
      <c r="H244" s="12">
        <v>1210000000</v>
      </c>
      <c r="I244">
        <v>200</v>
      </c>
      <c r="J244">
        <v>238.2735</v>
      </c>
      <c r="K244">
        <f t="shared" si="44"/>
        <v>16589556727.8778</v>
      </c>
      <c r="L244">
        <f t="shared" si="45"/>
        <v>104719218587.044</v>
      </c>
      <c r="M244">
        <f t="shared" si="46"/>
        <v>104618599592.485</v>
      </c>
      <c r="N244">
        <f t="shared" si="47"/>
        <v>1521862292.70145</v>
      </c>
    </row>
    <row r="245" customFormat="1" spans="1:14">
      <c r="A245">
        <v>2016</v>
      </c>
      <c r="B245" s="13" t="s">
        <v>23</v>
      </c>
      <c r="C245" s="11">
        <f>7.63*1000000000</f>
        <v>7630000000</v>
      </c>
      <c r="D245" s="11">
        <f>336.44*1000000</f>
        <v>336440000</v>
      </c>
      <c r="E245" s="12">
        <f t="shared" si="54"/>
        <v>83260000000</v>
      </c>
      <c r="F245" s="12">
        <f t="shared" si="55"/>
        <v>1120000000</v>
      </c>
      <c r="G245" s="12">
        <v>83180000000</v>
      </c>
      <c r="H245" s="12">
        <v>1210000000</v>
      </c>
      <c r="I245">
        <v>200</v>
      </c>
      <c r="J245">
        <v>238.2735</v>
      </c>
      <c r="K245">
        <f t="shared" si="44"/>
        <v>9596536606.04305</v>
      </c>
      <c r="L245">
        <f t="shared" si="45"/>
        <v>104719218587.044</v>
      </c>
      <c r="M245">
        <f t="shared" si="46"/>
        <v>104618599592.485</v>
      </c>
      <c r="N245">
        <f t="shared" si="47"/>
        <v>1521862292.70145</v>
      </c>
    </row>
    <row r="246" customFormat="1" spans="1:14">
      <c r="A246">
        <v>2016</v>
      </c>
      <c r="B246" s="13" t="s">
        <v>24</v>
      </c>
      <c r="C246" s="11">
        <f>994.56*1000000</f>
        <v>994560000</v>
      </c>
      <c r="D246" s="11">
        <f>-1.32*1000000</f>
        <v>-1320000</v>
      </c>
      <c r="E246" s="12">
        <f t="shared" si="54"/>
        <v>83260000000</v>
      </c>
      <c r="F246" s="12">
        <f t="shared" si="55"/>
        <v>1120000000</v>
      </c>
      <c r="G246" s="12">
        <v>83180000000</v>
      </c>
      <c r="H246" s="12">
        <v>1210000000</v>
      </c>
      <c r="I246">
        <v>200</v>
      </c>
      <c r="J246">
        <v>238.2735</v>
      </c>
      <c r="K246">
        <f t="shared" si="44"/>
        <v>1250895340.35468</v>
      </c>
      <c r="L246">
        <f t="shared" si="45"/>
        <v>104719218587.044</v>
      </c>
      <c r="M246">
        <f t="shared" si="46"/>
        <v>104618599592.485</v>
      </c>
      <c r="N246">
        <f t="shared" si="47"/>
        <v>1521862292.70145</v>
      </c>
    </row>
    <row r="247" customFormat="1" spans="1:14">
      <c r="A247">
        <v>2016</v>
      </c>
      <c r="B247" s="13" t="s">
        <v>26</v>
      </c>
      <c r="C247" s="11">
        <f>728.34*1000000</f>
        <v>728340000</v>
      </c>
      <c r="D247" s="11">
        <f>-13.23*1000000</f>
        <v>-13230000</v>
      </c>
      <c r="E247" s="12">
        <f t="shared" si="54"/>
        <v>83260000000</v>
      </c>
      <c r="F247" s="12">
        <f t="shared" si="55"/>
        <v>1120000000</v>
      </c>
      <c r="G247" s="12">
        <v>83180000000</v>
      </c>
      <c r="H247" s="12">
        <v>1210000000</v>
      </c>
      <c r="I247">
        <v>200</v>
      </c>
      <c r="J247">
        <v>238.2735</v>
      </c>
      <c r="K247">
        <f t="shared" si="44"/>
        <v>916060481.211717</v>
      </c>
      <c r="L247">
        <f t="shared" si="45"/>
        <v>104719218587.044</v>
      </c>
      <c r="M247">
        <f t="shared" si="46"/>
        <v>104618599592.485</v>
      </c>
      <c r="N247">
        <f t="shared" si="47"/>
        <v>1521862292.70145</v>
      </c>
    </row>
    <row r="248" customFormat="1" spans="1:14">
      <c r="A248">
        <v>2016</v>
      </c>
      <c r="B248" s="13" t="s">
        <v>16</v>
      </c>
      <c r="C248" s="11">
        <f>78.79*1000000</f>
        <v>78790000</v>
      </c>
      <c r="D248" s="11">
        <f>-14.36*1000000</f>
        <v>-14360000</v>
      </c>
      <c r="E248" s="12">
        <f t="shared" si="54"/>
        <v>83260000000</v>
      </c>
      <c r="F248" s="12">
        <f t="shared" si="55"/>
        <v>1120000000</v>
      </c>
      <c r="G248" s="12">
        <v>83180000000</v>
      </c>
      <c r="H248" s="12">
        <v>1210000000</v>
      </c>
      <c r="I248">
        <v>200</v>
      </c>
      <c r="J248">
        <v>238.2735</v>
      </c>
      <c r="K248">
        <f t="shared" si="44"/>
        <v>99097132.2660724</v>
      </c>
      <c r="L248">
        <f t="shared" si="45"/>
        <v>104719218587.044</v>
      </c>
      <c r="M248">
        <f t="shared" si="46"/>
        <v>104618599592.485</v>
      </c>
      <c r="N248">
        <f t="shared" si="47"/>
        <v>1521862292.70145</v>
      </c>
    </row>
    <row r="249" customFormat="1" spans="1:14">
      <c r="A249">
        <v>2017</v>
      </c>
      <c r="B249" s="13" t="s">
        <v>14</v>
      </c>
      <c r="C249" s="11">
        <v>0</v>
      </c>
      <c r="D249" s="11">
        <v>0</v>
      </c>
      <c r="E249" s="12">
        <f t="shared" ref="E249:E261" si="56">86.69*1000000000</f>
        <v>86690000000</v>
      </c>
      <c r="F249" s="12">
        <f t="shared" ref="F249:F261" si="57">819.94*1000000</f>
        <v>819940000</v>
      </c>
      <c r="G249" s="12">
        <v>86630000000</v>
      </c>
      <c r="H249">
        <v>871280000</v>
      </c>
      <c r="I249">
        <v>200</v>
      </c>
      <c r="J249">
        <v>242.6565</v>
      </c>
      <c r="K249">
        <f t="shared" si="44"/>
        <v>0</v>
      </c>
      <c r="L249">
        <f t="shared" si="45"/>
        <v>107063837131.913</v>
      </c>
      <c r="M249">
        <f t="shared" si="46"/>
        <v>106989735964.213</v>
      </c>
      <c r="N249">
        <f t="shared" si="47"/>
        <v>1076047756.56123</v>
      </c>
    </row>
    <row r="250" customFormat="1" spans="1:14">
      <c r="A250">
        <v>2017</v>
      </c>
      <c r="B250" s="13" t="s">
        <v>16</v>
      </c>
      <c r="C250" s="11">
        <f>73.13*1000000</f>
        <v>73130000</v>
      </c>
      <c r="D250" s="11">
        <f>7.41*1000000</f>
        <v>7410000</v>
      </c>
      <c r="E250" s="12">
        <f t="shared" si="56"/>
        <v>86690000000</v>
      </c>
      <c r="F250" s="12">
        <f t="shared" si="57"/>
        <v>819940000</v>
      </c>
      <c r="G250" s="12">
        <v>86630000000</v>
      </c>
      <c r="H250">
        <v>871280000</v>
      </c>
      <c r="I250">
        <v>200</v>
      </c>
      <c r="J250">
        <v>242.6565</v>
      </c>
      <c r="K250">
        <f t="shared" si="44"/>
        <v>90316973.2317082</v>
      </c>
      <c r="L250">
        <f t="shared" si="45"/>
        <v>107063837131.913</v>
      </c>
      <c r="M250">
        <f t="shared" si="46"/>
        <v>106989735964.213</v>
      </c>
      <c r="N250">
        <f t="shared" si="47"/>
        <v>1076047756.56123</v>
      </c>
    </row>
    <row r="251" customFormat="1" spans="1:14">
      <c r="A251">
        <v>2017</v>
      </c>
      <c r="B251" s="13" t="s">
        <v>19</v>
      </c>
      <c r="C251" s="11">
        <f>1.22*1000000000</f>
        <v>1220000000</v>
      </c>
      <c r="D251" s="11">
        <f>19.36*1000000</f>
        <v>19360000</v>
      </c>
      <c r="E251" s="12">
        <f t="shared" si="56"/>
        <v>86690000000</v>
      </c>
      <c r="F251" s="12">
        <f t="shared" si="57"/>
        <v>819940000</v>
      </c>
      <c r="G251" s="12">
        <v>86630000000</v>
      </c>
      <c r="H251">
        <v>871280000</v>
      </c>
      <c r="I251">
        <v>200</v>
      </c>
      <c r="J251">
        <v>242.6565</v>
      </c>
      <c r="K251">
        <f t="shared" si="44"/>
        <v>1506723743.23375</v>
      </c>
      <c r="L251">
        <f t="shared" si="45"/>
        <v>107063837131.913</v>
      </c>
      <c r="M251">
        <f t="shared" si="46"/>
        <v>106989735964.213</v>
      </c>
      <c r="N251">
        <f t="shared" si="47"/>
        <v>1076047756.56123</v>
      </c>
    </row>
    <row r="252" customFormat="1" spans="1:14">
      <c r="A252">
        <v>2017</v>
      </c>
      <c r="B252" s="13" t="s">
        <v>20</v>
      </c>
      <c r="C252" s="11">
        <f>557.64*1000000</f>
        <v>557640000</v>
      </c>
      <c r="D252" s="11">
        <f>55.36*1000000</f>
        <v>55360000</v>
      </c>
      <c r="E252" s="12">
        <f t="shared" si="56"/>
        <v>86690000000</v>
      </c>
      <c r="F252" s="12">
        <f t="shared" si="57"/>
        <v>819940000</v>
      </c>
      <c r="G252" s="12">
        <v>86630000000</v>
      </c>
      <c r="H252">
        <v>871280000</v>
      </c>
      <c r="I252">
        <v>200</v>
      </c>
      <c r="J252">
        <v>242.6565</v>
      </c>
      <c r="K252">
        <f t="shared" si="44"/>
        <v>688696252.60399</v>
      </c>
      <c r="L252">
        <f t="shared" si="45"/>
        <v>107063837131.913</v>
      </c>
      <c r="M252">
        <f t="shared" si="46"/>
        <v>106989735964.213</v>
      </c>
      <c r="N252">
        <f t="shared" si="47"/>
        <v>1076047756.56123</v>
      </c>
    </row>
    <row r="253" customFormat="1" spans="1:14">
      <c r="A253">
        <v>2017</v>
      </c>
      <c r="B253" s="13" t="s">
        <v>21</v>
      </c>
      <c r="C253" s="11">
        <f>924.71*1000000</f>
        <v>924710000</v>
      </c>
      <c r="D253" s="11">
        <f>120.39*1000000</f>
        <v>120390000</v>
      </c>
      <c r="E253" s="12">
        <f t="shared" si="56"/>
        <v>86690000000</v>
      </c>
      <c r="F253" s="12">
        <f t="shared" si="57"/>
        <v>819940000</v>
      </c>
      <c r="G253" s="12">
        <v>86630000000</v>
      </c>
      <c r="H253">
        <v>871280000</v>
      </c>
      <c r="I253">
        <v>200</v>
      </c>
      <c r="J253">
        <v>242.6565</v>
      </c>
      <c r="K253">
        <f t="shared" si="44"/>
        <v>1142034846.3981</v>
      </c>
      <c r="L253">
        <f t="shared" si="45"/>
        <v>107063837131.913</v>
      </c>
      <c r="M253">
        <f t="shared" si="46"/>
        <v>106989735964.213</v>
      </c>
      <c r="N253">
        <f t="shared" si="47"/>
        <v>1076047756.56123</v>
      </c>
    </row>
    <row r="254" customFormat="1" spans="1:14">
      <c r="A254">
        <v>2017</v>
      </c>
      <c r="B254" s="13" t="s">
        <v>22</v>
      </c>
      <c r="C254" s="11">
        <f>14*1000000000</f>
        <v>14000000000</v>
      </c>
      <c r="D254" s="11">
        <f>271.82*1000000</f>
        <v>271820000</v>
      </c>
      <c r="E254" s="12">
        <f t="shared" si="56"/>
        <v>86690000000</v>
      </c>
      <c r="F254" s="12">
        <f t="shared" si="57"/>
        <v>819940000</v>
      </c>
      <c r="G254" s="12">
        <v>86630000000</v>
      </c>
      <c r="H254">
        <v>871280000</v>
      </c>
      <c r="I254">
        <v>200</v>
      </c>
      <c r="J254">
        <v>242.6565</v>
      </c>
      <c r="K254">
        <f t="shared" si="44"/>
        <v>17290272463.3381</v>
      </c>
      <c r="L254">
        <f t="shared" si="45"/>
        <v>107063837131.913</v>
      </c>
      <c r="M254">
        <f t="shared" si="46"/>
        <v>106989735964.213</v>
      </c>
      <c r="N254">
        <f t="shared" si="47"/>
        <v>1076047756.56123</v>
      </c>
    </row>
    <row r="255" customFormat="1" spans="1:14">
      <c r="A255">
        <v>2017</v>
      </c>
      <c r="B255" s="13" t="s">
        <v>23</v>
      </c>
      <c r="C255" s="11">
        <f>8.03*1000000000</f>
        <v>8030000000</v>
      </c>
      <c r="D255" s="11">
        <f>431.05*1000000</f>
        <v>431050000</v>
      </c>
      <c r="E255" s="12">
        <f t="shared" si="56"/>
        <v>86690000000</v>
      </c>
      <c r="F255" s="12">
        <f t="shared" si="57"/>
        <v>819940000</v>
      </c>
      <c r="G255" s="12">
        <v>86630000000</v>
      </c>
      <c r="H255">
        <v>871280000</v>
      </c>
      <c r="I255">
        <v>200</v>
      </c>
      <c r="J255">
        <v>242.6565</v>
      </c>
      <c r="K255">
        <f t="shared" si="44"/>
        <v>9917206277.18606</v>
      </c>
      <c r="L255">
        <f t="shared" si="45"/>
        <v>107063837131.913</v>
      </c>
      <c r="M255">
        <f t="shared" si="46"/>
        <v>106989735964.213</v>
      </c>
      <c r="N255">
        <f t="shared" si="47"/>
        <v>1076047756.56123</v>
      </c>
    </row>
    <row r="256" customFormat="1" spans="1:14">
      <c r="A256">
        <v>2017</v>
      </c>
      <c r="B256" s="13" t="s">
        <v>17</v>
      </c>
      <c r="C256" s="11">
        <f>59.06*1000000</f>
        <v>59060000</v>
      </c>
      <c r="D256" s="11">
        <f>-2.27*1000000</f>
        <v>-2270000</v>
      </c>
      <c r="E256" s="12">
        <f t="shared" si="56"/>
        <v>86690000000</v>
      </c>
      <c r="F256" s="12">
        <f t="shared" si="57"/>
        <v>819940000</v>
      </c>
      <c r="G256" s="12">
        <v>86630000000</v>
      </c>
      <c r="H256">
        <v>871280000</v>
      </c>
      <c r="I256">
        <v>200</v>
      </c>
      <c r="J256">
        <v>242.6565</v>
      </c>
      <c r="K256">
        <f t="shared" si="44"/>
        <v>72940249.4060534</v>
      </c>
      <c r="L256">
        <f t="shared" si="45"/>
        <v>107063837131.913</v>
      </c>
      <c r="M256">
        <f t="shared" si="46"/>
        <v>106989735964.213</v>
      </c>
      <c r="N256">
        <f t="shared" si="47"/>
        <v>1076047756.56123</v>
      </c>
    </row>
    <row r="257" customFormat="1" spans="1:14">
      <c r="A257">
        <v>2017</v>
      </c>
      <c r="B257" s="13" t="s">
        <v>18</v>
      </c>
      <c r="C257" s="11">
        <f>4.76*1000000000</f>
        <v>4760000000</v>
      </c>
      <c r="D257" s="11">
        <f>-3.38*1000000</f>
        <v>-3380000</v>
      </c>
      <c r="E257" s="12">
        <f t="shared" si="56"/>
        <v>86690000000</v>
      </c>
      <c r="F257" s="12">
        <f t="shared" si="57"/>
        <v>819940000</v>
      </c>
      <c r="G257" s="12">
        <v>86630000000</v>
      </c>
      <c r="H257">
        <v>871280000</v>
      </c>
      <c r="I257">
        <v>200</v>
      </c>
      <c r="J257">
        <v>242.6565</v>
      </c>
      <c r="K257">
        <f t="shared" si="44"/>
        <v>5878692637.53495</v>
      </c>
      <c r="L257">
        <f t="shared" si="45"/>
        <v>107063837131.913</v>
      </c>
      <c r="M257">
        <f t="shared" si="46"/>
        <v>106989735964.213</v>
      </c>
      <c r="N257">
        <f t="shared" si="47"/>
        <v>1076047756.56123</v>
      </c>
    </row>
    <row r="258" customFormat="1" spans="1:14">
      <c r="A258">
        <v>2017</v>
      </c>
      <c r="B258" s="13" t="s">
        <v>25</v>
      </c>
      <c r="C258" s="11">
        <f>54.66*1000000000</f>
        <v>54660000000</v>
      </c>
      <c r="D258" s="11">
        <f>-57.79*1000000</f>
        <v>-57790000</v>
      </c>
      <c r="E258" s="12">
        <f t="shared" si="56"/>
        <v>86690000000</v>
      </c>
      <c r="F258" s="12">
        <f t="shared" si="57"/>
        <v>819940000</v>
      </c>
      <c r="G258" s="12">
        <v>86630000000</v>
      </c>
      <c r="H258">
        <v>871280000</v>
      </c>
      <c r="I258">
        <v>200</v>
      </c>
      <c r="J258">
        <v>242.6565</v>
      </c>
      <c r="K258">
        <f t="shared" si="44"/>
        <v>67506163774.7186</v>
      </c>
      <c r="L258">
        <f t="shared" si="45"/>
        <v>107063837131.913</v>
      </c>
      <c r="M258">
        <f t="shared" si="46"/>
        <v>106989735964.213</v>
      </c>
      <c r="N258">
        <f t="shared" si="47"/>
        <v>1076047756.56123</v>
      </c>
    </row>
    <row r="259" customFormat="1" spans="1:14">
      <c r="A259">
        <v>2017</v>
      </c>
      <c r="B259" s="13" t="s">
        <v>15</v>
      </c>
      <c r="C259" s="11">
        <f>632.73*1000000</f>
        <v>632730000</v>
      </c>
      <c r="D259" s="11">
        <f>-6.61*1000000</f>
        <v>-6610000</v>
      </c>
      <c r="E259" s="12">
        <f t="shared" si="56"/>
        <v>86690000000</v>
      </c>
      <c r="F259" s="12">
        <f t="shared" si="57"/>
        <v>819940000</v>
      </c>
      <c r="G259" s="12">
        <v>86630000000</v>
      </c>
      <c r="H259">
        <v>871280000</v>
      </c>
      <c r="I259">
        <v>200</v>
      </c>
      <c r="J259">
        <v>242.6565</v>
      </c>
      <c r="K259">
        <f t="shared" ref="K259:K322" si="58">C259*299.6855/J259</f>
        <v>781433863.980565</v>
      </c>
      <c r="L259">
        <f t="shared" ref="L259:L322" si="59">E259*299.6855/J259</f>
        <v>107063837131.913</v>
      </c>
      <c r="M259">
        <f t="shared" ref="M259:M322" si="60">G259*299.6855/J259</f>
        <v>106989735964.213</v>
      </c>
      <c r="N259">
        <f t="shared" ref="N259:N322" si="61">H259*299.6855/J259</f>
        <v>1076047756.56123</v>
      </c>
    </row>
    <row r="260" customFormat="1" spans="1:14">
      <c r="A260">
        <v>2017</v>
      </c>
      <c r="B260" s="13" t="s">
        <v>24</v>
      </c>
      <c r="C260" s="11">
        <f>989.22*1000000</f>
        <v>989220000</v>
      </c>
      <c r="D260" s="11">
        <f>-7.65*1000000</f>
        <v>-7650000</v>
      </c>
      <c r="E260" s="12">
        <f t="shared" si="56"/>
        <v>86690000000</v>
      </c>
      <c r="F260" s="12">
        <f t="shared" si="57"/>
        <v>819940000</v>
      </c>
      <c r="G260" s="12">
        <v>86630000000</v>
      </c>
      <c r="H260">
        <v>871280000</v>
      </c>
      <c r="I260">
        <v>200</v>
      </c>
      <c r="J260">
        <v>242.6565</v>
      </c>
      <c r="K260">
        <f t="shared" si="58"/>
        <v>1221705951.87024</v>
      </c>
      <c r="L260">
        <f t="shared" si="59"/>
        <v>107063837131.913</v>
      </c>
      <c r="M260">
        <f t="shared" si="60"/>
        <v>106989735964.213</v>
      </c>
      <c r="N260">
        <f t="shared" si="61"/>
        <v>1076047756.56123</v>
      </c>
    </row>
    <row r="261" customFormat="1" spans="1:14">
      <c r="A261">
        <v>2017</v>
      </c>
      <c r="B261" s="13" t="s">
        <v>26</v>
      </c>
      <c r="C261" s="11">
        <f>770.18*1000000</f>
        <v>770180000</v>
      </c>
      <c r="D261" s="11">
        <f>-7.76*1000000</f>
        <v>-7760000</v>
      </c>
      <c r="E261" s="12">
        <f t="shared" si="56"/>
        <v>86690000000</v>
      </c>
      <c r="F261" s="12">
        <f t="shared" si="57"/>
        <v>819940000</v>
      </c>
      <c r="G261" s="12">
        <v>86630000000</v>
      </c>
      <c r="H261">
        <v>871280000</v>
      </c>
      <c r="I261">
        <v>200</v>
      </c>
      <c r="J261">
        <v>242.6565</v>
      </c>
      <c r="K261">
        <f t="shared" si="58"/>
        <v>951187288.986695</v>
      </c>
      <c r="L261">
        <f t="shared" si="59"/>
        <v>107063837131.913</v>
      </c>
      <c r="M261">
        <f t="shared" si="60"/>
        <v>106989735964.213</v>
      </c>
      <c r="N261">
        <f t="shared" si="61"/>
        <v>1076047756.56123</v>
      </c>
    </row>
    <row r="262" customFormat="1" spans="1:14">
      <c r="A262">
        <v>2018</v>
      </c>
      <c r="B262" s="13" t="s">
        <v>14</v>
      </c>
      <c r="C262" s="11">
        <v>0</v>
      </c>
      <c r="D262" s="11">
        <v>0</v>
      </c>
      <c r="E262" s="12">
        <f t="shared" ref="E262:E274" si="62">91.19*1000000000</f>
        <v>91190000000</v>
      </c>
      <c r="F262" s="12">
        <f t="shared" ref="F262:F274" si="63">633.87*1000000</f>
        <v>633870000</v>
      </c>
      <c r="G262" s="12">
        <v>91130000000</v>
      </c>
      <c r="H262">
        <v>690970000</v>
      </c>
      <c r="I262">
        <v>200</v>
      </c>
      <c r="J262">
        <v>248.126</v>
      </c>
      <c r="K262">
        <f t="shared" si="58"/>
        <v>0</v>
      </c>
      <c r="L262">
        <f t="shared" si="59"/>
        <v>110138884054.875</v>
      </c>
      <c r="M262">
        <f t="shared" si="60"/>
        <v>110066416316.71</v>
      </c>
      <c r="N262">
        <f t="shared" si="61"/>
        <v>834550550.667806</v>
      </c>
    </row>
    <row r="263" customFormat="1" spans="1:14">
      <c r="A263">
        <v>2018</v>
      </c>
      <c r="B263" s="13" t="s">
        <v>17</v>
      </c>
      <c r="C263" s="11">
        <v>0</v>
      </c>
      <c r="D263" s="11">
        <v>0</v>
      </c>
      <c r="E263" s="12">
        <f t="shared" si="62"/>
        <v>91190000000</v>
      </c>
      <c r="F263" s="12">
        <f t="shared" si="63"/>
        <v>633870000</v>
      </c>
      <c r="G263" s="12">
        <v>91130000000</v>
      </c>
      <c r="H263">
        <v>690970000</v>
      </c>
      <c r="I263">
        <v>200</v>
      </c>
      <c r="J263">
        <v>248.126</v>
      </c>
      <c r="K263">
        <f t="shared" si="58"/>
        <v>0</v>
      </c>
      <c r="L263">
        <f t="shared" si="59"/>
        <v>110138884054.875</v>
      </c>
      <c r="M263">
        <f t="shared" si="60"/>
        <v>110066416316.71</v>
      </c>
      <c r="N263">
        <f t="shared" si="61"/>
        <v>834550550.667806</v>
      </c>
    </row>
    <row r="264" customFormat="1" spans="1:14">
      <c r="A264">
        <v>2018</v>
      </c>
      <c r="B264" s="13" t="s">
        <v>15</v>
      </c>
      <c r="C264" s="11">
        <f>636.85*1000000</f>
        <v>636850000</v>
      </c>
      <c r="D264" s="11">
        <f>3.6*1000</f>
        <v>3600</v>
      </c>
      <c r="E264" s="12">
        <f t="shared" si="62"/>
        <v>91190000000</v>
      </c>
      <c r="F264" s="12">
        <f t="shared" si="63"/>
        <v>633870000</v>
      </c>
      <c r="G264" s="12">
        <v>91130000000</v>
      </c>
      <c r="H264">
        <v>690970000</v>
      </c>
      <c r="I264">
        <v>200</v>
      </c>
      <c r="J264">
        <v>248.126</v>
      </c>
      <c r="K264">
        <f t="shared" si="58"/>
        <v>769184650.842717</v>
      </c>
      <c r="L264">
        <f t="shared" si="59"/>
        <v>110138884054.875</v>
      </c>
      <c r="M264">
        <f t="shared" si="60"/>
        <v>110066416316.71</v>
      </c>
      <c r="N264">
        <f t="shared" si="61"/>
        <v>834550550.667806</v>
      </c>
    </row>
    <row r="265" customFormat="1" spans="1:14">
      <c r="A265">
        <v>2018</v>
      </c>
      <c r="B265" s="13" t="s">
        <v>19</v>
      </c>
      <c r="C265" s="11">
        <f>1.26*1000000000</f>
        <v>1260000000</v>
      </c>
      <c r="D265" s="11">
        <f>21.63*1000000</f>
        <v>21630000</v>
      </c>
      <c r="E265" s="12">
        <f t="shared" si="62"/>
        <v>91190000000</v>
      </c>
      <c r="F265" s="12">
        <f t="shared" si="63"/>
        <v>633870000</v>
      </c>
      <c r="G265" s="12">
        <v>91130000000</v>
      </c>
      <c r="H265">
        <v>690970000</v>
      </c>
      <c r="I265">
        <v>200</v>
      </c>
      <c r="J265">
        <v>248.126</v>
      </c>
      <c r="K265">
        <f t="shared" si="58"/>
        <v>1521822501.47103</v>
      </c>
      <c r="L265">
        <f t="shared" si="59"/>
        <v>110138884054.875</v>
      </c>
      <c r="M265">
        <f t="shared" si="60"/>
        <v>110066416316.71</v>
      </c>
      <c r="N265">
        <f t="shared" si="61"/>
        <v>834550550.667806</v>
      </c>
    </row>
    <row r="266" customFormat="1" spans="1:14">
      <c r="A266">
        <v>2018</v>
      </c>
      <c r="B266" s="13" t="s">
        <v>18</v>
      </c>
      <c r="C266" s="11">
        <f>4.91*1000000000</f>
        <v>4910000000</v>
      </c>
      <c r="D266" s="11">
        <f>46.51*1000000</f>
        <v>46510000</v>
      </c>
      <c r="E266" s="12">
        <f t="shared" si="62"/>
        <v>91190000000</v>
      </c>
      <c r="F266" s="12">
        <f t="shared" si="63"/>
        <v>633870000</v>
      </c>
      <c r="G266" s="12">
        <v>91130000000</v>
      </c>
      <c r="H266">
        <v>690970000</v>
      </c>
      <c r="I266">
        <v>200</v>
      </c>
      <c r="J266">
        <v>248.126</v>
      </c>
      <c r="K266">
        <f t="shared" si="58"/>
        <v>5930276573.19265</v>
      </c>
      <c r="L266">
        <f t="shared" si="59"/>
        <v>110138884054.875</v>
      </c>
      <c r="M266">
        <f t="shared" si="60"/>
        <v>110066416316.71</v>
      </c>
      <c r="N266">
        <f t="shared" si="61"/>
        <v>834550550.667806</v>
      </c>
    </row>
    <row r="267" customFormat="1" spans="1:14">
      <c r="A267">
        <v>2018</v>
      </c>
      <c r="B267" s="13" t="s">
        <v>21</v>
      </c>
      <c r="C267" s="11">
        <f>669.99*1000000</f>
        <v>669990000</v>
      </c>
      <c r="D267" s="11">
        <f>115.97*1000000</f>
        <v>115970000</v>
      </c>
      <c r="E267" s="12">
        <f t="shared" si="62"/>
        <v>91190000000</v>
      </c>
      <c r="F267" s="12">
        <f t="shared" si="63"/>
        <v>633870000</v>
      </c>
      <c r="G267" s="12">
        <v>91130000000</v>
      </c>
      <c r="H267">
        <v>690970000</v>
      </c>
      <c r="I267">
        <v>200</v>
      </c>
      <c r="J267">
        <v>248.126</v>
      </c>
      <c r="K267">
        <f t="shared" si="58"/>
        <v>809210998.222677</v>
      </c>
      <c r="L267">
        <f t="shared" si="59"/>
        <v>110138884054.875</v>
      </c>
      <c r="M267">
        <f t="shared" si="60"/>
        <v>110066416316.71</v>
      </c>
      <c r="N267">
        <f t="shared" si="61"/>
        <v>834550550.667806</v>
      </c>
    </row>
    <row r="268" customFormat="1" spans="1:14">
      <c r="A268">
        <v>2018</v>
      </c>
      <c r="B268" s="13" t="s">
        <v>22</v>
      </c>
      <c r="C268" s="11">
        <f>14.41*1000000000</f>
        <v>14410000000</v>
      </c>
      <c r="D268" s="11">
        <f>325.88*1000000</f>
        <v>325880000</v>
      </c>
      <c r="E268" s="12">
        <f t="shared" si="62"/>
        <v>91190000000</v>
      </c>
      <c r="F268" s="12">
        <f t="shared" si="63"/>
        <v>633870000</v>
      </c>
      <c r="G268" s="12">
        <v>91130000000</v>
      </c>
      <c r="H268">
        <v>690970000</v>
      </c>
      <c r="I268">
        <v>200</v>
      </c>
      <c r="J268">
        <v>248.126</v>
      </c>
      <c r="K268">
        <f t="shared" si="58"/>
        <v>17404335116.0298</v>
      </c>
      <c r="L268">
        <f t="shared" si="59"/>
        <v>110138884054.875</v>
      </c>
      <c r="M268">
        <f t="shared" si="60"/>
        <v>110066416316.71</v>
      </c>
      <c r="N268">
        <f t="shared" si="61"/>
        <v>834550550.667806</v>
      </c>
    </row>
    <row r="269" customFormat="1" spans="1:14">
      <c r="A269">
        <v>2018</v>
      </c>
      <c r="B269" s="13" t="s">
        <v>23</v>
      </c>
      <c r="C269" s="11">
        <f>8.12*1000000000</f>
        <v>8120000000</v>
      </c>
      <c r="D269" s="11">
        <f>330.14*1000000</f>
        <v>330140000</v>
      </c>
      <c r="E269" s="12">
        <f t="shared" si="62"/>
        <v>91190000000</v>
      </c>
      <c r="F269" s="12">
        <f t="shared" si="63"/>
        <v>633870000</v>
      </c>
      <c r="G269" s="12">
        <v>91130000000</v>
      </c>
      <c r="H269">
        <v>690970000</v>
      </c>
      <c r="I269">
        <v>200</v>
      </c>
      <c r="J269">
        <v>248.126</v>
      </c>
      <c r="K269">
        <f t="shared" si="58"/>
        <v>9807300565.03551</v>
      </c>
      <c r="L269">
        <f t="shared" si="59"/>
        <v>110138884054.875</v>
      </c>
      <c r="M269">
        <f t="shared" si="60"/>
        <v>110066416316.71</v>
      </c>
      <c r="N269">
        <f t="shared" si="61"/>
        <v>834550550.667806</v>
      </c>
    </row>
    <row r="270" customFormat="1" spans="1:14">
      <c r="A270">
        <v>2018</v>
      </c>
      <c r="B270" s="13" t="s">
        <v>26</v>
      </c>
      <c r="C270" s="11">
        <f>775.54*1000000</f>
        <v>775540000</v>
      </c>
      <c r="D270" s="11">
        <f>-23.71*1000000</f>
        <v>-23710000</v>
      </c>
      <c r="E270" s="12">
        <f t="shared" si="62"/>
        <v>91190000000</v>
      </c>
      <c r="F270" s="12">
        <f t="shared" si="63"/>
        <v>633870000</v>
      </c>
      <c r="G270" s="12">
        <v>91130000000</v>
      </c>
      <c r="H270">
        <v>690970000</v>
      </c>
      <c r="I270">
        <v>200</v>
      </c>
      <c r="J270">
        <v>248.126</v>
      </c>
      <c r="K270">
        <f t="shared" si="58"/>
        <v>936693827.611778</v>
      </c>
      <c r="L270">
        <f t="shared" si="59"/>
        <v>110138884054.875</v>
      </c>
      <c r="M270">
        <f t="shared" si="60"/>
        <v>110066416316.71</v>
      </c>
      <c r="N270">
        <f t="shared" si="61"/>
        <v>834550550.667806</v>
      </c>
    </row>
    <row r="271" customFormat="1" spans="1:14">
      <c r="A271">
        <v>2018</v>
      </c>
      <c r="B271" s="13" t="s">
        <v>24</v>
      </c>
      <c r="C271" s="11">
        <f>1.03*1000000000</f>
        <v>1030000000</v>
      </c>
      <c r="D271" s="11">
        <f>-28.64*1000000</f>
        <v>-28640000</v>
      </c>
      <c r="E271" s="12">
        <f t="shared" si="62"/>
        <v>91190000000</v>
      </c>
      <c r="F271" s="12">
        <f t="shared" si="63"/>
        <v>633870000</v>
      </c>
      <c r="G271" s="12">
        <v>91130000000</v>
      </c>
      <c r="H271">
        <v>690970000</v>
      </c>
      <c r="I271">
        <v>200</v>
      </c>
      <c r="J271">
        <v>248.126</v>
      </c>
      <c r="K271">
        <f t="shared" si="58"/>
        <v>1244029505.17076</v>
      </c>
      <c r="L271">
        <f t="shared" si="59"/>
        <v>110138884054.875</v>
      </c>
      <c r="M271">
        <f t="shared" si="60"/>
        <v>110066416316.71</v>
      </c>
      <c r="N271">
        <f t="shared" si="61"/>
        <v>834550550.667806</v>
      </c>
    </row>
    <row r="272" customFormat="1" spans="1:14">
      <c r="A272">
        <v>2018</v>
      </c>
      <c r="B272" s="13" t="s">
        <v>16</v>
      </c>
      <c r="C272" s="11">
        <f>125.35*1000000</f>
        <v>125350000</v>
      </c>
      <c r="D272" s="11">
        <f>-5.6*1000000</f>
        <v>-5600000</v>
      </c>
      <c r="E272" s="12">
        <f t="shared" si="62"/>
        <v>91190000000</v>
      </c>
      <c r="F272" s="12">
        <f t="shared" si="63"/>
        <v>633870000</v>
      </c>
      <c r="G272" s="12">
        <v>91130000000</v>
      </c>
      <c r="H272">
        <v>690970000</v>
      </c>
      <c r="I272">
        <v>200</v>
      </c>
      <c r="J272">
        <v>248.126</v>
      </c>
      <c r="K272">
        <f t="shared" si="58"/>
        <v>151397182.983645</v>
      </c>
      <c r="L272">
        <f t="shared" si="59"/>
        <v>110138884054.875</v>
      </c>
      <c r="M272">
        <f t="shared" si="60"/>
        <v>110066416316.71</v>
      </c>
      <c r="N272">
        <f t="shared" si="61"/>
        <v>834550550.667806</v>
      </c>
    </row>
    <row r="273" customFormat="1" spans="1:14">
      <c r="A273">
        <v>2018</v>
      </c>
      <c r="B273" s="13" t="s">
        <v>20</v>
      </c>
      <c r="C273" s="11">
        <f>139.43*1000000</f>
        <v>139430000</v>
      </c>
      <c r="D273" s="11">
        <f>-54.43*1000000</f>
        <v>-54430000</v>
      </c>
      <c r="E273" s="12">
        <f t="shared" si="62"/>
        <v>91190000000</v>
      </c>
      <c r="F273" s="12">
        <f t="shared" si="63"/>
        <v>633870000</v>
      </c>
      <c r="G273" s="12">
        <v>91130000000</v>
      </c>
      <c r="H273">
        <v>690970000</v>
      </c>
      <c r="I273">
        <v>200</v>
      </c>
      <c r="J273">
        <v>248.126</v>
      </c>
      <c r="K273">
        <f t="shared" si="58"/>
        <v>168402945.539766</v>
      </c>
      <c r="L273">
        <f t="shared" si="59"/>
        <v>110138884054.875</v>
      </c>
      <c r="M273">
        <f t="shared" si="60"/>
        <v>110066416316.71</v>
      </c>
      <c r="N273">
        <f t="shared" si="61"/>
        <v>834550550.667806</v>
      </c>
    </row>
    <row r="274" customFormat="1" spans="1:14">
      <c r="A274">
        <v>2018</v>
      </c>
      <c r="B274" s="13" t="s">
        <v>25</v>
      </c>
      <c r="C274" s="11">
        <f>59.11*1000000000</f>
        <v>59110000000</v>
      </c>
      <c r="D274" s="11">
        <f>-93.89*1000000</f>
        <v>-93890000</v>
      </c>
      <c r="E274" s="12">
        <f t="shared" si="62"/>
        <v>91190000000</v>
      </c>
      <c r="F274" s="12">
        <f t="shared" si="63"/>
        <v>633870000</v>
      </c>
      <c r="G274" s="12">
        <v>91130000000</v>
      </c>
      <c r="H274">
        <v>690970000</v>
      </c>
      <c r="I274">
        <v>200</v>
      </c>
      <c r="J274">
        <v>248.126</v>
      </c>
      <c r="K274">
        <f t="shared" si="58"/>
        <v>71392800049.1686</v>
      </c>
      <c r="L274">
        <f t="shared" si="59"/>
        <v>110138884054.875</v>
      </c>
      <c r="M274">
        <f t="shared" si="60"/>
        <v>110066416316.71</v>
      </c>
      <c r="N274">
        <f t="shared" si="61"/>
        <v>834550550.667806</v>
      </c>
    </row>
    <row r="275" customFormat="1" spans="1:14">
      <c r="A275">
        <v>2019</v>
      </c>
      <c r="B275" s="13" t="s">
        <v>22</v>
      </c>
      <c r="C275" s="11">
        <f>15.64*1000000000</f>
        <v>15640000000</v>
      </c>
      <c r="D275" s="11">
        <f>-235.18*1000000</f>
        <v>-235180000</v>
      </c>
      <c r="E275" s="12">
        <f t="shared" ref="E275:E287" si="64">96.22*1000000000</f>
        <v>96220000000</v>
      </c>
      <c r="F275" s="12">
        <f t="shared" ref="F275:F287" si="65">-402.7*1000000</f>
        <v>-402700000</v>
      </c>
      <c r="G275" s="12">
        <v>95010000000</v>
      </c>
      <c r="H275">
        <v>803720000</v>
      </c>
      <c r="I275">
        <v>200</v>
      </c>
      <c r="J275">
        <v>253.2685</v>
      </c>
      <c r="K275">
        <f t="shared" si="58"/>
        <v>18506372565.0841</v>
      </c>
      <c r="L275">
        <f t="shared" si="59"/>
        <v>113854422519.974</v>
      </c>
      <c r="M275">
        <f t="shared" si="60"/>
        <v>112422663517.176</v>
      </c>
      <c r="N275">
        <f t="shared" si="61"/>
        <v>951019293.99037</v>
      </c>
    </row>
    <row r="276" customFormat="1" spans="1:14">
      <c r="A276">
        <v>2019</v>
      </c>
      <c r="B276" s="13" t="s">
        <v>23</v>
      </c>
      <c r="C276" s="11">
        <f>8.38*1000000000</f>
        <v>8380000000</v>
      </c>
      <c r="D276" s="11">
        <f>-166.02*1000000</f>
        <v>-166020000</v>
      </c>
      <c r="E276" s="12">
        <f t="shared" si="64"/>
        <v>96220000000</v>
      </c>
      <c r="F276" s="12">
        <f t="shared" si="65"/>
        <v>-402700000</v>
      </c>
      <c r="G276" s="12">
        <v>95010000000</v>
      </c>
      <c r="H276">
        <v>803720000</v>
      </c>
      <c r="I276">
        <v>200</v>
      </c>
      <c r="J276">
        <v>253.2685</v>
      </c>
      <c r="K276">
        <f t="shared" si="58"/>
        <v>9915818548.29953</v>
      </c>
      <c r="L276">
        <f t="shared" si="59"/>
        <v>113854422519.974</v>
      </c>
      <c r="M276">
        <f t="shared" si="60"/>
        <v>112422663517.176</v>
      </c>
      <c r="N276">
        <f t="shared" si="61"/>
        <v>951019293.99037</v>
      </c>
    </row>
    <row r="277" customFormat="1" spans="1:14">
      <c r="A277">
        <v>2019</v>
      </c>
      <c r="B277" s="13" t="s">
        <v>25</v>
      </c>
      <c r="C277" s="11">
        <f>61.48*1000000000</f>
        <v>61480000000</v>
      </c>
      <c r="D277" s="11">
        <f>-161.02*1000000</f>
        <v>-161020000</v>
      </c>
      <c r="E277" s="12">
        <f t="shared" si="64"/>
        <v>96220000000</v>
      </c>
      <c r="F277" s="12">
        <f t="shared" si="65"/>
        <v>-402700000</v>
      </c>
      <c r="G277" s="12">
        <v>95010000000</v>
      </c>
      <c r="H277">
        <v>803720000</v>
      </c>
      <c r="I277">
        <v>200</v>
      </c>
      <c r="J277">
        <v>253.2685</v>
      </c>
      <c r="K277">
        <f t="shared" si="58"/>
        <v>72747556604.9469</v>
      </c>
      <c r="L277">
        <f t="shared" si="59"/>
        <v>113854422519.974</v>
      </c>
      <c r="M277">
        <f t="shared" si="60"/>
        <v>112422663517.176</v>
      </c>
      <c r="N277">
        <f t="shared" si="61"/>
        <v>951019293.99037</v>
      </c>
    </row>
    <row r="278" customFormat="1" spans="1:14">
      <c r="A278">
        <v>2019</v>
      </c>
      <c r="B278" s="13" t="s">
        <v>15</v>
      </c>
      <c r="C278" s="11">
        <f>756.83*1000000</f>
        <v>756830000</v>
      </c>
      <c r="D278" s="11">
        <f>-105.91*1000000</f>
        <v>-105910000</v>
      </c>
      <c r="E278" s="12">
        <f t="shared" si="64"/>
        <v>96220000000</v>
      </c>
      <c r="F278" s="12">
        <f t="shared" si="65"/>
        <v>-402700000</v>
      </c>
      <c r="G278" s="12">
        <v>95010000000</v>
      </c>
      <c r="H278">
        <v>803720000</v>
      </c>
      <c r="I278">
        <v>200</v>
      </c>
      <c r="J278">
        <v>253.2685</v>
      </c>
      <c r="K278">
        <f t="shared" si="58"/>
        <v>895535674.452212</v>
      </c>
      <c r="L278">
        <f t="shared" si="59"/>
        <v>113854422519.974</v>
      </c>
      <c r="M278">
        <f t="shared" si="60"/>
        <v>112422663517.176</v>
      </c>
      <c r="N278">
        <f t="shared" si="61"/>
        <v>951019293.99037</v>
      </c>
    </row>
    <row r="279" customFormat="1" spans="1:14">
      <c r="A279">
        <v>2019</v>
      </c>
      <c r="B279" s="13" t="s">
        <v>19</v>
      </c>
      <c r="C279" s="11">
        <f>1.4*1000000000</f>
        <v>1400000000</v>
      </c>
      <c r="D279" s="11">
        <f>-38.63*1000000</f>
        <v>-38630000</v>
      </c>
      <c r="E279" s="12">
        <f t="shared" si="64"/>
        <v>96220000000</v>
      </c>
      <c r="F279" s="12">
        <f t="shared" si="65"/>
        <v>-402700000</v>
      </c>
      <c r="G279" s="12">
        <v>95010000000</v>
      </c>
      <c r="H279">
        <v>803720000</v>
      </c>
      <c r="I279">
        <v>200</v>
      </c>
      <c r="J279">
        <v>253.2685</v>
      </c>
      <c r="K279">
        <f t="shared" si="58"/>
        <v>1656580664.39372</v>
      </c>
      <c r="L279">
        <f t="shared" si="59"/>
        <v>113854422519.974</v>
      </c>
      <c r="M279">
        <f t="shared" si="60"/>
        <v>112422663517.176</v>
      </c>
      <c r="N279">
        <f t="shared" si="61"/>
        <v>951019293.99037</v>
      </c>
    </row>
    <row r="280" customFormat="1" spans="1:14">
      <c r="A280">
        <v>2019</v>
      </c>
      <c r="B280" s="13" t="s">
        <v>24</v>
      </c>
      <c r="C280" s="11">
        <f>1.11*1000000000</f>
        <v>1110000000</v>
      </c>
      <c r="D280" s="11">
        <f>-28.26*1000000</f>
        <v>-28260000</v>
      </c>
      <c r="E280" s="12">
        <f t="shared" si="64"/>
        <v>96220000000</v>
      </c>
      <c r="F280" s="12">
        <f t="shared" si="65"/>
        <v>-402700000</v>
      </c>
      <c r="G280" s="12">
        <v>95010000000</v>
      </c>
      <c r="H280">
        <v>803720000</v>
      </c>
      <c r="I280">
        <v>200</v>
      </c>
      <c r="J280">
        <v>253.2685</v>
      </c>
      <c r="K280">
        <f t="shared" si="58"/>
        <v>1313431812.48359</v>
      </c>
      <c r="L280">
        <f t="shared" si="59"/>
        <v>113854422519.974</v>
      </c>
      <c r="M280">
        <f t="shared" si="60"/>
        <v>112422663517.176</v>
      </c>
      <c r="N280">
        <f t="shared" si="61"/>
        <v>951019293.99037</v>
      </c>
    </row>
    <row r="281" spans="1:14">
      <c r="A281">
        <v>2019</v>
      </c>
      <c r="B281" s="13" t="s">
        <v>20</v>
      </c>
      <c r="C281" s="11">
        <f>112.54*1000000</f>
        <v>112540000</v>
      </c>
      <c r="D281" s="11">
        <f>-21.54*1000000</f>
        <v>-21540000</v>
      </c>
      <c r="E281" s="12">
        <f t="shared" si="64"/>
        <v>96220000000</v>
      </c>
      <c r="F281" s="12">
        <f t="shared" si="65"/>
        <v>-402700000</v>
      </c>
      <c r="G281" s="12">
        <v>95010000000</v>
      </c>
      <c r="H281">
        <v>803720000</v>
      </c>
      <c r="I281">
        <v>200</v>
      </c>
      <c r="J281">
        <v>253.2685</v>
      </c>
      <c r="K281">
        <f t="shared" si="58"/>
        <v>133165419.979192</v>
      </c>
      <c r="L281">
        <f t="shared" si="59"/>
        <v>113854422519.974</v>
      </c>
      <c r="M281">
        <f t="shared" si="60"/>
        <v>112422663517.176</v>
      </c>
      <c r="N281">
        <f t="shared" si="61"/>
        <v>951019293.99037</v>
      </c>
    </row>
    <row r="282" customFormat="1" spans="1:14">
      <c r="A282">
        <v>2019</v>
      </c>
      <c r="B282" s="13" t="s">
        <v>18</v>
      </c>
      <c r="C282" s="11">
        <f>5.04*1000000000</f>
        <v>5040000000</v>
      </c>
      <c r="D282" s="11">
        <f>-15.68*1000000</f>
        <v>-15680000</v>
      </c>
      <c r="E282" s="12">
        <f t="shared" si="64"/>
        <v>96220000000</v>
      </c>
      <c r="F282" s="12">
        <f t="shared" si="65"/>
        <v>-402700000</v>
      </c>
      <c r="G282" s="12">
        <v>95010000000</v>
      </c>
      <c r="H282">
        <v>803720000</v>
      </c>
      <c r="I282">
        <v>200</v>
      </c>
      <c r="J282">
        <v>253.2685</v>
      </c>
      <c r="K282">
        <f t="shared" si="58"/>
        <v>5963690391.81738</v>
      </c>
      <c r="L282">
        <f t="shared" si="59"/>
        <v>113854422519.974</v>
      </c>
      <c r="M282">
        <f t="shared" si="60"/>
        <v>112422663517.176</v>
      </c>
      <c r="N282">
        <f t="shared" si="61"/>
        <v>951019293.99037</v>
      </c>
    </row>
    <row r="283" customFormat="1" spans="1:14">
      <c r="A283">
        <v>2019</v>
      </c>
      <c r="B283" s="13" t="s">
        <v>16</v>
      </c>
      <c r="C283" s="11">
        <f>225.75*1000000</f>
        <v>225750000</v>
      </c>
      <c r="D283" s="11">
        <f>-12.79*1000000</f>
        <v>-12790000</v>
      </c>
      <c r="E283" s="12">
        <f t="shared" si="64"/>
        <v>96220000000</v>
      </c>
      <c r="F283" s="12">
        <f t="shared" si="65"/>
        <v>-402700000</v>
      </c>
      <c r="G283" s="12">
        <v>95010000000</v>
      </c>
      <c r="H283">
        <v>803720000</v>
      </c>
      <c r="I283">
        <v>200</v>
      </c>
      <c r="J283">
        <v>253.2685</v>
      </c>
      <c r="K283">
        <f t="shared" si="58"/>
        <v>267123632.133487</v>
      </c>
      <c r="L283">
        <f t="shared" si="59"/>
        <v>113854422519.974</v>
      </c>
      <c r="M283">
        <f t="shared" si="60"/>
        <v>112422663517.176</v>
      </c>
      <c r="N283">
        <f t="shared" si="61"/>
        <v>951019293.99037</v>
      </c>
    </row>
    <row r="284" customFormat="1" spans="1:14">
      <c r="A284">
        <v>2019</v>
      </c>
      <c r="B284" s="13" t="s">
        <v>14</v>
      </c>
      <c r="C284" s="11">
        <v>0</v>
      </c>
      <c r="D284" s="11">
        <v>0</v>
      </c>
      <c r="E284" s="12">
        <f t="shared" si="64"/>
        <v>96220000000</v>
      </c>
      <c r="F284" s="12">
        <f t="shared" si="65"/>
        <v>-402700000</v>
      </c>
      <c r="G284" s="12">
        <v>95010000000</v>
      </c>
      <c r="H284">
        <v>803720000</v>
      </c>
      <c r="I284">
        <v>200</v>
      </c>
      <c r="J284">
        <v>253.2685</v>
      </c>
      <c r="K284">
        <f t="shared" si="58"/>
        <v>0</v>
      </c>
      <c r="L284">
        <f t="shared" si="59"/>
        <v>113854422519.974</v>
      </c>
      <c r="M284">
        <f t="shared" si="60"/>
        <v>112422663517.176</v>
      </c>
      <c r="N284">
        <f t="shared" si="61"/>
        <v>951019293.99037</v>
      </c>
    </row>
    <row r="285" customFormat="1" spans="1:14">
      <c r="A285">
        <v>2019</v>
      </c>
      <c r="B285" s="13" t="s">
        <v>26</v>
      </c>
      <c r="C285" s="11">
        <f>802.35*1000000</f>
        <v>802350000</v>
      </c>
      <c r="D285" s="11">
        <f>3.59*1000000</f>
        <v>3590000</v>
      </c>
      <c r="E285" s="12">
        <f t="shared" si="64"/>
        <v>96220000000</v>
      </c>
      <c r="F285" s="12">
        <f t="shared" si="65"/>
        <v>-402700000</v>
      </c>
      <c r="G285" s="12">
        <v>95010000000</v>
      </c>
      <c r="H285">
        <v>803720000</v>
      </c>
      <c r="I285">
        <v>200</v>
      </c>
      <c r="J285">
        <v>253.2685</v>
      </c>
      <c r="K285">
        <f t="shared" si="58"/>
        <v>949398211.48307</v>
      </c>
      <c r="L285">
        <f t="shared" si="59"/>
        <v>113854422519.974</v>
      </c>
      <c r="M285">
        <f t="shared" si="60"/>
        <v>112422663517.176</v>
      </c>
      <c r="N285">
        <f t="shared" si="61"/>
        <v>951019293.99037</v>
      </c>
    </row>
    <row r="286" customFormat="1" spans="1:14">
      <c r="A286">
        <v>2019</v>
      </c>
      <c r="B286" s="13" t="s">
        <v>21</v>
      </c>
      <c r="C286" s="11">
        <f>1.12*1000000000</f>
        <v>1120000000</v>
      </c>
      <c r="D286" s="11">
        <f>328.6*1000000</f>
        <v>328600000</v>
      </c>
      <c r="E286" s="12">
        <f t="shared" si="64"/>
        <v>96220000000</v>
      </c>
      <c r="F286" s="12">
        <f t="shared" si="65"/>
        <v>-402700000</v>
      </c>
      <c r="G286" s="12">
        <v>95010000000</v>
      </c>
      <c r="H286">
        <v>803720000</v>
      </c>
      <c r="I286">
        <v>200</v>
      </c>
      <c r="J286">
        <v>253.2685</v>
      </c>
      <c r="K286">
        <f t="shared" si="58"/>
        <v>1325264531.51497</v>
      </c>
      <c r="L286">
        <f t="shared" si="59"/>
        <v>113854422519.974</v>
      </c>
      <c r="M286">
        <f t="shared" si="60"/>
        <v>112422663517.176</v>
      </c>
      <c r="N286">
        <f t="shared" si="61"/>
        <v>951019293.99037</v>
      </c>
    </row>
    <row r="287" customFormat="1" spans="1:14">
      <c r="A287">
        <v>2019</v>
      </c>
      <c r="B287" s="13" t="s">
        <v>17</v>
      </c>
      <c r="C287" s="11">
        <f>150.54*1000000</f>
        <v>150540000</v>
      </c>
      <c r="D287" s="11">
        <f>50.14*1000000</f>
        <v>50140000</v>
      </c>
      <c r="E287" s="12">
        <f t="shared" si="64"/>
        <v>96220000000</v>
      </c>
      <c r="F287" s="12">
        <f t="shared" si="65"/>
        <v>-402700000</v>
      </c>
      <c r="G287" s="12">
        <v>95010000000</v>
      </c>
      <c r="H287">
        <v>803720000</v>
      </c>
      <c r="I287">
        <v>200</v>
      </c>
      <c r="J287">
        <v>253.2685</v>
      </c>
      <c r="K287">
        <f t="shared" si="58"/>
        <v>178129752.29845</v>
      </c>
      <c r="L287">
        <f t="shared" si="59"/>
        <v>113854422519.974</v>
      </c>
      <c r="M287">
        <f t="shared" si="60"/>
        <v>112422663517.176</v>
      </c>
      <c r="N287">
        <f t="shared" si="61"/>
        <v>951019293.99037</v>
      </c>
    </row>
    <row r="288" customFormat="1" spans="1:14">
      <c r="A288">
        <v>2020</v>
      </c>
      <c r="B288" s="13" t="s">
        <v>25</v>
      </c>
      <c r="C288" s="11">
        <f>65.58*1000000000</f>
        <v>65580000000</v>
      </c>
      <c r="D288" s="11">
        <f>-3.51*1000000000</f>
        <v>-3510000000</v>
      </c>
      <c r="E288" s="12">
        <f t="shared" ref="E288:E300" si="66">101.09*1000000000</f>
        <v>101090000000</v>
      </c>
      <c r="F288" s="12">
        <f t="shared" ref="F288:F300" si="67">-2.25*1000000000</f>
        <v>-2250000000</v>
      </c>
      <c r="G288" s="12">
        <v>98470000000</v>
      </c>
      <c r="H288">
        <v>379270000</v>
      </c>
      <c r="I288">
        <v>200</v>
      </c>
      <c r="J288">
        <v>257.23</v>
      </c>
      <c r="K288">
        <f t="shared" si="58"/>
        <v>76403899584.0298</v>
      </c>
      <c r="L288">
        <f t="shared" si="59"/>
        <v>117774782082.183</v>
      </c>
      <c r="M288">
        <f t="shared" si="60"/>
        <v>114722354254.947</v>
      </c>
      <c r="N288">
        <f t="shared" si="61"/>
        <v>441868054.212184</v>
      </c>
    </row>
    <row r="289" customFormat="1" spans="1:14">
      <c r="A289">
        <v>2020</v>
      </c>
      <c r="B289" s="13" t="s">
        <v>21</v>
      </c>
      <c r="C289" s="11">
        <f>1.39*1000000000</f>
        <v>1390000000</v>
      </c>
      <c r="D289" s="11">
        <f>-496.36*1000000</f>
        <v>-496360000</v>
      </c>
      <c r="E289" s="12">
        <f t="shared" si="66"/>
        <v>101090000000</v>
      </c>
      <c r="F289" s="12">
        <f t="shared" si="67"/>
        <v>-2250000000</v>
      </c>
      <c r="G289" s="12">
        <v>98470000000</v>
      </c>
      <c r="H289">
        <v>379270000</v>
      </c>
      <c r="I289">
        <v>200</v>
      </c>
      <c r="J289">
        <v>257.23</v>
      </c>
      <c r="K289">
        <f t="shared" si="58"/>
        <v>1619417816.73988</v>
      </c>
      <c r="L289">
        <f t="shared" si="59"/>
        <v>117774782082.183</v>
      </c>
      <c r="M289">
        <f t="shared" si="60"/>
        <v>114722354254.947</v>
      </c>
      <c r="N289">
        <f t="shared" si="61"/>
        <v>441868054.212184</v>
      </c>
    </row>
    <row r="290" customFormat="1" spans="1:14">
      <c r="A290">
        <v>2020</v>
      </c>
      <c r="B290" s="13" t="s">
        <v>24</v>
      </c>
      <c r="C290" s="11">
        <f>1.1*1000000000</f>
        <v>1100000000</v>
      </c>
      <c r="D290" s="11">
        <f>-22.82*1000000</f>
        <v>-22820000</v>
      </c>
      <c r="E290" s="12">
        <f t="shared" si="66"/>
        <v>101090000000</v>
      </c>
      <c r="F290" s="12">
        <f t="shared" si="67"/>
        <v>-2250000000</v>
      </c>
      <c r="G290" s="12">
        <v>98470000000</v>
      </c>
      <c r="H290">
        <v>379270000</v>
      </c>
      <c r="I290">
        <v>200</v>
      </c>
      <c r="J290">
        <v>257.23</v>
      </c>
      <c r="K290">
        <f t="shared" si="58"/>
        <v>1281553667.92365</v>
      </c>
      <c r="L290">
        <f t="shared" si="59"/>
        <v>117774782082.183</v>
      </c>
      <c r="M290">
        <f t="shared" si="60"/>
        <v>114722354254.947</v>
      </c>
      <c r="N290">
        <f t="shared" si="61"/>
        <v>441868054.212184</v>
      </c>
    </row>
    <row r="291" spans="1:14">
      <c r="A291">
        <v>2020</v>
      </c>
      <c r="B291" s="13" t="s">
        <v>20</v>
      </c>
      <c r="C291" s="11">
        <f>-5.08*1000000</f>
        <v>-5080000</v>
      </c>
      <c r="D291" s="11">
        <f>-9.92*1000000</f>
        <v>-9920000</v>
      </c>
      <c r="E291" s="12">
        <f t="shared" si="66"/>
        <v>101090000000</v>
      </c>
      <c r="F291" s="12">
        <f t="shared" si="67"/>
        <v>-2250000000</v>
      </c>
      <c r="G291" s="12">
        <v>98470000000</v>
      </c>
      <c r="H291">
        <v>379270000</v>
      </c>
      <c r="I291">
        <v>200</v>
      </c>
      <c r="J291">
        <v>257.23</v>
      </c>
      <c r="K291">
        <f t="shared" si="58"/>
        <v>-5918447.84822921</v>
      </c>
      <c r="L291">
        <f t="shared" si="59"/>
        <v>117774782082.183</v>
      </c>
      <c r="M291">
        <f t="shared" si="60"/>
        <v>114722354254.947</v>
      </c>
      <c r="N291">
        <f t="shared" si="61"/>
        <v>441868054.212184</v>
      </c>
    </row>
    <row r="292" customFormat="1" spans="1:14">
      <c r="A292">
        <v>2020</v>
      </c>
      <c r="B292" s="13" t="s">
        <v>26</v>
      </c>
      <c r="C292" s="11">
        <f>706.7*1000000</f>
        <v>706700000</v>
      </c>
      <c r="D292" s="11">
        <f>-5.95*1000000</f>
        <v>-5950000</v>
      </c>
      <c r="E292" s="12">
        <f t="shared" si="66"/>
        <v>101090000000</v>
      </c>
      <c r="F292" s="12">
        <f t="shared" si="67"/>
        <v>-2250000000</v>
      </c>
      <c r="G292" s="12">
        <v>98470000000</v>
      </c>
      <c r="H292">
        <v>379270000</v>
      </c>
      <c r="I292">
        <v>200</v>
      </c>
      <c r="J292">
        <v>257.23</v>
      </c>
      <c r="K292">
        <f t="shared" si="58"/>
        <v>823339979.201493</v>
      </c>
      <c r="L292">
        <f t="shared" si="59"/>
        <v>117774782082.183</v>
      </c>
      <c r="M292">
        <f t="shared" si="60"/>
        <v>114722354254.947</v>
      </c>
      <c r="N292">
        <f t="shared" si="61"/>
        <v>441868054.212184</v>
      </c>
    </row>
    <row r="293" customFormat="1" spans="1:14">
      <c r="A293">
        <v>2020</v>
      </c>
      <c r="B293" s="13" t="s">
        <v>16</v>
      </c>
      <c r="C293" s="11">
        <f>140.78*1000000</f>
        <v>140780000</v>
      </c>
      <c r="D293" s="11">
        <f>-2.75*1000000</f>
        <v>-2750000</v>
      </c>
      <c r="E293" s="12">
        <f t="shared" si="66"/>
        <v>101090000000</v>
      </c>
      <c r="F293" s="12">
        <f t="shared" si="67"/>
        <v>-2250000000</v>
      </c>
      <c r="G293" s="12">
        <v>98470000000</v>
      </c>
      <c r="H293">
        <v>379270000</v>
      </c>
      <c r="I293">
        <v>200</v>
      </c>
      <c r="J293">
        <v>257.23</v>
      </c>
      <c r="K293">
        <f t="shared" si="58"/>
        <v>164015568.518447</v>
      </c>
      <c r="L293">
        <f t="shared" si="59"/>
        <v>117774782082.183</v>
      </c>
      <c r="M293">
        <f t="shared" si="60"/>
        <v>114722354254.947</v>
      </c>
      <c r="N293">
        <f t="shared" si="61"/>
        <v>441868054.212184</v>
      </c>
    </row>
    <row r="294" spans="1:14">
      <c r="A294">
        <v>2020</v>
      </c>
      <c r="B294" s="13" t="s">
        <v>14</v>
      </c>
      <c r="C294" s="11">
        <v>0</v>
      </c>
      <c r="D294" s="11">
        <v>0</v>
      </c>
      <c r="E294" s="12">
        <f t="shared" si="66"/>
        <v>101090000000</v>
      </c>
      <c r="F294" s="12">
        <f t="shared" si="67"/>
        <v>-2250000000</v>
      </c>
      <c r="G294" s="12">
        <v>98470000000</v>
      </c>
      <c r="H294">
        <v>379270000</v>
      </c>
      <c r="I294">
        <v>200</v>
      </c>
      <c r="J294">
        <v>257.23</v>
      </c>
      <c r="K294">
        <f t="shared" si="58"/>
        <v>0</v>
      </c>
      <c r="L294">
        <f t="shared" si="59"/>
        <v>117774782082.183</v>
      </c>
      <c r="M294">
        <f t="shared" si="60"/>
        <v>114722354254.947</v>
      </c>
      <c r="N294">
        <f t="shared" si="61"/>
        <v>441868054.212184</v>
      </c>
    </row>
    <row r="295" customFormat="1" spans="1:14">
      <c r="A295">
        <v>2020</v>
      </c>
      <c r="B295" s="13" t="s">
        <v>15</v>
      </c>
      <c r="C295" s="11">
        <f>649.91*1000000</f>
        <v>649910000</v>
      </c>
      <c r="D295" s="11">
        <f>10.09*1000000</f>
        <v>10090000</v>
      </c>
      <c r="E295" s="12">
        <f t="shared" si="66"/>
        <v>101090000000</v>
      </c>
      <c r="F295" s="12">
        <f t="shared" si="67"/>
        <v>-2250000000</v>
      </c>
      <c r="G295" s="12">
        <v>98470000000</v>
      </c>
      <c r="H295">
        <v>379270000</v>
      </c>
      <c r="I295">
        <v>200</v>
      </c>
      <c r="J295">
        <v>257.23</v>
      </c>
      <c r="K295">
        <f t="shared" si="58"/>
        <v>757176858.472962</v>
      </c>
      <c r="L295">
        <f t="shared" si="59"/>
        <v>117774782082.183</v>
      </c>
      <c r="M295">
        <f t="shared" si="60"/>
        <v>114722354254.947</v>
      </c>
      <c r="N295">
        <f t="shared" si="61"/>
        <v>441868054.212184</v>
      </c>
    </row>
    <row r="296" customFormat="1" spans="1:14">
      <c r="A296">
        <v>2020</v>
      </c>
      <c r="B296" s="13" t="s">
        <v>19</v>
      </c>
      <c r="C296" s="11">
        <f>1.12*1000000000</f>
        <v>1120000000</v>
      </c>
      <c r="D296" s="11">
        <f>68.44*1000000</f>
        <v>68440000</v>
      </c>
      <c r="E296" s="12">
        <f t="shared" si="66"/>
        <v>101090000000</v>
      </c>
      <c r="F296" s="12">
        <f t="shared" si="67"/>
        <v>-2250000000</v>
      </c>
      <c r="G296" s="12">
        <v>98470000000</v>
      </c>
      <c r="H296">
        <v>379270000</v>
      </c>
      <c r="I296">
        <v>200</v>
      </c>
      <c r="J296">
        <v>257.23</v>
      </c>
      <c r="K296">
        <f t="shared" si="58"/>
        <v>1304854643.70408</v>
      </c>
      <c r="L296">
        <f t="shared" si="59"/>
        <v>117774782082.183</v>
      </c>
      <c r="M296">
        <f t="shared" si="60"/>
        <v>114722354254.947</v>
      </c>
      <c r="N296">
        <f t="shared" si="61"/>
        <v>441868054.212184</v>
      </c>
    </row>
    <row r="297" customFormat="1" spans="1:14">
      <c r="A297">
        <v>2020</v>
      </c>
      <c r="B297" s="13" t="s">
        <v>18</v>
      </c>
      <c r="C297" s="11">
        <f>5*1000000000</f>
        <v>5000000000</v>
      </c>
      <c r="D297" s="11">
        <f>132.53*1000000</f>
        <v>132530000</v>
      </c>
      <c r="E297" s="12">
        <f t="shared" si="66"/>
        <v>101090000000</v>
      </c>
      <c r="F297" s="12">
        <f t="shared" si="67"/>
        <v>-2250000000</v>
      </c>
      <c r="G297" s="12">
        <v>98470000000</v>
      </c>
      <c r="H297">
        <v>379270000</v>
      </c>
      <c r="I297">
        <v>200</v>
      </c>
      <c r="J297">
        <v>257.23</v>
      </c>
      <c r="K297">
        <f t="shared" si="58"/>
        <v>5825243945.10749</v>
      </c>
      <c r="L297">
        <f t="shared" si="59"/>
        <v>117774782082.183</v>
      </c>
      <c r="M297">
        <f t="shared" si="60"/>
        <v>114722354254.947</v>
      </c>
      <c r="N297">
        <f t="shared" si="61"/>
        <v>441868054.212184</v>
      </c>
    </row>
    <row r="298" spans="1:14">
      <c r="A298">
        <v>2020</v>
      </c>
      <c r="B298" s="13" t="s">
        <v>17</v>
      </c>
      <c r="C298" s="11">
        <f>15.26*1000000</f>
        <v>15260000</v>
      </c>
      <c r="D298" s="11">
        <f>237.63*1000000</f>
        <v>237630000</v>
      </c>
      <c r="E298" s="12">
        <f t="shared" si="66"/>
        <v>101090000000</v>
      </c>
      <c r="F298" s="12">
        <f t="shared" si="67"/>
        <v>-2250000000</v>
      </c>
      <c r="G298" s="12">
        <v>98470000000</v>
      </c>
      <c r="H298">
        <v>379270000</v>
      </c>
      <c r="I298">
        <v>200</v>
      </c>
      <c r="J298">
        <v>257.23</v>
      </c>
      <c r="K298">
        <f t="shared" si="58"/>
        <v>17778644.5204681</v>
      </c>
      <c r="L298">
        <f t="shared" si="59"/>
        <v>117774782082.183</v>
      </c>
      <c r="M298">
        <f t="shared" si="60"/>
        <v>114722354254.947</v>
      </c>
      <c r="N298">
        <f t="shared" si="61"/>
        <v>441868054.212184</v>
      </c>
    </row>
    <row r="299" customFormat="1" spans="1:14">
      <c r="A299">
        <v>2020</v>
      </c>
      <c r="B299" s="13" t="s">
        <v>22</v>
      </c>
      <c r="C299" s="11">
        <f>15.48*1000000000</f>
        <v>15480000000</v>
      </c>
      <c r="D299" s="11">
        <f>339.26*1000000</f>
        <v>339260000</v>
      </c>
      <c r="E299" s="12">
        <f t="shared" si="66"/>
        <v>101090000000</v>
      </c>
      <c r="F299" s="12">
        <f t="shared" si="67"/>
        <v>-2250000000</v>
      </c>
      <c r="G299" s="12">
        <v>98470000000</v>
      </c>
      <c r="H299">
        <v>379270000</v>
      </c>
      <c r="I299">
        <v>200</v>
      </c>
      <c r="J299">
        <v>257.23</v>
      </c>
      <c r="K299">
        <f t="shared" si="58"/>
        <v>18034955254.0528</v>
      </c>
      <c r="L299">
        <f t="shared" si="59"/>
        <v>117774782082.183</v>
      </c>
      <c r="M299">
        <f t="shared" si="60"/>
        <v>114722354254.947</v>
      </c>
      <c r="N299">
        <f t="shared" si="61"/>
        <v>441868054.212184</v>
      </c>
    </row>
    <row r="300" customFormat="1" spans="1:14">
      <c r="A300">
        <v>2020</v>
      </c>
      <c r="B300" s="13" t="s">
        <v>23</v>
      </c>
      <c r="C300" s="11">
        <f>9.91*1000000000</f>
        <v>9910000000</v>
      </c>
      <c r="D300" s="11">
        <f>1.01*1000000000</f>
        <v>1010000000</v>
      </c>
      <c r="E300" s="12">
        <f t="shared" si="66"/>
        <v>101090000000</v>
      </c>
      <c r="F300" s="12">
        <f t="shared" si="67"/>
        <v>-2250000000</v>
      </c>
      <c r="G300" s="12">
        <v>98470000000</v>
      </c>
      <c r="H300">
        <v>379270000</v>
      </c>
      <c r="I300">
        <v>200</v>
      </c>
      <c r="J300">
        <v>257.23</v>
      </c>
      <c r="K300">
        <f t="shared" si="58"/>
        <v>11545633499.203</v>
      </c>
      <c r="L300">
        <f t="shared" si="59"/>
        <v>117774782082.183</v>
      </c>
      <c r="M300">
        <f t="shared" si="60"/>
        <v>114722354254.947</v>
      </c>
      <c r="N300">
        <f t="shared" si="61"/>
        <v>441868054.212184</v>
      </c>
    </row>
    <row r="301" customFormat="1" spans="1:14">
      <c r="A301">
        <v>2021</v>
      </c>
      <c r="B301" s="13" t="s">
        <v>25</v>
      </c>
      <c r="C301" s="11">
        <f>65.53*1000000000</f>
        <v>65530000000</v>
      </c>
      <c r="D301" s="11">
        <f>-1.03*1000000000</f>
        <v>-1030000000</v>
      </c>
      <c r="E301" s="12">
        <f t="shared" ref="E301:E313" si="68">103.49*1000000000</f>
        <v>103490000000</v>
      </c>
      <c r="F301" s="12">
        <f t="shared" ref="F301:F313" si="69">773.34*1000000</f>
        <v>773340000</v>
      </c>
      <c r="G301" s="12">
        <v>103520000000</v>
      </c>
      <c r="H301">
        <v>754180000</v>
      </c>
      <c r="I301">
        <v>200</v>
      </c>
      <c r="J301">
        <v>263.1505</v>
      </c>
      <c r="K301">
        <f t="shared" si="58"/>
        <v>74627982143.2982</v>
      </c>
      <c r="L301">
        <f t="shared" si="59"/>
        <v>117858230917.289</v>
      </c>
      <c r="M301">
        <f t="shared" si="60"/>
        <v>117892396024.328</v>
      </c>
      <c r="N301">
        <f t="shared" si="61"/>
        <v>858888014.2352</v>
      </c>
    </row>
    <row r="302" customFormat="1" spans="1:14">
      <c r="A302">
        <v>2021</v>
      </c>
      <c r="B302" s="13" t="s">
        <v>22</v>
      </c>
      <c r="C302" s="11">
        <f>14.95*1000000000</f>
        <v>14950000000</v>
      </c>
      <c r="D302" s="11">
        <f>-90.33*1000000</f>
        <v>-90330000</v>
      </c>
      <c r="E302" s="12">
        <f t="shared" si="68"/>
        <v>103490000000</v>
      </c>
      <c r="F302" s="12">
        <f t="shared" si="69"/>
        <v>773340000</v>
      </c>
      <c r="G302" s="12">
        <v>103520000000</v>
      </c>
      <c r="H302">
        <v>754180000</v>
      </c>
      <c r="I302">
        <v>200</v>
      </c>
      <c r="J302">
        <v>263.1505</v>
      </c>
      <c r="K302">
        <f t="shared" si="58"/>
        <v>17025611674.6881</v>
      </c>
      <c r="L302">
        <f t="shared" si="59"/>
        <v>117858230917.289</v>
      </c>
      <c r="M302">
        <f t="shared" si="60"/>
        <v>117892396024.328</v>
      </c>
      <c r="N302">
        <f t="shared" si="61"/>
        <v>858888014.2352</v>
      </c>
    </row>
    <row r="303" customFormat="1" spans="1:14">
      <c r="A303">
        <v>2021</v>
      </c>
      <c r="B303" s="13" t="s">
        <v>24</v>
      </c>
      <c r="C303" s="11">
        <f>1.04*1000000000</f>
        <v>1040000000</v>
      </c>
      <c r="D303" s="11">
        <f>-49.57*1000000</f>
        <v>-49570000</v>
      </c>
      <c r="E303" s="12">
        <f t="shared" si="68"/>
        <v>103490000000</v>
      </c>
      <c r="F303" s="12">
        <f t="shared" si="69"/>
        <v>773340000</v>
      </c>
      <c r="G303" s="12">
        <v>103520000000</v>
      </c>
      <c r="H303">
        <v>754180000</v>
      </c>
      <c r="I303">
        <v>200</v>
      </c>
      <c r="J303">
        <v>263.1505</v>
      </c>
      <c r="K303">
        <f t="shared" si="58"/>
        <v>1184390377.3696</v>
      </c>
      <c r="L303">
        <f t="shared" si="59"/>
        <v>117858230917.289</v>
      </c>
      <c r="M303">
        <f t="shared" si="60"/>
        <v>117892396024.328</v>
      </c>
      <c r="N303">
        <f t="shared" si="61"/>
        <v>858888014.2352</v>
      </c>
    </row>
    <row r="304" customFormat="1" spans="1:14">
      <c r="A304">
        <v>2021</v>
      </c>
      <c r="B304" s="13" t="s">
        <v>26</v>
      </c>
      <c r="C304" s="11">
        <f>625.15*1000000</f>
        <v>625150000</v>
      </c>
      <c r="D304" s="11">
        <f>-18.33*1000000</f>
        <v>-18330000</v>
      </c>
      <c r="E304" s="12">
        <f t="shared" si="68"/>
        <v>103490000000</v>
      </c>
      <c r="F304" s="12">
        <f t="shared" si="69"/>
        <v>773340000</v>
      </c>
      <c r="G304" s="12">
        <v>103520000000</v>
      </c>
      <c r="H304">
        <v>754180000</v>
      </c>
      <c r="I304">
        <v>200</v>
      </c>
      <c r="J304">
        <v>263.1505</v>
      </c>
      <c r="K304">
        <f t="shared" si="58"/>
        <v>711943888.858277</v>
      </c>
      <c r="L304">
        <f t="shared" si="59"/>
        <v>117858230917.289</v>
      </c>
      <c r="M304">
        <f t="shared" si="60"/>
        <v>117892396024.328</v>
      </c>
      <c r="N304">
        <f t="shared" si="61"/>
        <v>858888014.2352</v>
      </c>
    </row>
    <row r="305" customFormat="1" spans="1:14">
      <c r="A305">
        <v>2021</v>
      </c>
      <c r="B305" s="13" t="s">
        <v>15</v>
      </c>
      <c r="C305" s="11">
        <f>634.34*1000000</f>
        <v>634340000</v>
      </c>
      <c r="D305" s="11">
        <f>-931.71*1000</f>
        <v>-931710</v>
      </c>
      <c r="E305" s="12">
        <f t="shared" si="68"/>
        <v>103490000000</v>
      </c>
      <c r="F305" s="12">
        <f t="shared" si="69"/>
        <v>773340000</v>
      </c>
      <c r="G305" s="12">
        <v>103520000000</v>
      </c>
      <c r="H305">
        <v>754180000</v>
      </c>
      <c r="I305">
        <v>200</v>
      </c>
      <c r="J305">
        <v>263.1505</v>
      </c>
      <c r="K305">
        <f t="shared" si="58"/>
        <v>722409799.981379</v>
      </c>
      <c r="L305">
        <f t="shared" si="59"/>
        <v>117858230917.289</v>
      </c>
      <c r="M305">
        <f t="shared" si="60"/>
        <v>117892396024.328</v>
      </c>
      <c r="N305">
        <f t="shared" si="61"/>
        <v>858888014.2352</v>
      </c>
    </row>
    <row r="306" customFormat="1" spans="1:14">
      <c r="A306">
        <v>2021</v>
      </c>
      <c r="B306" s="13" t="s">
        <v>16</v>
      </c>
      <c r="C306" s="11">
        <f>14.74*1000000</f>
        <v>14740000</v>
      </c>
      <c r="D306" s="11">
        <f>-607.98*1000</f>
        <v>-607980</v>
      </c>
      <c r="E306" s="12">
        <f t="shared" si="68"/>
        <v>103490000000</v>
      </c>
      <c r="F306" s="12">
        <f t="shared" si="69"/>
        <v>773340000</v>
      </c>
      <c r="G306" s="12">
        <v>103520000000</v>
      </c>
      <c r="H306">
        <v>754180000</v>
      </c>
      <c r="I306">
        <v>200</v>
      </c>
      <c r="J306">
        <v>263.1505</v>
      </c>
      <c r="K306">
        <f t="shared" si="58"/>
        <v>16786455.9254115</v>
      </c>
      <c r="L306">
        <f t="shared" si="59"/>
        <v>117858230917.289</v>
      </c>
      <c r="M306">
        <f t="shared" si="60"/>
        <v>117892396024.328</v>
      </c>
      <c r="N306">
        <f t="shared" si="61"/>
        <v>858888014.2352</v>
      </c>
    </row>
    <row r="307" spans="1:14">
      <c r="A307">
        <v>2021</v>
      </c>
      <c r="B307" s="13" t="s">
        <v>17</v>
      </c>
      <c r="C307" s="11">
        <f>967.82*1000</f>
        <v>967820</v>
      </c>
      <c r="D307" s="11">
        <f>-141.18*1000</f>
        <v>-141180</v>
      </c>
      <c r="E307" s="12">
        <f t="shared" si="68"/>
        <v>103490000000</v>
      </c>
      <c r="F307" s="12">
        <f t="shared" si="69"/>
        <v>773340000</v>
      </c>
      <c r="G307" s="12">
        <v>103520000000</v>
      </c>
      <c r="H307">
        <v>754180000</v>
      </c>
      <c r="I307">
        <v>200</v>
      </c>
      <c r="J307">
        <v>263.1505</v>
      </c>
      <c r="K307">
        <f t="shared" si="58"/>
        <v>1102189.12983255</v>
      </c>
      <c r="L307">
        <f t="shared" si="59"/>
        <v>117858230917.289</v>
      </c>
      <c r="M307">
        <f t="shared" si="60"/>
        <v>117892396024.328</v>
      </c>
      <c r="N307">
        <f t="shared" si="61"/>
        <v>858888014.2352</v>
      </c>
    </row>
    <row r="308" spans="1:14">
      <c r="A308">
        <v>2021</v>
      </c>
      <c r="B308" s="13" t="s">
        <v>14</v>
      </c>
      <c r="C308" s="11">
        <v>0</v>
      </c>
      <c r="D308" s="11">
        <v>0</v>
      </c>
      <c r="E308" s="12">
        <f t="shared" si="68"/>
        <v>103490000000</v>
      </c>
      <c r="F308" s="12">
        <f t="shared" si="69"/>
        <v>773340000</v>
      </c>
      <c r="G308" s="12">
        <v>103520000000</v>
      </c>
      <c r="H308">
        <v>754180000</v>
      </c>
      <c r="I308">
        <v>200</v>
      </c>
      <c r="J308">
        <v>263.1505</v>
      </c>
      <c r="K308">
        <f t="shared" si="58"/>
        <v>0</v>
      </c>
      <c r="L308">
        <f t="shared" si="59"/>
        <v>117858230917.289</v>
      </c>
      <c r="M308">
        <f t="shared" si="60"/>
        <v>117892396024.328</v>
      </c>
      <c r="N308">
        <f t="shared" si="61"/>
        <v>858888014.2352</v>
      </c>
    </row>
    <row r="309" spans="1:14">
      <c r="A309">
        <v>2021</v>
      </c>
      <c r="B309" s="13" t="s">
        <v>20</v>
      </c>
      <c r="C309" s="11">
        <f>-24.06*1000000</f>
        <v>-24060000</v>
      </c>
      <c r="D309" s="11">
        <f>9.06*1000000</f>
        <v>9060000</v>
      </c>
      <c r="E309" s="12">
        <f t="shared" si="68"/>
        <v>103490000000</v>
      </c>
      <c r="F309" s="12">
        <f t="shared" si="69"/>
        <v>773340000</v>
      </c>
      <c r="G309" s="12">
        <v>103520000000</v>
      </c>
      <c r="H309">
        <v>754180000</v>
      </c>
      <c r="I309">
        <v>200</v>
      </c>
      <c r="J309">
        <v>263.1505</v>
      </c>
      <c r="K309">
        <f t="shared" si="58"/>
        <v>-27400415.8456853</v>
      </c>
      <c r="L309">
        <f t="shared" si="59"/>
        <v>117858230917.289</v>
      </c>
      <c r="M309">
        <f t="shared" si="60"/>
        <v>117892396024.328</v>
      </c>
      <c r="N309">
        <f t="shared" si="61"/>
        <v>858888014.2352</v>
      </c>
    </row>
    <row r="310" customFormat="1" spans="1:14">
      <c r="A310">
        <v>2021</v>
      </c>
      <c r="B310" s="13" t="s">
        <v>21</v>
      </c>
      <c r="C310" s="11">
        <f>1.07*1000000000</f>
        <v>1070000000</v>
      </c>
      <c r="D310" s="11">
        <f>21.59*1000000</f>
        <v>21590000</v>
      </c>
      <c r="E310" s="12">
        <f t="shared" si="68"/>
        <v>103490000000</v>
      </c>
      <c r="F310" s="12">
        <f t="shared" si="69"/>
        <v>773340000</v>
      </c>
      <c r="G310" s="12">
        <v>103520000000</v>
      </c>
      <c r="H310">
        <v>754180000</v>
      </c>
      <c r="I310">
        <v>200</v>
      </c>
      <c r="J310">
        <v>263.1505</v>
      </c>
      <c r="K310">
        <f t="shared" si="58"/>
        <v>1218555484.40911</v>
      </c>
      <c r="L310">
        <f t="shared" si="59"/>
        <v>117858230917.289</v>
      </c>
      <c r="M310">
        <f t="shared" si="60"/>
        <v>117892396024.328</v>
      </c>
      <c r="N310">
        <f t="shared" si="61"/>
        <v>858888014.2352</v>
      </c>
    </row>
    <row r="311" customFormat="1" spans="1:14">
      <c r="A311">
        <v>2021</v>
      </c>
      <c r="B311" s="13" t="s">
        <v>19</v>
      </c>
      <c r="C311" s="11">
        <f>1.19*1000000000</f>
        <v>1190000000</v>
      </c>
      <c r="D311" s="11">
        <f>50.89*1000000</f>
        <v>50890000</v>
      </c>
      <c r="E311" s="12">
        <f t="shared" si="68"/>
        <v>103490000000</v>
      </c>
      <c r="F311" s="12">
        <f t="shared" si="69"/>
        <v>773340000</v>
      </c>
      <c r="G311" s="12">
        <v>103520000000</v>
      </c>
      <c r="H311">
        <v>754180000</v>
      </c>
      <c r="I311">
        <v>200</v>
      </c>
      <c r="J311">
        <v>263.1505</v>
      </c>
      <c r="K311">
        <f t="shared" si="58"/>
        <v>1355215912.56714</v>
      </c>
      <c r="L311">
        <f t="shared" si="59"/>
        <v>117858230917.289</v>
      </c>
      <c r="M311">
        <f t="shared" si="60"/>
        <v>117892396024.328</v>
      </c>
      <c r="N311">
        <f t="shared" si="61"/>
        <v>858888014.2352</v>
      </c>
    </row>
    <row r="312" customFormat="1" spans="1:14">
      <c r="A312">
        <v>2021</v>
      </c>
      <c r="B312" s="13" t="s">
        <v>18</v>
      </c>
      <c r="C312" s="11">
        <f>4.8*1000000000</f>
        <v>4800000000</v>
      </c>
      <c r="D312" s="11">
        <f>212.72*1000000</f>
        <v>212720000</v>
      </c>
      <c r="E312" s="12">
        <f t="shared" si="68"/>
        <v>103490000000</v>
      </c>
      <c r="F312" s="12">
        <f t="shared" si="69"/>
        <v>773340000</v>
      </c>
      <c r="G312" s="12">
        <v>103520000000</v>
      </c>
      <c r="H312">
        <v>754180000</v>
      </c>
      <c r="I312">
        <v>200</v>
      </c>
      <c r="J312">
        <v>263.1505</v>
      </c>
      <c r="K312">
        <f t="shared" si="58"/>
        <v>5466417126.32125</v>
      </c>
      <c r="L312">
        <f t="shared" si="59"/>
        <v>117858230917.289</v>
      </c>
      <c r="M312">
        <f t="shared" si="60"/>
        <v>117892396024.328</v>
      </c>
      <c r="N312">
        <f t="shared" si="61"/>
        <v>858888014.2352</v>
      </c>
    </row>
    <row r="313" customFormat="1" spans="1:14">
      <c r="A313">
        <v>2021</v>
      </c>
      <c r="B313" s="13" t="s">
        <v>23</v>
      </c>
      <c r="C313" s="11">
        <f>13.66*1000000000</f>
        <v>13660000000</v>
      </c>
      <c r="D313" s="11">
        <f>1.67*1000000000</f>
        <v>1670000000</v>
      </c>
      <c r="E313" s="12">
        <f t="shared" si="68"/>
        <v>103490000000</v>
      </c>
      <c r="F313" s="12">
        <f t="shared" si="69"/>
        <v>773340000</v>
      </c>
      <c r="G313" s="12">
        <v>103520000000</v>
      </c>
      <c r="H313">
        <v>754180000</v>
      </c>
      <c r="I313">
        <v>200</v>
      </c>
      <c r="J313">
        <v>263.1505</v>
      </c>
      <c r="K313">
        <f t="shared" si="58"/>
        <v>15556512071.9892</v>
      </c>
      <c r="L313">
        <f t="shared" si="59"/>
        <v>117858230917.289</v>
      </c>
      <c r="M313">
        <f t="shared" si="60"/>
        <v>117892396024.328</v>
      </c>
      <c r="N313">
        <f t="shared" si="61"/>
        <v>858888014.2352</v>
      </c>
    </row>
    <row r="314" customFormat="1" spans="1:14">
      <c r="A314">
        <v>2022</v>
      </c>
      <c r="B314" s="13" t="s">
        <v>25</v>
      </c>
      <c r="C314" s="11">
        <f>69.6*1000000000</f>
        <v>69600000000</v>
      </c>
      <c r="D314" s="11">
        <f>-1.03*1000000000</f>
        <v>-1030000000</v>
      </c>
      <c r="E314" s="12">
        <f t="shared" ref="E314:E326" si="70">112.69*1000000000</f>
        <v>112690000000</v>
      </c>
      <c r="F314" s="12">
        <f t="shared" ref="F314:F326" si="71">-311.69*1000000</f>
        <v>-311690000</v>
      </c>
      <c r="G314" s="12">
        <v>109470000000</v>
      </c>
      <c r="H314" s="12">
        <v>2900000000</v>
      </c>
      <c r="I314">
        <v>200</v>
      </c>
      <c r="J314">
        <v>282.025</v>
      </c>
      <c r="K314">
        <f t="shared" si="58"/>
        <v>73958375321.3368</v>
      </c>
      <c r="L314">
        <f t="shared" si="59"/>
        <v>119746685559.791</v>
      </c>
      <c r="M314">
        <f t="shared" si="60"/>
        <v>116325048080.844</v>
      </c>
      <c r="N314">
        <f t="shared" si="61"/>
        <v>3081598971.72237</v>
      </c>
    </row>
    <row r="315" customFormat="1" spans="1:14">
      <c r="A315">
        <v>2022</v>
      </c>
      <c r="B315" s="13" t="s">
        <v>22</v>
      </c>
      <c r="C315" s="11">
        <f>16.56*1000000000</f>
        <v>16560000000</v>
      </c>
      <c r="D315" s="11">
        <f>-232.8*1000000</f>
        <v>-232800000</v>
      </c>
      <c r="E315" s="12">
        <f t="shared" si="70"/>
        <v>112690000000</v>
      </c>
      <c r="F315" s="12">
        <f t="shared" si="71"/>
        <v>-311690000</v>
      </c>
      <c r="G315" s="12">
        <v>109470000000</v>
      </c>
      <c r="H315" s="12">
        <v>2900000000</v>
      </c>
      <c r="I315">
        <v>200</v>
      </c>
      <c r="J315">
        <v>282.025</v>
      </c>
      <c r="K315">
        <f t="shared" si="58"/>
        <v>17596992748.8698</v>
      </c>
      <c r="L315">
        <f t="shared" si="59"/>
        <v>119746685559.791</v>
      </c>
      <c r="M315">
        <f t="shared" si="60"/>
        <v>116325048080.844</v>
      </c>
      <c r="N315">
        <f t="shared" si="61"/>
        <v>3081598971.72237</v>
      </c>
    </row>
    <row r="316" customFormat="1" spans="1:14">
      <c r="A316">
        <v>2022</v>
      </c>
      <c r="B316" s="13" t="s">
        <v>21</v>
      </c>
      <c r="C316" s="11">
        <f>677.81*1000000</f>
        <v>677810000</v>
      </c>
      <c r="D316" s="11">
        <f>-62.99*1000000</f>
        <v>-62990000</v>
      </c>
      <c r="E316" s="12">
        <f t="shared" si="70"/>
        <v>112690000000</v>
      </c>
      <c r="F316" s="12">
        <f t="shared" si="71"/>
        <v>-311690000</v>
      </c>
      <c r="G316" s="12">
        <v>109470000000</v>
      </c>
      <c r="H316" s="12">
        <v>2900000000</v>
      </c>
      <c r="I316">
        <v>200</v>
      </c>
      <c r="J316">
        <v>282.025</v>
      </c>
      <c r="K316">
        <f t="shared" si="58"/>
        <v>720254689.318323</v>
      </c>
      <c r="L316">
        <f t="shared" si="59"/>
        <v>119746685559.791</v>
      </c>
      <c r="M316">
        <f t="shared" si="60"/>
        <v>116325048080.844</v>
      </c>
      <c r="N316">
        <f t="shared" si="61"/>
        <v>3081598971.72237</v>
      </c>
    </row>
    <row r="317" customFormat="1" spans="1:14">
      <c r="A317">
        <v>2022</v>
      </c>
      <c r="B317" s="13" t="s">
        <v>19</v>
      </c>
      <c r="C317" s="11">
        <f>1.13*1000000000</f>
        <v>1130000000</v>
      </c>
      <c r="D317" s="11">
        <f>-60.33*1000000</f>
        <v>-60330000</v>
      </c>
      <c r="E317" s="12">
        <f t="shared" si="70"/>
        <v>112690000000</v>
      </c>
      <c r="F317" s="12">
        <f t="shared" si="71"/>
        <v>-311690000</v>
      </c>
      <c r="G317" s="12">
        <v>109470000000</v>
      </c>
      <c r="H317" s="12">
        <v>2900000000</v>
      </c>
      <c r="I317">
        <v>200</v>
      </c>
      <c r="J317">
        <v>282.025</v>
      </c>
      <c r="K317">
        <f t="shared" si="58"/>
        <v>1200760978.63665</v>
      </c>
      <c r="L317">
        <f t="shared" si="59"/>
        <v>119746685559.791</v>
      </c>
      <c r="M317">
        <f t="shared" si="60"/>
        <v>116325048080.844</v>
      </c>
      <c r="N317">
        <f t="shared" si="61"/>
        <v>3081598971.72237</v>
      </c>
    </row>
    <row r="318" spans="1:14">
      <c r="A318">
        <v>2022</v>
      </c>
      <c r="B318" s="13" t="s">
        <v>20</v>
      </c>
      <c r="C318" s="11">
        <f>-34.85*1000000</f>
        <v>-34850000</v>
      </c>
      <c r="D318" s="11">
        <f>-40.15*1000000</f>
        <v>-40150000</v>
      </c>
      <c r="E318" s="12">
        <f t="shared" si="70"/>
        <v>112690000000</v>
      </c>
      <c r="F318" s="12">
        <f t="shared" si="71"/>
        <v>-311690000</v>
      </c>
      <c r="G318" s="12">
        <v>109470000000</v>
      </c>
      <c r="H318" s="12">
        <v>2900000000</v>
      </c>
      <c r="I318">
        <v>200</v>
      </c>
      <c r="J318">
        <v>282.025</v>
      </c>
      <c r="K318">
        <f t="shared" si="58"/>
        <v>-37032318.6774222</v>
      </c>
      <c r="L318">
        <f t="shared" si="59"/>
        <v>119746685559.791</v>
      </c>
      <c r="M318">
        <f t="shared" si="60"/>
        <v>116325048080.844</v>
      </c>
      <c r="N318">
        <f t="shared" si="61"/>
        <v>3081598971.72237</v>
      </c>
    </row>
    <row r="319" customFormat="1" spans="1:14">
      <c r="A319">
        <v>2022</v>
      </c>
      <c r="B319" s="13" t="s">
        <v>24</v>
      </c>
      <c r="C319" s="11">
        <f>1.23*1000000000</f>
        <v>1230000000</v>
      </c>
      <c r="D319" s="11">
        <f>-25.84*1000000</f>
        <v>-25840000</v>
      </c>
      <c r="E319" s="12">
        <f t="shared" si="70"/>
        <v>112690000000</v>
      </c>
      <c r="F319" s="12">
        <f t="shared" si="71"/>
        <v>-311690000</v>
      </c>
      <c r="G319" s="12">
        <v>109470000000</v>
      </c>
      <c r="H319" s="12">
        <v>2900000000</v>
      </c>
      <c r="I319">
        <v>200</v>
      </c>
      <c r="J319">
        <v>282.025</v>
      </c>
      <c r="K319">
        <f t="shared" si="58"/>
        <v>1307023012.14431</v>
      </c>
      <c r="L319">
        <f t="shared" si="59"/>
        <v>119746685559.791</v>
      </c>
      <c r="M319">
        <f t="shared" si="60"/>
        <v>116325048080.844</v>
      </c>
      <c r="N319">
        <f t="shared" si="61"/>
        <v>3081598971.72237</v>
      </c>
    </row>
    <row r="320" customFormat="1" spans="1:14">
      <c r="A320">
        <v>2022</v>
      </c>
      <c r="B320" s="13" t="s">
        <v>26</v>
      </c>
      <c r="C320" s="11">
        <f>651.2*1000000</f>
        <v>651200000</v>
      </c>
      <c r="D320" s="11">
        <f>-10.82*1000000</f>
        <v>-10820000</v>
      </c>
      <c r="E320" s="12">
        <f t="shared" si="70"/>
        <v>112690000000</v>
      </c>
      <c r="F320" s="12">
        <f t="shared" si="71"/>
        <v>-311690000</v>
      </c>
      <c r="G320" s="12">
        <v>109470000000</v>
      </c>
      <c r="H320" s="12">
        <v>2900000000</v>
      </c>
      <c r="I320">
        <v>200</v>
      </c>
      <c r="J320">
        <v>282.025</v>
      </c>
      <c r="K320">
        <f t="shared" si="58"/>
        <v>691978362.201933</v>
      </c>
      <c r="L320">
        <f t="shared" si="59"/>
        <v>119746685559.791</v>
      </c>
      <c r="M320">
        <f t="shared" si="60"/>
        <v>116325048080.844</v>
      </c>
      <c r="N320">
        <f t="shared" si="61"/>
        <v>3081598971.72237</v>
      </c>
    </row>
    <row r="321" customFormat="1" spans="1:14">
      <c r="A321">
        <v>2022</v>
      </c>
      <c r="B321" s="13" t="s">
        <v>16</v>
      </c>
      <c r="C321" s="11">
        <f>16.02*1000000</f>
        <v>16020000</v>
      </c>
      <c r="D321" s="11">
        <f>-3.34*1000000</f>
        <v>-3340000</v>
      </c>
      <c r="E321" s="12">
        <f t="shared" si="70"/>
        <v>112690000000</v>
      </c>
      <c r="F321" s="12">
        <f t="shared" si="71"/>
        <v>-311690000</v>
      </c>
      <c r="G321" s="12">
        <v>109470000000</v>
      </c>
      <c r="H321" s="12">
        <v>2900000000</v>
      </c>
      <c r="I321">
        <v>200</v>
      </c>
      <c r="J321">
        <v>282.025</v>
      </c>
      <c r="K321">
        <f t="shared" si="58"/>
        <v>17023177.7679284</v>
      </c>
      <c r="L321">
        <f t="shared" si="59"/>
        <v>119746685559.791</v>
      </c>
      <c r="M321">
        <f t="shared" si="60"/>
        <v>116325048080.844</v>
      </c>
      <c r="N321">
        <f t="shared" si="61"/>
        <v>3081598971.72237</v>
      </c>
    </row>
    <row r="322" customFormat="1" spans="1:14">
      <c r="A322">
        <v>2022</v>
      </c>
      <c r="B322" s="13" t="s">
        <v>15</v>
      </c>
      <c r="C322" s="11">
        <f>654.66*1000000</f>
        <v>654660000</v>
      </c>
      <c r="D322" s="11">
        <v>-0.93</v>
      </c>
      <c r="E322" s="12">
        <f t="shared" si="70"/>
        <v>112690000000</v>
      </c>
      <c r="F322" s="12">
        <f t="shared" si="71"/>
        <v>-311690000</v>
      </c>
      <c r="G322" s="12">
        <v>109470000000</v>
      </c>
      <c r="H322" s="12">
        <v>2900000000</v>
      </c>
      <c r="I322">
        <v>200</v>
      </c>
      <c r="J322">
        <v>282.025</v>
      </c>
      <c r="K322">
        <f t="shared" si="58"/>
        <v>695655028.561298</v>
      </c>
      <c r="L322">
        <f t="shared" si="59"/>
        <v>119746685559.791</v>
      </c>
      <c r="M322">
        <f t="shared" si="60"/>
        <v>116325048080.844</v>
      </c>
      <c r="N322">
        <f t="shared" si="61"/>
        <v>3081598971.72237</v>
      </c>
    </row>
    <row r="323" spans="1:14">
      <c r="A323">
        <v>2022</v>
      </c>
      <c r="B323" s="13" t="s">
        <v>14</v>
      </c>
      <c r="C323" s="11">
        <v>0</v>
      </c>
      <c r="D323" s="11">
        <v>0</v>
      </c>
      <c r="E323" s="12">
        <f t="shared" si="70"/>
        <v>112690000000</v>
      </c>
      <c r="F323" s="12">
        <f t="shared" si="71"/>
        <v>-311690000</v>
      </c>
      <c r="G323" s="12">
        <v>109470000000</v>
      </c>
      <c r="H323" s="12">
        <v>2900000000</v>
      </c>
      <c r="I323">
        <v>200</v>
      </c>
      <c r="J323">
        <v>282.025</v>
      </c>
      <c r="K323">
        <f t="shared" ref="K323:K339" si="72">C323*299.6855/J323</f>
        <v>0</v>
      </c>
      <c r="L323">
        <f t="shared" ref="L323:L339" si="73">E323*299.6855/J323</f>
        <v>119746685559.791</v>
      </c>
      <c r="M323">
        <f t="shared" ref="M323:M339" si="74">G323*299.6855/J323</f>
        <v>116325048080.844</v>
      </c>
      <c r="N323">
        <f t="shared" ref="N323:N339" si="75">H323*299.6855/J323</f>
        <v>3081598971.72237</v>
      </c>
    </row>
    <row r="324" customFormat="1" customHeight="1" spans="1:14">
      <c r="A324">
        <v>2022</v>
      </c>
      <c r="B324" s="13" t="s">
        <v>18</v>
      </c>
      <c r="C324" s="11">
        <f>4.92*1000000000</f>
        <v>4920000000</v>
      </c>
      <c r="D324" s="11">
        <f>174.35*1000000</f>
        <v>174350000</v>
      </c>
      <c r="E324" s="12">
        <f t="shared" si="70"/>
        <v>112690000000</v>
      </c>
      <c r="F324" s="12">
        <f t="shared" si="71"/>
        <v>-311690000</v>
      </c>
      <c r="G324" s="12">
        <v>109470000000</v>
      </c>
      <c r="H324" s="12">
        <v>2900000000</v>
      </c>
      <c r="I324">
        <v>200</v>
      </c>
      <c r="J324">
        <v>282.025</v>
      </c>
      <c r="K324">
        <f t="shared" si="72"/>
        <v>5228092048.57725</v>
      </c>
      <c r="L324">
        <f t="shared" si="73"/>
        <v>119746685559.791</v>
      </c>
      <c r="M324">
        <f t="shared" si="74"/>
        <v>116325048080.844</v>
      </c>
      <c r="N324">
        <f t="shared" si="75"/>
        <v>3081598971.72237</v>
      </c>
    </row>
    <row r="325" customFormat="1" spans="1:14">
      <c r="A325">
        <v>2022</v>
      </c>
      <c r="B325" s="13" t="s">
        <v>17</v>
      </c>
      <c r="C325" s="11">
        <f>498.4*1000000</f>
        <v>498400000</v>
      </c>
      <c r="D325" s="11">
        <f>294*1000000</f>
        <v>294000000</v>
      </c>
      <c r="E325" s="12">
        <f t="shared" si="70"/>
        <v>112690000000</v>
      </c>
      <c r="F325" s="12">
        <f t="shared" si="71"/>
        <v>-311690000</v>
      </c>
      <c r="G325" s="12">
        <v>109470000000</v>
      </c>
      <c r="H325" s="12">
        <v>2900000000</v>
      </c>
      <c r="I325">
        <v>200</v>
      </c>
      <c r="J325">
        <v>282.025</v>
      </c>
      <c r="K325">
        <f t="shared" si="72"/>
        <v>529609975.002216</v>
      </c>
      <c r="L325">
        <f t="shared" si="73"/>
        <v>119746685559.791</v>
      </c>
      <c r="M325">
        <f t="shared" si="74"/>
        <v>116325048080.844</v>
      </c>
      <c r="N325">
        <f t="shared" si="75"/>
        <v>3081598971.72237</v>
      </c>
    </row>
    <row r="326" customFormat="1" spans="1:14">
      <c r="A326">
        <v>2022</v>
      </c>
      <c r="B326" s="13" t="s">
        <v>23</v>
      </c>
      <c r="C326" s="11">
        <f>16.79*1000000000</f>
        <v>16790000000</v>
      </c>
      <c r="D326" s="11">
        <f>685.78*1000000</f>
        <v>685780000</v>
      </c>
      <c r="E326" s="12">
        <f t="shared" si="70"/>
        <v>112690000000</v>
      </c>
      <c r="F326" s="12">
        <f t="shared" si="71"/>
        <v>-311690000</v>
      </c>
      <c r="G326" s="12">
        <v>109470000000</v>
      </c>
      <c r="H326" s="12">
        <v>2900000000</v>
      </c>
      <c r="I326">
        <v>200</v>
      </c>
      <c r="J326">
        <v>282.025</v>
      </c>
      <c r="K326">
        <f t="shared" si="72"/>
        <v>17841395425.9374</v>
      </c>
      <c r="L326">
        <f t="shared" si="73"/>
        <v>119746685559.791</v>
      </c>
      <c r="M326">
        <f t="shared" si="74"/>
        <v>116325048080.844</v>
      </c>
      <c r="N326">
        <f t="shared" si="75"/>
        <v>3081598971.72237</v>
      </c>
    </row>
    <row r="327" spans="1:14">
      <c r="A327">
        <v>2023</v>
      </c>
      <c r="B327" s="13" t="s">
        <v>25</v>
      </c>
      <c r="C327" s="11">
        <f>73.44*1000000000</f>
        <v>73440000000</v>
      </c>
      <c r="D327" s="11">
        <f>-458.41*1000000</f>
        <v>-458410000</v>
      </c>
      <c r="E327" s="12">
        <f t="shared" ref="E327:E339" si="76">113.99*1000000000</f>
        <v>113990000000</v>
      </c>
      <c r="F327" s="12">
        <f t="shared" ref="F327:F339" si="77">-1.1*1000000000</f>
        <v>-1100000000</v>
      </c>
      <c r="G327" s="12">
        <f t="shared" ref="G327:G339" si="78">112.02*1000000000</f>
        <v>112020000000</v>
      </c>
      <c r="H327" s="12">
        <f t="shared" ref="H327:H339" si="79">867.67*0.001*1000000000</f>
        <v>867670000</v>
      </c>
      <c r="I327">
        <v>200</v>
      </c>
      <c r="J327">
        <v>299.6855</v>
      </c>
      <c r="K327">
        <f t="shared" si="72"/>
        <v>73440000000</v>
      </c>
      <c r="L327">
        <f t="shared" si="73"/>
        <v>113990000000</v>
      </c>
      <c r="M327">
        <f t="shared" si="74"/>
        <v>112020000000</v>
      </c>
      <c r="N327">
        <f t="shared" si="75"/>
        <v>867670000</v>
      </c>
    </row>
    <row r="328" spans="1:14">
      <c r="A328">
        <v>2023</v>
      </c>
      <c r="B328" s="13" t="s">
        <v>23</v>
      </c>
      <c r="C328" s="11">
        <f>11.42*1000000000</f>
        <v>11420000000</v>
      </c>
      <c r="D328" s="11">
        <f>-386.22*1000000</f>
        <v>-386220000</v>
      </c>
      <c r="E328" s="12">
        <f t="shared" si="76"/>
        <v>113990000000</v>
      </c>
      <c r="F328" s="12">
        <f t="shared" si="77"/>
        <v>-1100000000</v>
      </c>
      <c r="G328" s="12">
        <f t="shared" si="78"/>
        <v>112020000000</v>
      </c>
      <c r="H328" s="12">
        <f t="shared" si="79"/>
        <v>867670000</v>
      </c>
      <c r="I328">
        <v>200</v>
      </c>
      <c r="J328">
        <v>299.6855</v>
      </c>
      <c r="K328">
        <f t="shared" si="72"/>
        <v>11420000000</v>
      </c>
      <c r="L328">
        <f t="shared" si="73"/>
        <v>113990000000</v>
      </c>
      <c r="M328">
        <f t="shared" si="74"/>
        <v>112020000000</v>
      </c>
      <c r="N328">
        <f t="shared" si="75"/>
        <v>867670000</v>
      </c>
    </row>
    <row r="329" spans="1:14">
      <c r="A329">
        <v>2023</v>
      </c>
      <c r="B329" s="13" t="s">
        <v>21</v>
      </c>
      <c r="C329" s="11">
        <f>1.14*1000000000</f>
        <v>1140000000</v>
      </c>
      <c r="D329" s="11">
        <f>-357.97*1000000</f>
        <v>-357970000</v>
      </c>
      <c r="E329" s="12">
        <f t="shared" si="76"/>
        <v>113990000000</v>
      </c>
      <c r="F329" s="12">
        <f t="shared" si="77"/>
        <v>-1100000000</v>
      </c>
      <c r="G329" s="12">
        <f t="shared" si="78"/>
        <v>112020000000</v>
      </c>
      <c r="H329" s="12">
        <f t="shared" si="79"/>
        <v>867670000</v>
      </c>
      <c r="I329">
        <v>200</v>
      </c>
      <c r="J329">
        <v>299.6855</v>
      </c>
      <c r="K329">
        <f t="shared" si="72"/>
        <v>1140000000</v>
      </c>
      <c r="L329">
        <f t="shared" si="73"/>
        <v>113990000000</v>
      </c>
      <c r="M329">
        <f t="shared" si="74"/>
        <v>112020000000</v>
      </c>
      <c r="N329">
        <f t="shared" si="75"/>
        <v>867670000</v>
      </c>
    </row>
    <row r="330" spans="1:14">
      <c r="A330">
        <v>2023</v>
      </c>
      <c r="B330" s="13" t="s">
        <v>22</v>
      </c>
      <c r="C330" s="11">
        <f>18.09*1000000000</f>
        <v>18090000000</v>
      </c>
      <c r="D330" s="11">
        <f>-120.56*1000000</f>
        <v>-120560000</v>
      </c>
      <c r="E330" s="12">
        <f t="shared" si="76"/>
        <v>113990000000</v>
      </c>
      <c r="F330" s="12">
        <f t="shared" si="77"/>
        <v>-1100000000</v>
      </c>
      <c r="G330" s="12">
        <f t="shared" si="78"/>
        <v>112020000000</v>
      </c>
      <c r="H330" s="12">
        <f t="shared" si="79"/>
        <v>867670000</v>
      </c>
      <c r="I330">
        <v>200</v>
      </c>
      <c r="J330">
        <v>299.6855</v>
      </c>
      <c r="K330">
        <f t="shared" si="72"/>
        <v>18090000000</v>
      </c>
      <c r="L330">
        <f t="shared" si="73"/>
        <v>113990000000</v>
      </c>
      <c r="M330">
        <f t="shared" si="74"/>
        <v>112020000000</v>
      </c>
      <c r="N330">
        <f t="shared" si="75"/>
        <v>867670000</v>
      </c>
    </row>
    <row r="331" spans="1:14">
      <c r="A331">
        <v>2023</v>
      </c>
      <c r="B331" s="13" t="s">
        <v>19</v>
      </c>
      <c r="C331" s="11">
        <f>1.11*1000000000</f>
        <v>1110000000</v>
      </c>
      <c r="D331" s="11">
        <f>-97.88*1000000</f>
        <v>-97880000</v>
      </c>
      <c r="E331" s="12">
        <f t="shared" si="76"/>
        <v>113990000000</v>
      </c>
      <c r="F331" s="12">
        <f t="shared" si="77"/>
        <v>-1100000000</v>
      </c>
      <c r="G331" s="12">
        <f t="shared" si="78"/>
        <v>112020000000</v>
      </c>
      <c r="H331" s="12">
        <f t="shared" si="79"/>
        <v>867670000</v>
      </c>
      <c r="I331">
        <v>200</v>
      </c>
      <c r="J331">
        <v>299.6855</v>
      </c>
      <c r="K331">
        <f t="shared" si="72"/>
        <v>1110000000</v>
      </c>
      <c r="L331">
        <f t="shared" si="73"/>
        <v>113990000000</v>
      </c>
      <c r="M331">
        <f t="shared" si="74"/>
        <v>112020000000</v>
      </c>
      <c r="N331">
        <f t="shared" si="75"/>
        <v>867670000</v>
      </c>
    </row>
    <row r="332" spans="1:14">
      <c r="A332">
        <v>2023</v>
      </c>
      <c r="B332" s="13" t="s">
        <v>16</v>
      </c>
      <c r="C332" s="11">
        <f>508.14*1000000</f>
        <v>508140000</v>
      </c>
      <c r="D332" s="11">
        <f>-31.05*1000000</f>
        <v>-31050000</v>
      </c>
      <c r="E332" s="12">
        <f t="shared" si="76"/>
        <v>113990000000</v>
      </c>
      <c r="F332" s="12">
        <f t="shared" si="77"/>
        <v>-1100000000</v>
      </c>
      <c r="G332" s="12">
        <f t="shared" si="78"/>
        <v>112020000000</v>
      </c>
      <c r="H332" s="12">
        <f t="shared" si="79"/>
        <v>867670000</v>
      </c>
      <c r="I332">
        <v>200</v>
      </c>
      <c r="J332">
        <v>299.6855</v>
      </c>
      <c r="K332">
        <f t="shared" si="72"/>
        <v>508140000</v>
      </c>
      <c r="L332">
        <f t="shared" si="73"/>
        <v>113990000000</v>
      </c>
      <c r="M332">
        <f t="shared" si="74"/>
        <v>112020000000</v>
      </c>
      <c r="N332">
        <f t="shared" si="75"/>
        <v>867670000</v>
      </c>
    </row>
    <row r="333" spans="1:14">
      <c r="A333">
        <v>2023</v>
      </c>
      <c r="B333" s="13" t="s">
        <v>15</v>
      </c>
      <c r="C333" s="11">
        <f>698.52*1000000</f>
        <v>698520000</v>
      </c>
      <c r="D333" s="11">
        <f>-3.64*1000000</f>
        <v>-3640000</v>
      </c>
      <c r="E333" s="12">
        <f t="shared" si="76"/>
        <v>113990000000</v>
      </c>
      <c r="F333" s="12">
        <f t="shared" si="77"/>
        <v>-1100000000</v>
      </c>
      <c r="G333" s="12">
        <f t="shared" si="78"/>
        <v>112020000000</v>
      </c>
      <c r="H333" s="12">
        <f t="shared" si="79"/>
        <v>867670000</v>
      </c>
      <c r="I333">
        <v>200</v>
      </c>
      <c r="J333">
        <v>299.6855</v>
      </c>
      <c r="K333">
        <f t="shared" si="72"/>
        <v>698520000</v>
      </c>
      <c r="L333">
        <f t="shared" si="73"/>
        <v>113990000000</v>
      </c>
      <c r="M333">
        <f t="shared" si="74"/>
        <v>112020000000</v>
      </c>
      <c r="N333">
        <f t="shared" si="75"/>
        <v>867670000</v>
      </c>
    </row>
    <row r="334" spans="1:14">
      <c r="A334">
        <v>2023</v>
      </c>
      <c r="B334" s="13" t="s">
        <v>20</v>
      </c>
      <c r="C334" s="11">
        <f>-13.37*1000000</f>
        <v>-13370000</v>
      </c>
      <c r="D334" s="11">
        <f>-1.63*1000000</f>
        <v>-1630000</v>
      </c>
      <c r="E334" s="12">
        <f t="shared" si="76"/>
        <v>113990000000</v>
      </c>
      <c r="F334" s="12">
        <f t="shared" si="77"/>
        <v>-1100000000</v>
      </c>
      <c r="G334" s="12">
        <f t="shared" si="78"/>
        <v>112020000000</v>
      </c>
      <c r="H334" s="12">
        <f t="shared" si="79"/>
        <v>867670000</v>
      </c>
      <c r="I334">
        <v>200</v>
      </c>
      <c r="J334">
        <v>299.6855</v>
      </c>
      <c r="K334">
        <f t="shared" si="72"/>
        <v>-13370000</v>
      </c>
      <c r="L334">
        <f t="shared" si="73"/>
        <v>113990000000</v>
      </c>
      <c r="M334">
        <f t="shared" si="74"/>
        <v>112020000000</v>
      </c>
      <c r="N334">
        <f t="shared" si="75"/>
        <v>867670000</v>
      </c>
    </row>
    <row r="335" spans="1:14">
      <c r="A335">
        <v>2023</v>
      </c>
      <c r="B335" s="13" t="s">
        <v>24</v>
      </c>
      <c r="C335" s="11">
        <f>1.46*1000000000</f>
        <v>1460000000</v>
      </c>
      <c r="D335" s="11">
        <f>-1.22*1000000</f>
        <v>-1220000</v>
      </c>
      <c r="E335" s="12">
        <f t="shared" si="76"/>
        <v>113990000000</v>
      </c>
      <c r="F335" s="12">
        <f t="shared" si="77"/>
        <v>-1100000000</v>
      </c>
      <c r="G335" s="12">
        <f t="shared" si="78"/>
        <v>112020000000</v>
      </c>
      <c r="H335" s="12">
        <f t="shared" si="79"/>
        <v>867670000</v>
      </c>
      <c r="I335">
        <v>200</v>
      </c>
      <c r="J335">
        <v>299.6855</v>
      </c>
      <c r="K335">
        <f t="shared" si="72"/>
        <v>1460000000</v>
      </c>
      <c r="L335">
        <f t="shared" si="73"/>
        <v>113990000000</v>
      </c>
      <c r="M335">
        <f t="shared" si="74"/>
        <v>112020000000</v>
      </c>
      <c r="N335">
        <f t="shared" si="75"/>
        <v>867670000</v>
      </c>
    </row>
    <row r="336" spans="1:14">
      <c r="A336">
        <v>2023</v>
      </c>
      <c r="B336" s="13" t="s">
        <v>14</v>
      </c>
      <c r="C336" s="11">
        <v>0</v>
      </c>
      <c r="D336" s="11">
        <v>0</v>
      </c>
      <c r="E336" s="12">
        <f t="shared" si="76"/>
        <v>113990000000</v>
      </c>
      <c r="F336" s="12">
        <f t="shared" si="77"/>
        <v>-1100000000</v>
      </c>
      <c r="G336" s="12">
        <f t="shared" si="78"/>
        <v>112020000000</v>
      </c>
      <c r="H336" s="12">
        <f t="shared" si="79"/>
        <v>867670000</v>
      </c>
      <c r="I336">
        <v>200</v>
      </c>
      <c r="J336">
        <v>299.6855</v>
      </c>
      <c r="K336">
        <f t="shared" si="72"/>
        <v>0</v>
      </c>
      <c r="L336">
        <f t="shared" si="73"/>
        <v>113990000000</v>
      </c>
      <c r="M336">
        <f t="shared" si="74"/>
        <v>112020000000</v>
      </c>
      <c r="N336">
        <f t="shared" si="75"/>
        <v>867670000</v>
      </c>
    </row>
    <row r="337" spans="1:14">
      <c r="A337">
        <v>2023</v>
      </c>
      <c r="B337" s="13" t="s">
        <v>26</v>
      </c>
      <c r="C337" s="11">
        <f>762.99*1000000</f>
        <v>762990000</v>
      </c>
      <c r="D337" s="11">
        <f>3.5*1000000</f>
        <v>3500000</v>
      </c>
      <c r="E337" s="12">
        <f t="shared" si="76"/>
        <v>113990000000</v>
      </c>
      <c r="F337" s="12">
        <f t="shared" si="77"/>
        <v>-1100000000</v>
      </c>
      <c r="G337" s="12">
        <f t="shared" si="78"/>
        <v>112020000000</v>
      </c>
      <c r="H337" s="12">
        <f t="shared" si="79"/>
        <v>867670000</v>
      </c>
      <c r="I337">
        <v>200</v>
      </c>
      <c r="J337">
        <v>299.6855</v>
      </c>
      <c r="K337">
        <f t="shared" si="72"/>
        <v>762990000</v>
      </c>
      <c r="L337">
        <f t="shared" si="73"/>
        <v>113990000000</v>
      </c>
      <c r="M337">
        <f t="shared" si="74"/>
        <v>112020000000</v>
      </c>
      <c r="N337">
        <f t="shared" si="75"/>
        <v>867670000</v>
      </c>
    </row>
    <row r="338" spans="1:14">
      <c r="A338">
        <v>2023</v>
      </c>
      <c r="B338" s="13" t="s">
        <v>17</v>
      </c>
      <c r="C338" s="11">
        <f>186.28*1000000</f>
        <v>186280000</v>
      </c>
      <c r="D338" s="11">
        <f>110.56*1000000</f>
        <v>110560000</v>
      </c>
      <c r="E338" s="12">
        <f t="shared" si="76"/>
        <v>113990000000</v>
      </c>
      <c r="F338" s="12">
        <f t="shared" si="77"/>
        <v>-1100000000</v>
      </c>
      <c r="G338" s="12">
        <f t="shared" si="78"/>
        <v>112020000000</v>
      </c>
      <c r="H338" s="12">
        <f t="shared" si="79"/>
        <v>867670000</v>
      </c>
      <c r="I338">
        <v>200</v>
      </c>
      <c r="J338">
        <v>299.6855</v>
      </c>
      <c r="K338">
        <f t="shared" si="72"/>
        <v>186280000</v>
      </c>
      <c r="L338">
        <f t="shared" si="73"/>
        <v>113990000000</v>
      </c>
      <c r="M338">
        <f t="shared" si="74"/>
        <v>112020000000</v>
      </c>
      <c r="N338">
        <f t="shared" si="75"/>
        <v>867670000</v>
      </c>
    </row>
    <row r="339" spans="1:14">
      <c r="A339">
        <v>2023</v>
      </c>
      <c r="B339" s="13" t="s">
        <v>18</v>
      </c>
      <c r="C339" s="11">
        <f>5.19*1000000000</f>
        <v>5190000000</v>
      </c>
      <c r="D339" s="11">
        <f>239.99*1000000</f>
        <v>239990000</v>
      </c>
      <c r="E339" s="12">
        <f t="shared" si="76"/>
        <v>113990000000</v>
      </c>
      <c r="F339" s="12">
        <f t="shared" si="77"/>
        <v>-1100000000</v>
      </c>
      <c r="G339" s="12">
        <f t="shared" si="78"/>
        <v>112020000000</v>
      </c>
      <c r="H339" s="12">
        <f t="shared" si="79"/>
        <v>867670000</v>
      </c>
      <c r="I339">
        <v>200</v>
      </c>
      <c r="J339">
        <v>299.6855</v>
      </c>
      <c r="K339">
        <f t="shared" si="72"/>
        <v>5190000000</v>
      </c>
      <c r="L339">
        <f t="shared" si="73"/>
        <v>113990000000</v>
      </c>
      <c r="M339">
        <f t="shared" si="74"/>
        <v>112020000000</v>
      </c>
      <c r="N339">
        <f t="shared" si="75"/>
        <v>867670000</v>
      </c>
    </row>
  </sheetData>
  <sortState ref="A2:N170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zoomScale="99" zoomScaleNormal="99" workbookViewId="0">
      <selection activeCell="D1" sqref="D1:E13"/>
    </sheetView>
  </sheetViews>
  <sheetFormatPr defaultColWidth="9" defaultRowHeight="14" outlineLevelCol="6"/>
  <cols>
    <col min="1" max="1" width="26.6875" customWidth="1"/>
  </cols>
  <sheetData>
    <row r="1" ht="28" spans="1:7">
      <c r="A1" s="1" t="s">
        <v>25</v>
      </c>
      <c r="B1" s="2" t="s">
        <v>27</v>
      </c>
      <c r="C1" s="2" t="s">
        <v>28</v>
      </c>
      <c r="D1" s="3" t="s">
        <v>29</v>
      </c>
      <c r="E1" s="2" t="s">
        <v>30</v>
      </c>
      <c r="F1" s="9"/>
      <c r="G1" s="9"/>
    </row>
    <row r="2" ht="28" spans="1:7">
      <c r="A2" s="4" t="s">
        <v>22</v>
      </c>
      <c r="B2" s="5" t="s">
        <v>31</v>
      </c>
      <c r="C2" s="5" t="s">
        <v>32</v>
      </c>
      <c r="D2" s="6" t="s">
        <v>33</v>
      </c>
      <c r="E2" s="5" t="s">
        <v>34</v>
      </c>
      <c r="F2" s="10"/>
      <c r="G2" s="10"/>
    </row>
    <row r="3" ht="28" spans="1:7">
      <c r="A3" s="1" t="s">
        <v>23</v>
      </c>
      <c r="B3" s="2" t="s">
        <v>35</v>
      </c>
      <c r="C3" s="2" t="s">
        <v>36</v>
      </c>
      <c r="D3" s="3" t="s">
        <v>37</v>
      </c>
      <c r="E3" s="2" t="s">
        <v>38</v>
      </c>
      <c r="F3" s="9"/>
      <c r="G3" s="9"/>
    </row>
    <row r="4" spans="1:7">
      <c r="A4" s="4" t="s">
        <v>18</v>
      </c>
      <c r="B4" s="5" t="s">
        <v>39</v>
      </c>
      <c r="C4" s="5" t="s">
        <v>40</v>
      </c>
      <c r="D4" s="6" t="s">
        <v>41</v>
      </c>
      <c r="E4" s="5" t="s">
        <v>42</v>
      </c>
      <c r="F4" s="10"/>
      <c r="G4" s="10"/>
    </row>
    <row r="5" ht="28" spans="1:7">
      <c r="A5" s="1" t="s">
        <v>19</v>
      </c>
      <c r="B5" s="2" t="s">
        <v>43</v>
      </c>
      <c r="C5" s="2" t="s">
        <v>44</v>
      </c>
      <c r="D5" s="3" t="s">
        <v>45</v>
      </c>
      <c r="E5" s="2" t="s">
        <v>46</v>
      </c>
      <c r="F5" s="9"/>
      <c r="G5" s="9"/>
    </row>
    <row r="6" spans="1:7">
      <c r="A6" s="4" t="s">
        <v>21</v>
      </c>
      <c r="B6" s="5" t="s">
        <v>47</v>
      </c>
      <c r="C6" s="5" t="s">
        <v>48</v>
      </c>
      <c r="D6" s="6" t="s">
        <v>49</v>
      </c>
      <c r="E6" s="5" t="s">
        <v>50</v>
      </c>
      <c r="F6" s="10"/>
      <c r="G6" s="10"/>
    </row>
    <row r="7" spans="1:7">
      <c r="A7" s="1" t="s">
        <v>24</v>
      </c>
      <c r="B7" s="2" t="s">
        <v>51</v>
      </c>
      <c r="C7" s="2" t="s">
        <v>52</v>
      </c>
      <c r="D7" s="3" t="s">
        <v>53</v>
      </c>
      <c r="E7" s="2" t="s">
        <v>54</v>
      </c>
      <c r="F7" s="9"/>
      <c r="G7" s="9"/>
    </row>
    <row r="8" ht="28" spans="1:7">
      <c r="A8" s="4" t="s">
        <v>15</v>
      </c>
      <c r="B8" s="5" t="s">
        <v>55</v>
      </c>
      <c r="C8" s="5" t="s">
        <v>56</v>
      </c>
      <c r="D8" s="6" t="s">
        <v>57</v>
      </c>
      <c r="E8" s="5" t="s">
        <v>58</v>
      </c>
      <c r="F8" s="10"/>
      <c r="G8" s="10"/>
    </row>
    <row r="9" ht="28" spans="1:7">
      <c r="A9" s="1" t="s">
        <v>26</v>
      </c>
      <c r="B9" s="2" t="s">
        <v>59</v>
      </c>
      <c r="C9" s="2" t="s">
        <v>60</v>
      </c>
      <c r="D9" s="3" t="s">
        <v>61</v>
      </c>
      <c r="E9" s="2" t="s">
        <v>62</v>
      </c>
      <c r="F9" s="9"/>
      <c r="G9" s="9"/>
    </row>
    <row r="10" ht="28" spans="1:7">
      <c r="A10" s="4" t="s">
        <v>17</v>
      </c>
      <c r="B10" s="5" t="s">
        <v>63</v>
      </c>
      <c r="C10" s="5" t="s">
        <v>64</v>
      </c>
      <c r="D10" s="6" t="s">
        <v>65</v>
      </c>
      <c r="E10" s="5" t="s">
        <v>66</v>
      </c>
      <c r="F10" s="10"/>
      <c r="G10" s="10"/>
    </row>
    <row r="11" spans="1:7">
      <c r="A11" s="1" t="s">
        <v>16</v>
      </c>
      <c r="B11" s="2" t="s">
        <v>67</v>
      </c>
      <c r="C11" s="2" t="s">
        <v>68</v>
      </c>
      <c r="D11" s="3" t="s">
        <v>69</v>
      </c>
      <c r="E11" s="2" t="s">
        <v>70</v>
      </c>
      <c r="F11" s="9"/>
      <c r="G11" s="9"/>
    </row>
    <row r="12" ht="28" spans="1:7">
      <c r="A12" s="4" t="s">
        <v>14</v>
      </c>
      <c r="B12" s="5" t="s">
        <v>71</v>
      </c>
      <c r="C12" s="7">
        <v>0</v>
      </c>
      <c r="D12" s="8">
        <v>0</v>
      </c>
      <c r="E12" s="7">
        <v>0</v>
      </c>
      <c r="F12" s="10"/>
      <c r="G12" s="10"/>
    </row>
    <row r="13" ht="28" spans="1:6">
      <c r="A13" s="1" t="s">
        <v>20</v>
      </c>
      <c r="B13" s="2" t="s">
        <v>72</v>
      </c>
      <c r="C13" s="2" t="s">
        <v>72</v>
      </c>
      <c r="D13" s="3" t="s">
        <v>73</v>
      </c>
      <c r="E13" s="2" t="s">
        <v>74</v>
      </c>
      <c r="F13" s="9"/>
    </row>
  </sheetData>
  <hyperlinks>
    <hyperlink ref="D1" r:id="rId1" display="$40.35B" tooltip="https://www.checkbooknyc.com/revenue/yeartype/B/year/112?expandBottomContURL=/revenue/transactions/revenue_transactions/smnid/580/yeartype/B/year/112/revcat/3"/>
    <hyperlink ref="D2" r:id="rId2" display="$11.33B" tooltip="https://www.checkbooknyc.com/revenue/yeartype/B/year/112?expandBottomContURL=/revenue/transactions/revenue_transactions/smnid/580/yeartype/B/year/112/revcat/15"/>
    <hyperlink ref="D3" r:id="rId3" display="$7.93B" tooltip="https://www.checkbooknyc.com/revenue/yeartype/B/year/112?expandBottomContURL=/revenue/transactions/revenue_transactions/smnid/580/yeartype/B/year/112/revcat/1"/>
    <hyperlink ref="D4" r:id="rId4" display="$4.20B" tooltip="https://www.checkbooknyc.com/revenue/yeartype/B/year/112?expandBottomContURL=/revenue/transactions/revenue_transactions/smnid/580/yeartype/B/year/112/revcat/26"/>
    <hyperlink ref="D5" r:id="rId5" display="$1.53B" tooltip="https://www.checkbooknyc.com/revenue/yeartype/B/year/112?expandBottomContURL=/revenue/transactions/revenue_transactions/smnid/580/yeartype/B/year/112/revcat/14"/>
    <hyperlink ref="D6" r:id="rId6" display="$1.06B" tooltip="https://www.checkbooknyc.com/revenue/yeartype/B/year/112?expandBottomContURL=/revenue/transactions/revenue_transactions/smnid/580/yeartype/B/year/112/revcat/5"/>
    <hyperlink ref="D7" r:id="rId7" display="$820.09M" tooltip="https://www.checkbooknyc.com/revenue/yeartype/B/year/112?expandBottomContURL=/revenue/transactions/revenue_transactions/smnid/580/yeartype/B/year/112/revcat/23"/>
    <hyperlink ref="D8" r:id="rId8" display="$561.48M" tooltip="https://www.checkbooknyc.com/revenue/yeartype/B/year/112?expandBottomContURL=/revenue/transactions/revenue_transactions/smnid/580/yeartype/B/year/112/revcat/18"/>
    <hyperlink ref="D9" r:id="rId9" display="$524.67M" tooltip="https://www.checkbooknyc.com/revenue/yeartype/B/year/112?expandBottomContURL=/revenue/transactions/revenue_transactions/smnid/580/yeartype/B/year/112/revcat/16"/>
    <hyperlink ref="D10" r:id="rId10" display="$39.00M" tooltip="https://www.checkbooknyc.com/revenue/yeartype/B/year/112?expandBottomContURL=/revenue/transactions/revenue_transactions/smnid/580/yeartype/B/year/112/revcat/12"/>
    <hyperlink ref="D11" r:id="rId11" display="$20.79M" tooltip="https://www.checkbooknyc.com/revenue/yeartype/B/year/112?expandBottomContURL=/revenue/transactions/revenue_transactions/smnid/580/yeartype/B/year/112/revcat/31"/>
    <hyperlink ref="D12" r:id="rId12" display="0" tooltip="https://www.checkbooknyc.com/revenue/yeartype/B/year/112?expandBottomContURL=/revenue/transactions/revenue_transactions/smnid/580/yeartype/B/year/112/revcat/35"/>
    <hyperlink ref="D13" r:id="rId13" display="-$111.66M" tooltip="https://www.checkbooknyc.com/revenue/yeartype/B/year/112?expandBottomContURL=/revenue/transactions/revenue_transactions/smnid/580/yeartype/B/year/112/revcat/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Citywide_Revenue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</cp:lastModifiedBy>
  <dcterms:created xsi:type="dcterms:W3CDTF">2023-08-22T20:37:00Z</dcterms:created>
  <dcterms:modified xsi:type="dcterms:W3CDTF">2023-11-28T12:22:00Z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9CA343F6C4C2CAA6F227E664FBE1331B</vt:lpwstr>
  </property>
  <property fmtid="{D5CDD505-2E9C-101B-9397-08002B2CF9AE}" pid="3" name="KSOProductBuildVer">
    <vt:lpwstr>1033-5.1.1.7662</vt:lpwstr>
  </property>
</Properties>
</file>