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GASB 34 Project Plan\Division Financials &amp; Schedules_2023\$Printer Inserts\1-Letter of Transmittal (LOT)-  (Pages xiii-xxxiii)\"/>
    </mc:Choice>
  </mc:AlternateContent>
  <xr:revisionPtr revIDLastSave="0" documentId="13_ncr:1_{B654F2BB-EEB9-4E22-82B4-35CA3FBC2CCB}" xr6:coauthVersionLast="47" xr6:coauthVersionMax="47" xr10:uidLastSave="{00000000-0000-0000-0000-000000000000}"/>
  <bookViews>
    <workbookView xWindow="28680" yWindow="-120" windowWidth="29040" windowHeight="15840" activeTab="5" xr2:uid="{316A3DEA-2134-A34A-B46C-0771D12C8622}"/>
  </bookViews>
  <sheets>
    <sheet name="Page xiv-employment" sheetId="1" r:id="rId1"/>
    <sheet name="Page xv-taxable sales" sheetId="2" r:id="rId2"/>
    <sheet name="Page xv-CPI" sheetId="3" r:id="rId3"/>
    <sheet name="Page xvi-real estate" sheetId="4" r:id="rId4"/>
    <sheet name="Page xx-municipal finance" sheetId="6" r:id="rId5"/>
    <sheet name="Page xxi-pension return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7" l="1"/>
  <c r="B25" i="7"/>
  <c r="B5" i="7"/>
  <c r="K5" i="7"/>
  <c r="M7" i="7"/>
  <c r="J7" i="7"/>
  <c r="K7" i="7"/>
  <c r="L7" i="7"/>
  <c r="N7" i="7"/>
  <c r="O7" i="7"/>
  <c r="S7" i="7" s="1"/>
  <c r="P7" i="7"/>
  <c r="Q7" i="7"/>
  <c r="R7" i="7"/>
  <c r="T7" i="7" s="1"/>
  <c r="T8" i="7" s="1"/>
  <c r="I7" i="7"/>
  <c r="B10" i="7"/>
  <c r="S5" i="7"/>
  <c r="T5" i="7"/>
  <c r="S6" i="7"/>
  <c r="T6" i="7"/>
  <c r="T4" i="7"/>
  <c r="S4" i="7"/>
  <c r="M5" i="7"/>
  <c r="N5" i="7"/>
  <c r="L5" i="7"/>
  <c r="B15" i="7"/>
  <c r="D7" i="7"/>
  <c r="C7" i="7"/>
  <c r="B20" i="7" l="1"/>
  <c r="L7" i="1"/>
  <c r="K7" i="1"/>
  <c r="C7" i="1"/>
  <c r="D7" i="1"/>
  <c r="B7" i="1"/>
  <c r="H8" i="4"/>
  <c r="G8" i="4"/>
  <c r="F8" i="4"/>
  <c r="E8" i="4"/>
  <c r="D8" i="4"/>
  <c r="C8" i="4"/>
  <c r="B8" i="4"/>
  <c r="H7" i="4"/>
  <c r="G7" i="4"/>
  <c r="F7" i="4"/>
  <c r="E7" i="4"/>
  <c r="D7" i="4"/>
  <c r="C7" i="4"/>
  <c r="B7" i="4"/>
  <c r="H5" i="4"/>
  <c r="G5" i="4"/>
  <c r="F5" i="4"/>
  <c r="E5" i="4"/>
  <c r="B5" i="4"/>
  <c r="H4" i="4"/>
  <c r="G4" i="4"/>
  <c r="E4" i="4"/>
  <c r="D4" i="4"/>
  <c r="C4" i="4"/>
  <c r="B4" i="4"/>
  <c r="F4" i="4"/>
  <c r="H16" i="4"/>
  <c r="G4" i="2" l="1"/>
  <c r="G5" i="2"/>
  <c r="G6" i="2"/>
  <c r="G7" i="2"/>
  <c r="G8" i="2"/>
  <c r="G9" i="2"/>
  <c r="G10" i="2"/>
  <c r="G11" i="2"/>
  <c r="G12" i="2"/>
  <c r="G3" i="2"/>
  <c r="M7" i="1" l="1"/>
  <c r="M5" i="1"/>
  <c r="N5" i="1" s="1"/>
  <c r="M6" i="1"/>
  <c r="N6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E5" i="1"/>
  <c r="F5" i="1" s="1"/>
  <c r="G5" i="1"/>
  <c r="H5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6" i="1"/>
  <c r="F6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I6" i="1"/>
  <c r="J6" i="1" s="1"/>
  <c r="G6" i="1"/>
  <c r="H6" i="1" s="1"/>
  <c r="N7" i="1" l="1"/>
  <c r="I5" i="1"/>
  <c r="J5" i="1" s="1"/>
  <c r="I7" i="1"/>
  <c r="J7" i="1" s="1"/>
  <c r="E7" i="1"/>
  <c r="F7" i="1" s="1"/>
  <c r="G7" i="1"/>
  <c r="H7" i="1" s="1"/>
</calcChain>
</file>

<file path=xl/sharedStrings.xml><?xml version="1.0" encoding="utf-8"?>
<sst xmlns="http://schemas.openxmlformats.org/spreadsheetml/2006/main" count="196" uniqueCount="162">
  <si>
    <t>Jobs in New York City (in thousands)</t>
  </si>
  <si>
    <t>Economic sectors</t>
  </si>
  <si>
    <t>June 2023</t>
  </si>
  <si>
    <t>Previous trough: April 2020</t>
  </si>
  <si>
    <t>Previous peak: Feb 2020</t>
  </si>
  <si>
    <t>Peak to trough</t>
  </si>
  <si>
    <t>Trough to June 2023</t>
  </si>
  <si>
    <t>Peak to June 2023</t>
  </si>
  <si>
    <t>Jun 23 NSA</t>
  </si>
  <si>
    <t>Jun 22 NSA</t>
  </si>
  <si>
    <t>June 2022 to June 2023*</t>
  </si>
  <si>
    <t>Change</t>
  </si>
  <si>
    <t>% change</t>
  </si>
  <si>
    <t xml:space="preserve">Change </t>
  </si>
  <si>
    <t>Total</t>
  </si>
  <si>
    <t>Total Private</t>
  </si>
  <si>
    <t xml:space="preserve">   Total office-using</t>
  </si>
  <si>
    <t>     Financial Activities</t>
  </si>
  <si>
    <t>     Information</t>
  </si>
  <si>
    <t>     Prof. and Business Services</t>
  </si>
  <si>
    <t xml:space="preserve">  Education and Health Services</t>
  </si>
  <si>
    <t xml:space="preserve">  Leisure and Hospitality</t>
  </si>
  <si>
    <t>  Other Services</t>
  </si>
  <si>
    <t xml:space="preserve">  Trade, Transportation, and Utilities</t>
  </si>
  <si>
    <t>  Construction</t>
  </si>
  <si>
    <t>  Manufacturing</t>
  </si>
  <si>
    <t>Government</t>
  </si>
  <si>
    <t>Data release: 8.18.2023.</t>
  </si>
  <si>
    <t>* Based on non-seasonal adjusted data</t>
  </si>
  <si>
    <t>Source: NYS Department of Labor, NYC Office of management and Budget, Office of the NYC Comptroller</t>
  </si>
  <si>
    <t xml:space="preserve">https://www.nyc.gov/assets/omb/downloads/csv/nycemploy-sa07-23.csv </t>
  </si>
  <si>
    <t>https://www.nyc.gov/assets/omb/downloads/csv/nycemploy-nsa07-23.csv</t>
  </si>
  <si>
    <t>Taxable sales ($b)</t>
  </si>
  <si>
    <t>Fiscal Year*</t>
  </si>
  <si>
    <t>Retail trade</t>
  </si>
  <si>
    <t>Utilities and Information</t>
  </si>
  <si>
    <t>Leisure and Hospitality</t>
  </si>
  <si>
    <t>Professional and Business Services </t>
  </si>
  <si>
    <t>Other</t>
  </si>
  <si>
    <t>* Taxable sales by NYC Fiscal Year are June through May. Sectors are based on North American Industrial Classification System (NAICS). Data are subject to revision.</t>
  </si>
  <si>
    <t>Source: NYS Department of Taxation and Finance, https://data.ny.gov/Government-Finance/Taxable-Sales-And-Purchases-Quarterly-Data-Beginni/ny73-2j3u</t>
  </si>
  <si>
    <t>FY 2017 - FY 2018</t>
  </si>
  <si>
    <t>FY 2018 - FY 2019</t>
  </si>
  <si>
    <t>FY 2019 - FY 2020</t>
  </si>
  <si>
    <t>FY 2020 - FY 2021</t>
  </si>
  <si>
    <t>FY 2021 - FY 2022</t>
  </si>
  <si>
    <t>FY 2022 - FY 2023</t>
  </si>
  <si>
    <t>NYC metro area</t>
  </si>
  <si>
    <t>All items</t>
  </si>
  <si>
    <t>All items less food and energy</t>
  </si>
  <si>
    <t>Shelter</t>
  </si>
  <si>
    <t>Size class A cities</t>
  </si>
  <si>
    <t>US</t>
  </si>
  <si>
    <t>Notes: i) CPI calculated as the growth rate of not-seasonally-adjusted indexes averaged over NYC's fiscal year;</t>
  </si>
  <si>
    <t xml:space="preserve">ii) size class A metro areas those with population greater than 2.5 million. </t>
  </si>
  <si>
    <t>Source: Bureau of Labor Statistics, Office of the NYC Comptroller.</t>
  </si>
  <si>
    <t>Residential real estate</t>
  </si>
  <si>
    <t>Inventory for rent</t>
  </si>
  <si>
    <t>Median asking rent</t>
  </si>
  <si>
    <t>Inventory for sale</t>
  </si>
  <si>
    <t>Median sale price</t>
  </si>
  <si>
    <t>Note: data as of June of each year</t>
  </si>
  <si>
    <t>Source: Streeteasy.com data dashboard. Data as of June of each year.</t>
  </si>
  <si>
    <t>Manhattan office real estate</t>
  </si>
  <si>
    <t>Inventory (million sf)</t>
  </si>
  <si>
    <t>Vacancy rate</t>
  </si>
  <si>
    <t>Asking rent per sf</t>
  </si>
  <si>
    <t>Attendance Tuesday-Thursday vs. pre-pandemic</t>
  </si>
  <si>
    <t>n/a</t>
  </si>
  <si>
    <t>Visitation Rates vs. pre-pandemic</t>
  </si>
  <si>
    <t>Note: data as of the fourth quarter of the FY.</t>
  </si>
  <si>
    <t>Attendance is defined as entry swipes at office buildings relative to pre-pandemic levels in the NYC metro area.</t>
  </si>
  <si>
    <t>Visitation rates are counts of mobile devices at 350 office buildings (~225 million square feet) in New York City.</t>
  </si>
  <si>
    <t>Source: Cushman and Wakefield, Kastle Systems, REBNY.</t>
  </si>
  <si>
    <t xml:space="preserve">2023Q2 Kastle from https://comptroller.nyc.gov/reports/comments-on-new-york-citys-fiscal-year-2024-adopted-budget/ </t>
  </si>
  <si>
    <t>REBNY_2023_Report_ManhattanOfficeVIsitation_23-Q2_v05__final_.pdf (ctfassets.net)</t>
  </si>
  <si>
    <r>
      <t>Transaction</t>
    </r>
    <r>
      <rPr>
        <sz val="10"/>
        <color rgb="FF000000"/>
        <rFont val="Times New Roman"/>
        <family val="1"/>
      </rPr>
      <t> </t>
    </r>
  </si>
  <si>
    <r>
      <t>Closing Date</t>
    </r>
    <r>
      <rPr>
        <sz val="10"/>
        <color rgb="FF000000"/>
        <rFont val="Times New Roman"/>
        <family val="1"/>
      </rPr>
      <t> </t>
    </r>
  </si>
  <si>
    <r>
      <t>Tax Exempt Par</t>
    </r>
    <r>
      <rPr>
        <sz val="10"/>
        <color rgb="FF000000"/>
        <rFont val="Times New Roman"/>
        <family val="1"/>
      </rPr>
      <t> </t>
    </r>
  </si>
  <si>
    <r>
      <t>Taxable Par</t>
    </r>
    <r>
      <rPr>
        <sz val="10"/>
        <color rgb="FF000000"/>
        <rFont val="Times New Roman"/>
        <family val="1"/>
      </rPr>
      <t> </t>
    </r>
  </si>
  <si>
    <r>
      <t>Total </t>
    </r>
    <r>
      <rPr>
        <sz val="10"/>
        <color rgb="FF000000"/>
        <rFont val="Times New Roman"/>
        <family val="1"/>
      </rPr>
      <t> </t>
    </r>
  </si>
  <si>
    <r>
      <t>Total Proceeds</t>
    </r>
    <r>
      <rPr>
        <sz val="10"/>
        <color rgb="FF000000"/>
        <rFont val="Times New Roman"/>
        <family val="1"/>
      </rPr>
      <t> </t>
    </r>
  </si>
  <si>
    <r>
      <t>True Interest Cost%</t>
    </r>
    <r>
      <rPr>
        <sz val="10"/>
        <color rgb="FF000000"/>
        <rFont val="Times New Roman"/>
        <family val="1"/>
      </rPr>
      <t> </t>
    </r>
  </si>
  <si>
    <r>
      <t>Average Life (years)</t>
    </r>
    <r>
      <rPr>
        <sz val="10"/>
        <color rgb="FF000000"/>
        <rFont val="Times New Roman"/>
        <family val="1"/>
      </rPr>
      <t> </t>
    </r>
  </si>
  <si>
    <r>
      <t>Final Maturity</t>
    </r>
    <r>
      <rPr>
        <sz val="10"/>
        <color rgb="FF000000"/>
        <rFont val="Times New Roman"/>
        <family val="1"/>
      </rPr>
      <t> </t>
    </r>
  </si>
  <si>
    <r>
      <t>Par</t>
    </r>
    <r>
      <rPr>
        <sz val="10"/>
        <color rgb="FF000000"/>
        <rFont val="Times New Roman"/>
        <family val="1"/>
      </rPr>
      <t> </t>
    </r>
  </si>
  <si>
    <t>TFA 2023 A </t>
  </si>
  <si>
    <t>08/2/2022 </t>
  </si>
  <si>
    <t>$0 </t>
  </si>
  <si>
    <t>3.593% </t>
  </si>
  <si>
    <t>19.317 </t>
  </si>
  <si>
    <t>08/1/2052 </t>
  </si>
  <si>
    <t>GO 2023 A </t>
  </si>
  <si>
    <t>09/8/2022 </t>
  </si>
  <si>
    <t>$125,000,000 </t>
  </si>
  <si>
    <t>3.528% </t>
  </si>
  <si>
    <t>17.041 </t>
  </si>
  <si>
    <t>09/1/2049 </t>
  </si>
  <si>
    <t>GO 2023 B </t>
  </si>
  <si>
    <t>10/18/2022 </t>
  </si>
  <si>
    <t>$400,000,000 </t>
  </si>
  <si>
    <t>4.778% </t>
  </si>
  <si>
    <t>19.467 </t>
  </si>
  <si>
    <t>10/1/2052 </t>
  </si>
  <si>
    <t>TFA 2023 D </t>
  </si>
  <si>
    <t>11/03/2022 </t>
  </si>
  <si>
    <t>$950,000,000 </t>
  </si>
  <si>
    <t>$350,000,000 </t>
  </si>
  <si>
    <t>4.975% </t>
  </si>
  <si>
    <t>16.377 </t>
  </si>
  <si>
    <t>11/1/2048 </t>
  </si>
  <si>
    <t>TFA 2023 F </t>
  </si>
  <si>
    <t>03/23/2023 </t>
  </si>
  <si>
    <t>$300,000,000 </t>
  </si>
  <si>
    <t>4.437% </t>
  </si>
  <si>
    <t>17.220 </t>
  </si>
  <si>
    <t>02/1/2051 </t>
  </si>
  <si>
    <t>GO 2023 E </t>
  </si>
  <si>
    <t>04/11/2023 </t>
  </si>
  <si>
    <t>$240,000,000 </t>
  </si>
  <si>
    <t>4.187% </t>
  </si>
  <si>
    <t>16.818 </t>
  </si>
  <si>
    <t>04/1/2050 </t>
  </si>
  <si>
    <t>Transaction</t>
  </si>
  <si>
    <t>Closing Date</t>
  </si>
  <si>
    <t>Par Amount</t>
  </si>
  <si>
    <t>Gross</t>
  </si>
  <si>
    <t>Present Value</t>
  </si>
  <si>
    <t>True Interest Cost%</t>
  </si>
  <si>
    <t>Average Life (years)</t>
  </si>
  <si>
    <t>Final Maturity</t>
  </si>
  <si>
    <t>Budget Savings</t>
  </si>
  <si>
    <t>Savings %</t>
  </si>
  <si>
    <t>TFA BARBs 2023 S-1</t>
  </si>
  <si>
    <t>TFA 2023 BC</t>
  </si>
  <si>
    <t>TFA 2023 E</t>
  </si>
  <si>
    <t>GO 2023 CD</t>
  </si>
  <si>
    <t xml:space="preserve">GO 2023 FG/2023-1 </t>
  </si>
  <si>
    <t>Value of investments as of June 30, 2023 ($m)</t>
  </si>
  <si>
    <t>Annual Return (%)</t>
  </si>
  <si>
    <t>NYCERS</t>
  </si>
  <si>
    <t>TRS</t>
  </si>
  <si>
    <t>BERS</t>
  </si>
  <si>
    <t>POLICE</t>
  </si>
  <si>
    <t>FIRE</t>
  </si>
  <si>
    <t>TOTAL</t>
  </si>
  <si>
    <t>FY 2022</t>
  </si>
  <si>
    <t>FY 2023</t>
  </si>
  <si>
    <t>All systems</t>
  </si>
  <si>
    <t>QPP investments</t>
  </si>
  <si>
    <t>Total Portfolio (net of manager fees)</t>
  </si>
  <si>
    <t>Variable rate funds</t>
  </si>
  <si>
    <t>Benchmark</t>
  </si>
  <si>
    <t>Collateral from securities lending transactions</t>
  </si>
  <si>
    <t>Excess return</t>
  </si>
  <si>
    <t>Board of Education Retirement System (BERS)</t>
  </si>
  <si>
    <t>Policy benchmark</t>
  </si>
  <si>
    <t>Employees' Retirement System (NYCERS)</t>
  </si>
  <si>
    <t>Fire Pension Fund (NYCFPF)</t>
  </si>
  <si>
    <t>Police Pension Fund (NYCPPF)</t>
  </si>
  <si>
    <t>Teachers' Retirement System</t>
  </si>
  <si>
    <r>
      <rPr>
        <b/>
        <sz val="9"/>
        <color theme="1"/>
        <rFont val="Calibri"/>
        <family val="2"/>
        <scheme val="minor"/>
      </rPr>
      <t xml:space="preserve">Note: </t>
    </r>
    <r>
      <rPr>
        <sz val="9"/>
        <color theme="1"/>
        <rFont val="Calibri"/>
        <family val="2"/>
        <scheme val="minor"/>
      </rPr>
      <t>The benchmark for all systems is a proxy allocation of 65% public equities and 35% public fixed income.  The policy benchmaks for individual systems are composed of benchmarks and weights adopted pursuant to each system's investment policy statement.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</si>
</sst>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0.0%"/>
    <numFmt numFmtId="165" formatCode="#,##0.0_);\(#,##0.0\)"/>
    <numFmt numFmtId="166" formatCode="&quot;$&quot;#,##0.0"/>
    <numFmt numFmtId="167" formatCode="&quot;$&quot;#,##0"/>
    <numFmt numFmtId="168" formatCode="#,##0.0"/>
    <numFmt numFmtId="169" formatCode="###,##0.00;\(###,##0.00\)"/>
    <numFmt numFmtId="170" formatCode="###,##0;\(###,##0\)"/>
    <numFmt numFmtId="171" formatCode="0.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rgb="FF212529"/>
      <name val="Helvetica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2" applyNumberFormat="1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vertical="center"/>
    </xf>
    <xf numFmtId="169" fontId="0" fillId="0" borderId="0" xfId="0" applyNumberFormat="1" applyAlignment="1">
      <alignment vertical="center"/>
    </xf>
    <xf numFmtId="16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9" fontId="11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left" vertical="center"/>
    </xf>
    <xf numFmtId="170" fontId="11" fillId="0" borderId="0" xfId="0" applyNumberFormat="1" applyFont="1" applyAlignment="1">
      <alignment horizontal="center" vertical="center" wrapText="1"/>
    </xf>
    <xf numFmtId="169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0" fontId="12" fillId="0" borderId="0" xfId="0" applyNumberFormat="1" applyFont="1" applyAlignment="1">
      <alignment horizontal="center" vertical="center"/>
    </xf>
    <xf numFmtId="169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1" fontId="0" fillId="0" borderId="0" xfId="0" applyNumberFormat="1" applyAlignment="1">
      <alignment horizontal="center"/>
    </xf>
    <xf numFmtId="168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3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8" fontId="13" fillId="0" borderId="0" xfId="1" applyNumberFormat="1" applyFont="1" applyAlignment="1">
      <alignment horizontal="center" vertical="center"/>
    </xf>
    <xf numFmtId="168" fontId="13" fillId="0" borderId="0" xfId="0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4" fillId="0" borderId="0" xfId="3"/>
    <xf numFmtId="14" fontId="9" fillId="0" borderId="4" xfId="0" applyNumberFormat="1" applyFont="1" applyBorder="1" applyAlignment="1">
      <alignment horizontal="justify" vertical="center"/>
    </xf>
    <xf numFmtId="6" fontId="9" fillId="0" borderId="4" xfId="0" applyNumberFormat="1" applyFont="1" applyBorder="1" applyAlignment="1">
      <alignment horizontal="center" vertical="center" wrapText="1"/>
    </xf>
    <xf numFmtId="10" fontId="9" fillId="0" borderId="4" xfId="0" applyNumberFormat="1" applyFont="1" applyBorder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14" fontId="9" fillId="0" borderId="4" xfId="0" applyNumberFormat="1" applyFont="1" applyBorder="1" applyAlignment="1">
      <alignment horizontal="center" vertical="center" wrapText="1"/>
    </xf>
    <xf numFmtId="6" fontId="9" fillId="0" borderId="4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justify" vertical="center" wrapText="1"/>
    </xf>
    <xf numFmtId="0" fontId="15" fillId="0" borderId="0" xfId="0" applyFont="1" applyAlignment="1">
      <alignment vertical="center" wrapText="1"/>
    </xf>
    <xf numFmtId="167" fontId="12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8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6" fontId="9" fillId="0" borderId="0" xfId="0" applyNumberFormat="1" applyFont="1" applyAlignment="1">
      <alignment horizontal="center" vertical="center" wrapText="1"/>
    </xf>
    <xf numFmtId="6" fontId="9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ctfassets.net/6zi14rd5umxw/68ons2vbAoI5W2aLyd6acx/75c5b250eb8d2157ff3c26bc6fb4aa0b/REBNY_2023_Report_ManhattanOfficeVIsitation_23-Q2_v05__final_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3855-BB61-C441-A2AB-7D1147BB8A0F}">
  <dimension ref="A2:O26"/>
  <sheetViews>
    <sheetView zoomScale="90" zoomScaleNormal="90" workbookViewId="0">
      <pane xSplit="1" topLeftCell="B1" activePane="topRight" state="frozen"/>
      <selection pane="topRight" activeCell="A18" sqref="A18"/>
    </sheetView>
  </sheetViews>
  <sheetFormatPr defaultColWidth="10.875" defaultRowHeight="12.75" x14ac:dyDescent="0.25"/>
  <cols>
    <col min="1" max="1" width="31" style="38" customWidth="1"/>
    <col min="2" max="10" width="10.5" style="38" customWidth="1"/>
    <col min="11" max="12" width="10.5" style="38" hidden="1" customWidth="1"/>
    <col min="13" max="14" width="10.5" style="38" customWidth="1"/>
    <col min="15" max="16384" width="10.875" style="38"/>
  </cols>
  <sheetData>
    <row r="2" spans="1:15" x14ac:dyDescent="0.25">
      <c r="B2" s="71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</row>
    <row r="3" spans="1:15" s="1" customFormat="1" x14ac:dyDescent="0.25">
      <c r="A3" s="72" t="s">
        <v>1</v>
      </c>
      <c r="B3" s="74" t="s">
        <v>2</v>
      </c>
      <c r="C3" s="74" t="s">
        <v>3</v>
      </c>
      <c r="D3" s="74" t="s">
        <v>4</v>
      </c>
      <c r="E3" s="73" t="s">
        <v>5</v>
      </c>
      <c r="F3" s="73"/>
      <c r="G3" s="73" t="s">
        <v>6</v>
      </c>
      <c r="H3" s="73"/>
      <c r="I3" s="73" t="s">
        <v>7</v>
      </c>
      <c r="J3" s="73"/>
      <c r="K3" s="2" t="s">
        <v>8</v>
      </c>
      <c r="L3" s="2" t="s">
        <v>9</v>
      </c>
      <c r="M3" s="73" t="s">
        <v>10</v>
      </c>
      <c r="N3" s="73"/>
    </row>
    <row r="4" spans="1:15" s="1" customFormat="1" ht="33.950000000000003" customHeight="1" x14ac:dyDescent="0.25">
      <c r="A4" s="72"/>
      <c r="B4" s="74"/>
      <c r="C4" s="74"/>
      <c r="D4" s="74"/>
      <c r="E4" s="66" t="s">
        <v>11</v>
      </c>
      <c r="F4" s="66" t="s">
        <v>12</v>
      </c>
      <c r="G4" s="65" t="s">
        <v>11</v>
      </c>
      <c r="H4" s="66" t="s">
        <v>12</v>
      </c>
      <c r="I4" s="66" t="s">
        <v>13</v>
      </c>
      <c r="J4" s="66" t="s">
        <v>12</v>
      </c>
      <c r="K4" s="2"/>
      <c r="L4" s="2"/>
      <c r="M4" s="66" t="s">
        <v>13</v>
      </c>
      <c r="N4" s="66" t="s">
        <v>12</v>
      </c>
    </row>
    <row r="5" spans="1:15" s="1" customFormat="1" ht="15" customHeight="1" x14ac:dyDescent="0.25">
      <c r="A5" s="3" t="s">
        <v>14</v>
      </c>
      <c r="B5" s="37">
        <v>4671.9790000000003</v>
      </c>
      <c r="C5" s="37">
        <v>3746.047</v>
      </c>
      <c r="D5" s="37">
        <v>4702.5559999999996</v>
      </c>
      <c r="E5" s="4">
        <f>C5-D5</f>
        <v>-956.50899999999956</v>
      </c>
      <c r="F5" s="5">
        <f>E5/D5</f>
        <v>-0.20340193715928095</v>
      </c>
      <c r="G5" s="39">
        <f>B5-C5</f>
        <v>925.93200000000024</v>
      </c>
      <c r="H5" s="5">
        <f>G5/C5</f>
        <v>0.24717575620380636</v>
      </c>
      <c r="I5" s="39">
        <f>B5-D5</f>
        <v>-30.576999999999316</v>
      </c>
      <c r="J5" s="5">
        <f>I5/D5</f>
        <v>-6.5022085861389679E-3</v>
      </c>
      <c r="K5" s="44">
        <v>4695.2</v>
      </c>
      <c r="L5" s="44">
        <v>4546.1000000000004</v>
      </c>
      <c r="M5" s="4">
        <f>K5-L5</f>
        <v>149.09999999999945</v>
      </c>
      <c r="N5" s="5">
        <f>M5/L5</f>
        <v>3.2797342777325496E-2</v>
      </c>
    </row>
    <row r="6" spans="1:15" ht="15" customHeight="1" x14ac:dyDescent="0.25">
      <c r="A6" s="40" t="s">
        <v>15</v>
      </c>
      <c r="B6" s="37">
        <v>4099.1710000000003</v>
      </c>
      <c r="C6" s="37">
        <v>3161.723</v>
      </c>
      <c r="D6" s="37">
        <v>4108.0709999999999</v>
      </c>
      <c r="E6" s="4">
        <f>C6-D6</f>
        <v>-946.34799999999996</v>
      </c>
      <c r="F6" s="5">
        <f>E6/D6</f>
        <v>-0.2303631071614877</v>
      </c>
      <c r="G6" s="39">
        <f>B6-C6</f>
        <v>937.44800000000032</v>
      </c>
      <c r="H6" s="5">
        <f>G6/C6</f>
        <v>0.29649909242523786</v>
      </c>
      <c r="I6" s="39">
        <f>B6-D6</f>
        <v>-8.8999999999996362</v>
      </c>
      <c r="J6" s="5">
        <f>I6/D6</f>
        <v>-2.1664669378887651E-3</v>
      </c>
      <c r="K6" s="44">
        <v>4126.6000000000004</v>
      </c>
      <c r="L6" s="44">
        <v>3981.8</v>
      </c>
      <c r="M6" s="4">
        <f t="shared" ref="M6:M17" si="0">K6-L6</f>
        <v>144.80000000000018</v>
      </c>
      <c r="N6" s="5">
        <f t="shared" ref="N6:N17" si="1">M6/L6</f>
        <v>3.6365462855994818E-2</v>
      </c>
      <c r="O6" s="6"/>
    </row>
    <row r="7" spans="1:15" ht="15" customHeight="1" x14ac:dyDescent="0.25">
      <c r="A7" s="40" t="s">
        <v>16</v>
      </c>
      <c r="B7" s="36">
        <f>SUM(B8:B10)</f>
        <v>1512.1005</v>
      </c>
      <c r="C7" s="36">
        <f>SUM(C8:C10)</f>
        <v>1361.4072999999999</v>
      </c>
      <c r="D7" s="36">
        <f t="shared" ref="D7" si="2">SUM(D8:D10)</f>
        <v>1497.5453000000002</v>
      </c>
      <c r="E7" s="4">
        <f t="shared" ref="E7:E17" si="3">C7-D7</f>
        <v>-136.13800000000037</v>
      </c>
      <c r="F7" s="5">
        <f t="shared" ref="F7:F17" si="4">E7/D7</f>
        <v>-9.0907433651589944E-2</v>
      </c>
      <c r="G7" s="39">
        <f t="shared" ref="G7:G17" si="5">B7-C7</f>
        <v>150.69320000000016</v>
      </c>
      <c r="H7" s="5">
        <f t="shared" ref="H7:H17" si="6">G7/C7</f>
        <v>0.11068928453667039</v>
      </c>
      <c r="I7" s="39">
        <f t="shared" ref="I7:I17" si="7">B7-D7</f>
        <v>14.555199999999786</v>
      </c>
      <c r="J7" s="5">
        <f t="shared" ref="J7:J17" si="8">I7/D7</f>
        <v>9.719372095121118E-3</v>
      </c>
      <c r="K7" s="43">
        <f>SUM(K8:K10)</f>
        <v>1523.6999999999998</v>
      </c>
      <c r="L7" s="43">
        <f>SUM(L8:L10)</f>
        <v>1511.1</v>
      </c>
      <c r="M7" s="4">
        <f t="shared" si="0"/>
        <v>12.599999999999909</v>
      </c>
      <c r="N7" s="5">
        <f t="shared" si="1"/>
        <v>8.3382966051220361E-3</v>
      </c>
    </row>
    <row r="8" spans="1:15" ht="15" customHeight="1" x14ac:dyDescent="0.25">
      <c r="A8" s="40" t="s">
        <v>17</v>
      </c>
      <c r="B8" s="37">
        <v>499.38409999999999</v>
      </c>
      <c r="C8" s="37">
        <v>469.13</v>
      </c>
      <c r="D8" s="37">
        <v>487.1223</v>
      </c>
      <c r="E8" s="4">
        <f t="shared" si="3"/>
        <v>-17.9923</v>
      </c>
      <c r="F8" s="5">
        <f t="shared" si="4"/>
        <v>-3.693589884922123E-2</v>
      </c>
      <c r="G8" s="39">
        <f t="shared" si="5"/>
        <v>30.254099999999994</v>
      </c>
      <c r="H8" s="5">
        <f t="shared" si="6"/>
        <v>6.4489800268582254E-2</v>
      </c>
      <c r="I8" s="39">
        <f t="shared" si="7"/>
        <v>12.261799999999994</v>
      </c>
      <c r="J8" s="5">
        <f t="shared" si="8"/>
        <v>2.517191267983419E-2</v>
      </c>
      <c r="K8" s="44">
        <v>503.5</v>
      </c>
      <c r="L8" s="44">
        <v>490.6</v>
      </c>
      <c r="M8" s="4">
        <f t="shared" si="0"/>
        <v>12.899999999999977</v>
      </c>
      <c r="N8" s="5">
        <f t="shared" si="1"/>
        <v>2.6294333469221314E-2</v>
      </c>
    </row>
    <row r="9" spans="1:15" ht="15" customHeight="1" x14ac:dyDescent="0.25">
      <c r="A9" s="40" t="s">
        <v>18</v>
      </c>
      <c r="B9" s="37">
        <v>222.69820000000001</v>
      </c>
      <c r="C9" s="37">
        <v>204.16540000000001</v>
      </c>
      <c r="D9" s="37">
        <v>229.16550000000001</v>
      </c>
      <c r="E9" s="4">
        <f t="shared" si="3"/>
        <v>-25.000100000000003</v>
      </c>
      <c r="F9" s="5">
        <f t="shared" si="4"/>
        <v>-0.10909190083149516</v>
      </c>
      <c r="G9" s="39">
        <f t="shared" si="5"/>
        <v>18.532800000000009</v>
      </c>
      <c r="H9" s="5">
        <f t="shared" si="6"/>
        <v>9.0773461125146615E-2</v>
      </c>
      <c r="I9" s="39">
        <f t="shared" si="7"/>
        <v>-6.4672999999999945</v>
      </c>
      <c r="J9" s="5">
        <f t="shared" si="8"/>
        <v>-2.8221089125544614E-2</v>
      </c>
      <c r="K9" s="44">
        <v>224.4</v>
      </c>
      <c r="L9" s="44">
        <v>238.5</v>
      </c>
      <c r="M9" s="4">
        <f t="shared" si="0"/>
        <v>-14.099999999999994</v>
      </c>
      <c r="N9" s="5">
        <f t="shared" si="1"/>
        <v>-5.9119496855345885E-2</v>
      </c>
    </row>
    <row r="10" spans="1:15" ht="15" customHeight="1" x14ac:dyDescent="0.25">
      <c r="A10" s="40" t="s">
        <v>19</v>
      </c>
      <c r="B10" s="37">
        <v>790.01819999999998</v>
      </c>
      <c r="C10" s="37">
        <v>688.11189999999999</v>
      </c>
      <c r="D10" s="37">
        <v>781.25750000000005</v>
      </c>
      <c r="E10" s="4">
        <f t="shared" si="3"/>
        <v>-93.145600000000059</v>
      </c>
      <c r="F10" s="5">
        <f t="shared" si="4"/>
        <v>-0.11922522343785506</v>
      </c>
      <c r="G10" s="39">
        <f t="shared" si="5"/>
        <v>101.90629999999999</v>
      </c>
      <c r="H10" s="5">
        <f t="shared" si="6"/>
        <v>0.14809553504306491</v>
      </c>
      <c r="I10" s="39">
        <f t="shared" si="7"/>
        <v>8.7606999999999289</v>
      </c>
      <c r="J10" s="5">
        <f t="shared" si="8"/>
        <v>1.1213588349551752E-2</v>
      </c>
      <c r="K10" s="44">
        <v>795.8</v>
      </c>
      <c r="L10" s="44">
        <v>782</v>
      </c>
      <c r="M10" s="4">
        <f t="shared" si="0"/>
        <v>13.799999999999955</v>
      </c>
      <c r="N10" s="5">
        <f t="shared" si="1"/>
        <v>1.7647058823529353E-2</v>
      </c>
    </row>
    <row r="11" spans="1:15" ht="15" customHeight="1" x14ac:dyDescent="0.25">
      <c r="A11" s="40" t="s">
        <v>20</v>
      </c>
      <c r="B11" s="37">
        <v>1181.9860000000001</v>
      </c>
      <c r="C11" s="37">
        <v>936.86990000000003</v>
      </c>
      <c r="D11" s="37">
        <v>1079.9100000000001</v>
      </c>
      <c r="E11" s="4">
        <f t="shared" si="3"/>
        <v>-143.04010000000005</v>
      </c>
      <c r="F11" s="5">
        <f t="shared" si="4"/>
        <v>-0.13245557500162056</v>
      </c>
      <c r="G11" s="39">
        <f t="shared" si="5"/>
        <v>245.11610000000007</v>
      </c>
      <c r="H11" s="5">
        <f t="shared" si="6"/>
        <v>0.26163301862937433</v>
      </c>
      <c r="I11" s="39">
        <f t="shared" si="7"/>
        <v>102.07600000000002</v>
      </c>
      <c r="J11" s="5">
        <f t="shared" si="8"/>
        <v>9.4522691705790307E-2</v>
      </c>
      <c r="K11" s="44">
        <v>1177</v>
      </c>
      <c r="L11" s="44">
        <v>1093.9000000000001</v>
      </c>
      <c r="M11" s="4">
        <f t="shared" si="0"/>
        <v>83.099999999999909</v>
      </c>
      <c r="N11" s="5">
        <f t="shared" si="1"/>
        <v>7.5966724563488353E-2</v>
      </c>
    </row>
    <row r="12" spans="1:15" ht="15" customHeight="1" x14ac:dyDescent="0.25">
      <c r="A12" s="40" t="s">
        <v>21</v>
      </c>
      <c r="B12" s="37">
        <v>435.92989999999998</v>
      </c>
      <c r="C12" s="37">
        <v>156.45179999999999</v>
      </c>
      <c r="D12" s="37">
        <v>470.1121</v>
      </c>
      <c r="E12" s="4">
        <f t="shared" si="3"/>
        <v>-313.66030000000001</v>
      </c>
      <c r="F12" s="5">
        <f t="shared" si="4"/>
        <v>-0.66720320536314637</v>
      </c>
      <c r="G12" s="39">
        <f t="shared" si="5"/>
        <v>279.47809999999998</v>
      </c>
      <c r="H12" s="5">
        <f t="shared" si="6"/>
        <v>1.7863527297225088</v>
      </c>
      <c r="I12" s="39">
        <f t="shared" si="7"/>
        <v>-34.182200000000023</v>
      </c>
      <c r="J12" s="5">
        <f t="shared" si="8"/>
        <v>-7.2710742820701751E-2</v>
      </c>
      <c r="K12" s="44">
        <v>450.5</v>
      </c>
      <c r="L12" s="44">
        <v>411.9</v>
      </c>
      <c r="M12" s="4">
        <f t="shared" si="0"/>
        <v>38.600000000000023</v>
      </c>
      <c r="N12" s="5">
        <f t="shared" si="1"/>
        <v>9.371206603544556E-2</v>
      </c>
    </row>
    <row r="13" spans="1:15" ht="15" customHeight="1" x14ac:dyDescent="0.25">
      <c r="A13" s="40" t="s">
        <v>22</v>
      </c>
      <c r="B13" s="37">
        <v>185.36439999999999</v>
      </c>
      <c r="C13" s="37">
        <v>129.20179999999999</v>
      </c>
      <c r="D13" s="37">
        <v>196.09039999999999</v>
      </c>
      <c r="E13" s="4">
        <f t="shared" si="3"/>
        <v>-66.888599999999997</v>
      </c>
      <c r="F13" s="5">
        <f t="shared" si="4"/>
        <v>-0.34111103858220493</v>
      </c>
      <c r="G13" s="39">
        <f t="shared" si="5"/>
        <v>56.162599999999998</v>
      </c>
      <c r="H13" s="5">
        <f t="shared" si="6"/>
        <v>0.43468899040106251</v>
      </c>
      <c r="I13" s="39">
        <f t="shared" si="7"/>
        <v>-10.725999999999999</v>
      </c>
      <c r="J13" s="5">
        <f t="shared" si="8"/>
        <v>-5.4699261157098972E-2</v>
      </c>
      <c r="K13" s="44">
        <v>186.9</v>
      </c>
      <c r="L13" s="44">
        <v>178.9</v>
      </c>
      <c r="M13" s="4">
        <f t="shared" si="0"/>
        <v>8</v>
      </c>
      <c r="N13" s="5">
        <f t="shared" si="1"/>
        <v>4.4717719396310786E-2</v>
      </c>
    </row>
    <row r="14" spans="1:15" ht="15" customHeight="1" x14ac:dyDescent="0.25">
      <c r="A14" s="38" t="s">
        <v>23</v>
      </c>
      <c r="B14" s="37">
        <v>573.40279999999996</v>
      </c>
      <c r="C14" s="37">
        <v>452.24680000000001</v>
      </c>
      <c r="D14" s="37">
        <v>635.85469999999998</v>
      </c>
      <c r="E14" s="4">
        <f t="shared" si="3"/>
        <v>-183.60789999999997</v>
      </c>
      <c r="F14" s="5">
        <f t="shared" si="4"/>
        <v>-0.28875763598193105</v>
      </c>
      <c r="G14" s="39">
        <f t="shared" si="5"/>
        <v>121.15599999999995</v>
      </c>
      <c r="H14" s="5">
        <f t="shared" si="6"/>
        <v>0.26789797075402177</v>
      </c>
      <c r="I14" s="39">
        <f t="shared" si="7"/>
        <v>-62.451900000000023</v>
      </c>
      <c r="J14" s="5">
        <f t="shared" si="8"/>
        <v>-9.8217249947197091E-2</v>
      </c>
      <c r="K14" s="44">
        <v>574.70000000000005</v>
      </c>
      <c r="L14" s="44">
        <v>582.29999999999995</v>
      </c>
      <c r="M14" s="4">
        <f t="shared" si="0"/>
        <v>-7.5999999999999091</v>
      </c>
      <c r="N14" s="5">
        <f t="shared" si="1"/>
        <v>-1.3051691567920161E-2</v>
      </c>
    </row>
    <row r="15" spans="1:15" ht="15" customHeight="1" x14ac:dyDescent="0.25">
      <c r="A15" s="40" t="s">
        <v>24</v>
      </c>
      <c r="B15" s="37">
        <v>152.5367</v>
      </c>
      <c r="C15" s="37">
        <v>87.725160000000002</v>
      </c>
      <c r="D15" s="37">
        <v>162.60759999999999</v>
      </c>
      <c r="E15" s="4">
        <f t="shared" si="3"/>
        <v>-74.882439999999988</v>
      </c>
      <c r="F15" s="5">
        <f t="shared" si="4"/>
        <v>-0.46051008685940875</v>
      </c>
      <c r="G15" s="39">
        <f t="shared" si="5"/>
        <v>64.811539999999994</v>
      </c>
      <c r="H15" s="5">
        <f t="shared" si="6"/>
        <v>0.73880218628270378</v>
      </c>
      <c r="I15" s="39">
        <f t="shared" si="7"/>
        <v>-10.070899999999995</v>
      </c>
      <c r="J15" s="5">
        <f t="shared" si="8"/>
        <v>-6.1933759553673966E-2</v>
      </c>
      <c r="K15" s="44">
        <v>155.69999999999999</v>
      </c>
      <c r="L15" s="44">
        <v>145.30000000000001</v>
      </c>
      <c r="M15" s="4">
        <f t="shared" si="0"/>
        <v>10.399999999999977</v>
      </c>
      <c r="N15" s="5">
        <f t="shared" si="1"/>
        <v>7.1576049552649526E-2</v>
      </c>
    </row>
    <row r="16" spans="1:15" ht="15" customHeight="1" x14ac:dyDescent="0.25">
      <c r="A16" s="40" t="s">
        <v>25</v>
      </c>
      <c r="B16" s="37">
        <v>57.850169999999999</v>
      </c>
      <c r="C16" s="37">
        <v>37.82029</v>
      </c>
      <c r="D16" s="37">
        <v>65.950149999999994</v>
      </c>
      <c r="E16" s="4">
        <f t="shared" si="3"/>
        <v>-28.129859999999994</v>
      </c>
      <c r="F16" s="5">
        <f t="shared" si="4"/>
        <v>-0.42653216103375041</v>
      </c>
      <c r="G16" s="39">
        <f t="shared" si="5"/>
        <v>20.029879999999999</v>
      </c>
      <c r="H16" s="5">
        <f t="shared" si="6"/>
        <v>0.52960672697115752</v>
      </c>
      <c r="I16" s="39">
        <f t="shared" si="7"/>
        <v>-8.0999799999999951</v>
      </c>
      <c r="J16" s="5">
        <f t="shared" si="8"/>
        <v>-0.12281973581561219</v>
      </c>
      <c r="K16" s="44">
        <v>58.1</v>
      </c>
      <c r="L16" s="44">
        <v>58.4</v>
      </c>
      <c r="M16" s="4">
        <f t="shared" si="0"/>
        <v>-0.29999999999999716</v>
      </c>
      <c r="N16" s="5">
        <f t="shared" si="1"/>
        <v>-5.1369863013698142E-3</v>
      </c>
    </row>
    <row r="17" spans="1:14" ht="15" customHeight="1" x14ac:dyDescent="0.25">
      <c r="A17" s="40" t="s">
        <v>26</v>
      </c>
      <c r="B17" s="37">
        <v>572.80799999999999</v>
      </c>
      <c r="C17" s="37">
        <v>584.32420000000002</v>
      </c>
      <c r="D17" s="37">
        <v>594.48559999999998</v>
      </c>
      <c r="E17" s="4">
        <f t="shared" si="3"/>
        <v>-10.161399999999958</v>
      </c>
      <c r="F17" s="5">
        <f t="shared" si="4"/>
        <v>-1.7092760531121288E-2</v>
      </c>
      <c r="G17" s="39">
        <f t="shared" si="5"/>
        <v>-11.516200000000026</v>
      </c>
      <c r="H17" s="5">
        <f t="shared" si="6"/>
        <v>-1.9708579586469335E-2</v>
      </c>
      <c r="I17" s="39">
        <f t="shared" si="7"/>
        <v>-21.677599999999984</v>
      </c>
      <c r="J17" s="5">
        <f t="shared" si="8"/>
        <v>-3.6464466086310557E-2</v>
      </c>
      <c r="K17" s="44">
        <v>568.6</v>
      </c>
      <c r="L17" s="44">
        <v>564.29999999999995</v>
      </c>
      <c r="M17" s="4">
        <f t="shared" si="0"/>
        <v>4.3000000000000682</v>
      </c>
      <c r="N17" s="5">
        <f t="shared" si="1"/>
        <v>7.6200602516393202E-3</v>
      </c>
    </row>
    <row r="18" spans="1:14" ht="15.95" customHeight="1" x14ac:dyDescent="0.25">
      <c r="A18" s="40" t="s">
        <v>27</v>
      </c>
      <c r="B18" s="39"/>
      <c r="C18" s="39"/>
      <c r="D18" s="39"/>
      <c r="E18" s="4"/>
      <c r="F18" s="5"/>
      <c r="G18" s="39"/>
      <c r="H18" s="5"/>
      <c r="I18" s="39"/>
      <c r="J18" s="5"/>
      <c r="K18" s="4"/>
      <c r="L18" s="1"/>
      <c r="M18" s="4"/>
      <c r="N18" s="5"/>
    </row>
    <row r="19" spans="1:14" ht="15.95" customHeight="1" x14ac:dyDescent="0.25">
      <c r="A19" s="40" t="s">
        <v>28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</row>
    <row r="20" spans="1:14" ht="15.95" customHeight="1" x14ac:dyDescent="0.25">
      <c r="A20" s="38" t="s">
        <v>29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  <row r="21" spans="1:14" ht="15.95" customHeight="1" x14ac:dyDescent="0.25">
      <c r="B21" s="42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</row>
    <row r="22" spans="1:14" ht="15.95" customHeight="1" x14ac:dyDescent="0.25"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1:14" ht="12.75" customHeight="1" x14ac:dyDescent="0.25">
      <c r="A23" s="38" t="s">
        <v>30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</row>
    <row r="24" spans="1:14" x14ac:dyDescent="0.25">
      <c r="A24" s="38" t="s">
        <v>31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</row>
    <row r="25" spans="1:14" x14ac:dyDescent="0.25"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</row>
    <row r="26" spans="1:14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</row>
  </sheetData>
  <mergeCells count="9">
    <mergeCell ref="B2:N2"/>
    <mergeCell ref="A3:A4"/>
    <mergeCell ref="M3:N3"/>
    <mergeCell ref="E3:F3"/>
    <mergeCell ref="G3:H3"/>
    <mergeCell ref="I3:J3"/>
    <mergeCell ref="B3:B4"/>
    <mergeCell ref="C3:C4"/>
    <mergeCell ref="D3:D4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681C2-CC67-7341-8CDB-E042BB0A73FB}">
  <dimension ref="A1:I17"/>
  <sheetViews>
    <sheetView zoomScaleNormal="100" workbookViewId="0">
      <selection activeCell="G18" sqref="G18"/>
    </sheetView>
  </sheetViews>
  <sheetFormatPr defaultColWidth="10.875" defaultRowHeight="15.75" x14ac:dyDescent="0.25"/>
  <cols>
    <col min="1" max="1" width="10.875" style="7"/>
    <col min="2" max="7" width="19.625" style="7" customWidth="1"/>
    <col min="8" max="16384" width="10.875" style="7"/>
  </cols>
  <sheetData>
    <row r="1" spans="1:9" ht="23.1" customHeight="1" x14ac:dyDescent="0.25">
      <c r="B1" s="75" t="s">
        <v>32</v>
      </c>
      <c r="C1" s="75"/>
      <c r="D1" s="75"/>
      <c r="E1" s="75"/>
      <c r="F1" s="75"/>
      <c r="G1" s="75"/>
    </row>
    <row r="2" spans="1:9" ht="31.5" x14ac:dyDescent="0.25">
      <c r="A2" s="67" t="s">
        <v>33</v>
      </c>
      <c r="B2" s="9" t="s">
        <v>34</v>
      </c>
      <c r="C2" s="9" t="s">
        <v>35</v>
      </c>
      <c r="D2" s="9" t="s">
        <v>36</v>
      </c>
      <c r="E2" s="9" t="s">
        <v>37</v>
      </c>
      <c r="F2" s="9" t="s">
        <v>38</v>
      </c>
      <c r="G2" s="9" t="s">
        <v>14</v>
      </c>
    </row>
    <row r="3" spans="1:9" x14ac:dyDescent="0.25">
      <c r="A3" s="7">
        <v>2014</v>
      </c>
      <c r="B3" s="19">
        <v>46.540822830000003</v>
      </c>
      <c r="C3" s="19">
        <v>23.270938934</v>
      </c>
      <c r="D3" s="19">
        <v>29.590584128</v>
      </c>
      <c r="E3" s="19">
        <v>11.909797504</v>
      </c>
      <c r="F3" s="19">
        <v>29.713137238000002</v>
      </c>
      <c r="G3" s="8">
        <f>SUM(B3:F3)</f>
        <v>141.02528063400001</v>
      </c>
    </row>
    <row r="4" spans="1:9" x14ac:dyDescent="0.25">
      <c r="A4" s="7">
        <v>2015</v>
      </c>
      <c r="B4" s="19">
        <v>47.537229529000001</v>
      </c>
      <c r="C4" s="19">
        <v>22.761977539</v>
      </c>
      <c r="D4" s="19">
        <v>31.723924364999998</v>
      </c>
      <c r="E4" s="19">
        <v>13.384806046</v>
      </c>
      <c r="F4" s="19">
        <v>31.267195855000001</v>
      </c>
      <c r="G4" s="8">
        <f t="shared" ref="G4:G12" si="0">SUM(B4:F4)</f>
        <v>146.67513333400001</v>
      </c>
      <c r="H4" s="45"/>
      <c r="I4" s="11"/>
    </row>
    <row r="5" spans="1:9" x14ac:dyDescent="0.25">
      <c r="A5" s="7">
        <v>2016</v>
      </c>
      <c r="B5" s="19">
        <v>47.735474912000001</v>
      </c>
      <c r="C5" s="19">
        <v>21.879470864999998</v>
      </c>
      <c r="D5" s="19">
        <v>33.713292297000002</v>
      </c>
      <c r="E5" s="19">
        <v>14.416053397000001</v>
      </c>
      <c r="F5" s="19">
        <v>33.155734652</v>
      </c>
      <c r="G5" s="8">
        <f t="shared" si="0"/>
        <v>150.900026123</v>
      </c>
      <c r="H5" s="45"/>
      <c r="I5" s="11"/>
    </row>
    <row r="6" spans="1:9" x14ac:dyDescent="0.25">
      <c r="A6" s="7">
        <v>2017</v>
      </c>
      <c r="B6" s="19">
        <v>48.566549391999999</v>
      </c>
      <c r="C6" s="19">
        <v>23.043377826</v>
      </c>
      <c r="D6" s="19">
        <v>34.885170875999997</v>
      </c>
      <c r="E6" s="19">
        <v>14.471556916999999</v>
      </c>
      <c r="F6" s="19">
        <v>35.954035656999999</v>
      </c>
      <c r="G6" s="8">
        <f t="shared" si="0"/>
        <v>156.92069066799999</v>
      </c>
      <c r="H6" s="45"/>
      <c r="I6" s="11"/>
    </row>
    <row r="7" spans="1:9" x14ac:dyDescent="0.25">
      <c r="A7" s="7">
        <v>2018</v>
      </c>
      <c r="B7" s="19">
        <v>50.620461923000001</v>
      </c>
      <c r="C7" s="19">
        <v>23.524747991000002</v>
      </c>
      <c r="D7" s="19">
        <v>35.978117333</v>
      </c>
      <c r="E7" s="19">
        <v>15.935993014999999</v>
      </c>
      <c r="F7" s="19">
        <v>39.427775652000001</v>
      </c>
      <c r="G7" s="8">
        <f t="shared" si="0"/>
        <v>165.48709591400001</v>
      </c>
      <c r="H7" s="45"/>
      <c r="I7" s="11"/>
    </row>
    <row r="8" spans="1:9" x14ac:dyDescent="0.25">
      <c r="A8" s="7">
        <v>2019</v>
      </c>
      <c r="B8" s="19">
        <v>52.642212110000003</v>
      </c>
      <c r="C8" s="19">
        <v>24.009658883</v>
      </c>
      <c r="D8" s="19">
        <v>37.640070297000001</v>
      </c>
      <c r="E8" s="19">
        <v>17.063037349999998</v>
      </c>
      <c r="F8" s="19">
        <v>42.712201006000001</v>
      </c>
      <c r="G8" s="8">
        <f t="shared" si="0"/>
        <v>174.067179646</v>
      </c>
      <c r="H8" s="45"/>
      <c r="I8" s="11"/>
    </row>
    <row r="9" spans="1:9" x14ac:dyDescent="0.25">
      <c r="A9" s="7">
        <v>2020</v>
      </c>
      <c r="B9" s="19">
        <v>51.143562715999998</v>
      </c>
      <c r="C9" s="19">
        <v>25.760774637000001</v>
      </c>
      <c r="D9" s="19">
        <v>31.503884478</v>
      </c>
      <c r="E9" s="19">
        <v>17.760512047999999</v>
      </c>
      <c r="F9" s="19">
        <v>40.377252908000003</v>
      </c>
      <c r="G9" s="8">
        <f t="shared" si="0"/>
        <v>166.545986787</v>
      </c>
      <c r="H9" s="45"/>
      <c r="I9" s="11"/>
    </row>
    <row r="10" spans="1:9" x14ac:dyDescent="0.25">
      <c r="A10" s="7">
        <v>2021</v>
      </c>
      <c r="B10" s="19">
        <v>54.363590731000002</v>
      </c>
      <c r="C10" s="19">
        <v>27.257637834000001</v>
      </c>
      <c r="D10" s="19">
        <v>15.727793749</v>
      </c>
      <c r="E10" s="19">
        <v>15.711265832</v>
      </c>
      <c r="F10" s="19">
        <v>39.813724702000002</v>
      </c>
      <c r="G10" s="8">
        <f t="shared" si="0"/>
        <v>152.87401284800001</v>
      </c>
      <c r="H10" s="45"/>
      <c r="I10" s="11"/>
    </row>
    <row r="11" spans="1:9" x14ac:dyDescent="0.25">
      <c r="A11" s="7">
        <v>2022</v>
      </c>
      <c r="B11" s="19">
        <v>64.180205177000005</v>
      </c>
      <c r="C11" s="19">
        <v>30.326727027</v>
      </c>
      <c r="D11" s="19">
        <v>32.724485450000003</v>
      </c>
      <c r="E11" s="19">
        <v>19.839792955</v>
      </c>
      <c r="F11" s="19">
        <v>47.480218164999997</v>
      </c>
      <c r="G11" s="8">
        <f t="shared" si="0"/>
        <v>194.55142877400002</v>
      </c>
      <c r="H11" s="45"/>
      <c r="I11" s="11"/>
    </row>
    <row r="12" spans="1:9" x14ac:dyDescent="0.25">
      <c r="A12" s="7">
        <v>2023</v>
      </c>
      <c r="B12" s="19">
        <v>66.305556555999999</v>
      </c>
      <c r="C12" s="19">
        <v>32.72620182</v>
      </c>
      <c r="D12" s="19">
        <v>42.624902566999999</v>
      </c>
      <c r="E12" s="19">
        <v>22.728427531000001</v>
      </c>
      <c r="F12" s="19">
        <v>52.237521332999997</v>
      </c>
      <c r="G12" s="8">
        <f t="shared" si="0"/>
        <v>216.62260980699998</v>
      </c>
      <c r="H12" s="45"/>
      <c r="I12" s="45"/>
    </row>
    <row r="13" spans="1:9" x14ac:dyDescent="0.25">
      <c r="A13" s="3" t="s">
        <v>39</v>
      </c>
    </row>
    <row r="14" spans="1:9" x14ac:dyDescent="0.25">
      <c r="A14" s="3" t="s">
        <v>40</v>
      </c>
    </row>
    <row r="17" spans="7:7" x14ac:dyDescent="0.25">
      <c r="G17" s="11"/>
    </row>
  </sheetData>
  <mergeCells count="1">
    <mergeCell ref="B1:G1"/>
  </mergeCells>
  <pageMargins left="0.7" right="0.7" top="0.75" bottom="0.75" header="0.3" footer="0.3"/>
  <ignoredErrors>
    <ignoredError sqref="G3 G4:G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02B19-DC2C-8442-82F0-21912B947457}">
  <dimension ref="A2:H14"/>
  <sheetViews>
    <sheetView workbookViewId="0">
      <selection activeCell="D30" sqref="D30"/>
    </sheetView>
  </sheetViews>
  <sheetFormatPr defaultColWidth="11" defaultRowHeight="15.75" x14ac:dyDescent="0.25"/>
  <cols>
    <col min="1" max="1" width="17" customWidth="1"/>
    <col min="2" max="2" width="29.125" customWidth="1"/>
    <col min="3" max="8" width="17.5" customWidth="1"/>
  </cols>
  <sheetData>
    <row r="2" spans="1:8" x14ac:dyDescent="0.25">
      <c r="C2" s="14" t="s">
        <v>41</v>
      </c>
      <c r="D2" s="14" t="s">
        <v>42</v>
      </c>
      <c r="E2" s="14" t="s">
        <v>43</v>
      </c>
      <c r="F2" s="14" t="s">
        <v>44</v>
      </c>
      <c r="G2" s="14" t="s">
        <v>45</v>
      </c>
      <c r="H2" s="14" t="s">
        <v>46</v>
      </c>
    </row>
    <row r="3" spans="1:8" x14ac:dyDescent="0.25">
      <c r="A3" s="76" t="s">
        <v>47</v>
      </c>
      <c r="B3" t="s">
        <v>48</v>
      </c>
      <c r="C3" s="13">
        <v>1.8467661516051948E-2</v>
      </c>
      <c r="D3" s="13">
        <v>1.7727640239894926E-2</v>
      </c>
      <c r="E3" s="13">
        <v>1.7680839542226323E-2</v>
      </c>
      <c r="F3" s="13">
        <v>2.0639645198474277E-2</v>
      </c>
      <c r="G3" s="13">
        <v>5.0475219877744948E-2</v>
      </c>
      <c r="H3" s="13">
        <v>5.2893210186147455E-2</v>
      </c>
    </row>
    <row r="4" spans="1:8" x14ac:dyDescent="0.25">
      <c r="A4" s="76"/>
      <c r="B4" t="s">
        <v>49</v>
      </c>
      <c r="C4" s="13">
        <v>1.3070601784022529E-2</v>
      </c>
      <c r="D4" s="13">
        <v>1.6590609655779742E-2</v>
      </c>
      <c r="E4" s="13">
        <v>2.1734934677952955E-2</v>
      </c>
      <c r="F4" s="13">
        <v>1.9568255590074246E-2</v>
      </c>
      <c r="G4" s="13">
        <v>3.3749940892183972E-2</v>
      </c>
      <c r="H4" s="13">
        <v>4.8627699807560765E-2</v>
      </c>
    </row>
    <row r="5" spans="1:8" x14ac:dyDescent="0.25">
      <c r="A5" s="76"/>
      <c r="B5" t="s">
        <v>50</v>
      </c>
      <c r="C5" s="13">
        <v>2.2992973631749347E-2</v>
      </c>
      <c r="D5" s="13">
        <v>2.0875097500957951E-2</v>
      </c>
      <c r="E5" s="13">
        <v>2.2207608255766731E-2</v>
      </c>
      <c r="F5" s="13">
        <v>1.2908817976368558E-2</v>
      </c>
      <c r="G5" s="13">
        <v>1.696758912140317E-2</v>
      </c>
      <c r="H5" s="13">
        <v>4.7564865481479535E-2</v>
      </c>
    </row>
    <row r="6" spans="1:8" x14ac:dyDescent="0.25">
      <c r="A6" s="77" t="s">
        <v>51</v>
      </c>
      <c r="B6" t="s">
        <v>48</v>
      </c>
      <c r="C6" s="13">
        <v>2.4993988737616712E-2</v>
      </c>
      <c r="D6" s="13">
        <v>2.2567510011857639E-2</v>
      </c>
      <c r="E6" s="13">
        <v>1.7819743910778563E-2</v>
      </c>
      <c r="F6" s="13">
        <v>2.0760133026435534E-2</v>
      </c>
      <c r="G6" s="13">
        <v>6.7203441330664138E-2</v>
      </c>
      <c r="H6" s="13">
        <v>6.2768099082145978E-2</v>
      </c>
    </row>
    <row r="7" spans="1:8" x14ac:dyDescent="0.25">
      <c r="A7" s="77"/>
      <c r="B7" t="s">
        <v>49</v>
      </c>
      <c r="C7" s="13">
        <v>2.1879191950104904E-2</v>
      </c>
      <c r="D7" s="13">
        <v>2.273586698108554E-2</v>
      </c>
      <c r="E7" s="13">
        <v>2.1559762931331106E-2</v>
      </c>
      <c r="F7" s="13">
        <v>1.8138350876608644E-2</v>
      </c>
      <c r="G7" s="13">
        <v>4.965224003654467E-2</v>
      </c>
      <c r="H7" s="13">
        <v>5.9104017577856549E-2</v>
      </c>
    </row>
    <row r="8" spans="1:8" x14ac:dyDescent="0.25">
      <c r="A8" s="77"/>
      <c r="B8" t="s">
        <v>50</v>
      </c>
      <c r="C8" s="13">
        <v>3.621624441593374E-2</v>
      </c>
      <c r="D8" s="13">
        <v>3.4253393313598668E-2</v>
      </c>
      <c r="E8" s="13">
        <v>3.1979814558122488E-2</v>
      </c>
      <c r="F8" s="13">
        <v>1.7889743970509464E-2</v>
      </c>
      <c r="G8" s="13">
        <v>3.9040737339844034E-2</v>
      </c>
      <c r="H8" s="13">
        <v>7.1919938088626845E-2</v>
      </c>
    </row>
    <row r="9" spans="1:8" x14ac:dyDescent="0.25">
      <c r="A9" s="76" t="s">
        <v>52</v>
      </c>
      <c r="B9" t="s">
        <v>48</v>
      </c>
      <c r="C9" s="13">
        <v>2.3073816039369532E-2</v>
      </c>
      <c r="D9" s="13">
        <v>2.0723657143624674E-2</v>
      </c>
      <c r="E9" s="13">
        <v>1.5642171346595957E-2</v>
      </c>
      <c r="F9" s="13">
        <v>2.3017014604309827E-2</v>
      </c>
      <c r="G9" s="13">
        <v>7.1725386723955342E-2</v>
      </c>
      <c r="H9" s="13">
        <v>6.2617620230812854E-2</v>
      </c>
    </row>
    <row r="10" spans="1:8" x14ac:dyDescent="0.25">
      <c r="A10" s="76"/>
      <c r="B10" t="s">
        <v>49</v>
      </c>
      <c r="C10" s="13">
        <v>9.0684772990268225E-3</v>
      </c>
      <c r="D10" s="13">
        <v>1.285854178998691E-2</v>
      </c>
      <c r="E10" s="13">
        <v>1.2522136775600767E-2</v>
      </c>
      <c r="F10" s="13">
        <v>2.2012468815491237E-2</v>
      </c>
      <c r="G10" s="13">
        <v>6.1758139547855695E-2</v>
      </c>
      <c r="H10" s="13">
        <v>4.6157836758749848E-2</v>
      </c>
    </row>
    <row r="11" spans="1:8" x14ac:dyDescent="0.25">
      <c r="A11" s="76"/>
      <c r="B11" t="s">
        <v>50</v>
      </c>
      <c r="C11" s="13">
        <v>3.4068316632392293E-2</v>
      </c>
      <c r="D11" s="13">
        <v>3.3399183045131009E-2</v>
      </c>
      <c r="E11" s="13">
        <v>3.1132145588633309E-2</v>
      </c>
      <c r="F11" s="13">
        <v>2.0110047221408411E-2</v>
      </c>
      <c r="G11" s="13">
        <v>4.2212796520842533E-2</v>
      </c>
      <c r="H11" s="13">
        <v>7.3607225468571569E-2</v>
      </c>
    </row>
    <row r="12" spans="1:8" x14ac:dyDescent="0.25">
      <c r="A12" s="10" t="s">
        <v>53</v>
      </c>
      <c r="C12" s="13"/>
      <c r="D12" s="13"/>
      <c r="E12" s="13"/>
      <c r="F12" s="13"/>
      <c r="G12" s="13"/>
    </row>
    <row r="13" spans="1:8" x14ac:dyDescent="0.25">
      <c r="A13" t="s">
        <v>54</v>
      </c>
    </row>
    <row r="14" spans="1:8" x14ac:dyDescent="0.25">
      <c r="A14" t="s">
        <v>55</v>
      </c>
    </row>
  </sheetData>
  <mergeCells count="3">
    <mergeCell ref="A9:A11"/>
    <mergeCell ref="A3:A5"/>
    <mergeCell ref="A6:A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7ED38-BE72-7C40-A169-BCF255287679}">
  <dimension ref="A1:H30"/>
  <sheetViews>
    <sheetView workbookViewId="0">
      <selection activeCell="D14" sqref="D14"/>
    </sheetView>
  </sheetViews>
  <sheetFormatPr defaultColWidth="11" defaultRowHeight="15.75" x14ac:dyDescent="0.25"/>
  <cols>
    <col min="1" max="1" width="41.875" customWidth="1"/>
  </cols>
  <sheetData>
    <row r="1" spans="1:8" x14ac:dyDescent="0.25">
      <c r="A1" t="s">
        <v>56</v>
      </c>
    </row>
    <row r="3" spans="1:8" x14ac:dyDescent="0.25">
      <c r="B3" s="15">
        <v>2017</v>
      </c>
      <c r="C3" s="14">
        <v>2018</v>
      </c>
      <c r="D3" s="14">
        <v>2019</v>
      </c>
      <c r="E3" s="14">
        <v>2020</v>
      </c>
      <c r="F3" s="14">
        <v>2021</v>
      </c>
      <c r="G3" s="14">
        <v>2022</v>
      </c>
      <c r="H3" s="14">
        <v>2023</v>
      </c>
    </row>
    <row r="4" spans="1:8" x14ac:dyDescent="0.25">
      <c r="A4" t="s">
        <v>57</v>
      </c>
      <c r="B4" s="16">
        <f>54320</f>
        <v>54320</v>
      </c>
      <c r="C4" s="16">
        <f>46176</f>
        <v>46176</v>
      </c>
      <c r="D4" s="16">
        <f>43935</f>
        <v>43935</v>
      </c>
      <c r="E4" s="16">
        <f>53948</f>
        <v>53948</v>
      </c>
      <c r="F4" s="16">
        <f>52405</f>
        <v>52405</v>
      </c>
      <c r="G4" s="16">
        <f>31036</f>
        <v>31036</v>
      </c>
      <c r="H4" s="16">
        <f>37420</f>
        <v>37420</v>
      </c>
    </row>
    <row r="5" spans="1:8" x14ac:dyDescent="0.25">
      <c r="A5" t="s">
        <v>58</v>
      </c>
      <c r="B5" s="17">
        <f>2795</f>
        <v>2795</v>
      </c>
      <c r="C5" s="17">
        <v>2800</v>
      </c>
      <c r="D5" s="17">
        <v>2900</v>
      </c>
      <c r="E5" s="17">
        <f>2888</f>
        <v>2888</v>
      </c>
      <c r="F5" s="17">
        <f>2600</f>
        <v>2600</v>
      </c>
      <c r="G5" s="17">
        <f>3500</f>
        <v>3500</v>
      </c>
      <c r="H5" s="17">
        <f>3750</f>
        <v>3750</v>
      </c>
    </row>
    <row r="6" spans="1:8" x14ac:dyDescent="0.25">
      <c r="B6" s="12"/>
      <c r="C6" s="12"/>
      <c r="D6" s="12"/>
      <c r="E6" s="12"/>
      <c r="F6" s="12"/>
      <c r="G6" s="12"/>
    </row>
    <row r="7" spans="1:8" x14ac:dyDescent="0.25">
      <c r="A7" t="s">
        <v>59</v>
      </c>
      <c r="B7" s="16">
        <f>16791</f>
        <v>16791</v>
      </c>
      <c r="C7" s="16">
        <f>18839</f>
        <v>18839</v>
      </c>
      <c r="D7" s="16">
        <f>20544</f>
        <v>20544</v>
      </c>
      <c r="E7" s="16">
        <f>15202</f>
        <v>15202</v>
      </c>
      <c r="F7" s="16">
        <f>19965</f>
        <v>19965</v>
      </c>
      <c r="G7" s="16">
        <f>17392</f>
        <v>17392</v>
      </c>
      <c r="H7" s="16">
        <f>17731</f>
        <v>17731</v>
      </c>
    </row>
    <row r="8" spans="1:8" x14ac:dyDescent="0.25">
      <c r="A8" t="s">
        <v>60</v>
      </c>
      <c r="B8" s="17">
        <f>653192.5</f>
        <v>653192.5</v>
      </c>
      <c r="C8" s="17">
        <f>650000</f>
        <v>650000</v>
      </c>
      <c r="D8" s="17">
        <f>745000</f>
        <v>745000</v>
      </c>
      <c r="E8" s="17">
        <f>664500</f>
        <v>664500</v>
      </c>
      <c r="F8" s="17">
        <f>799000</f>
        <v>799000</v>
      </c>
      <c r="G8" s="17">
        <f>800005</f>
        <v>800005</v>
      </c>
      <c r="H8" s="17">
        <f>785000</f>
        <v>785000</v>
      </c>
    </row>
    <row r="9" spans="1:8" x14ac:dyDescent="0.25">
      <c r="A9" t="s">
        <v>61</v>
      </c>
      <c r="B9" s="12"/>
      <c r="C9" s="12"/>
      <c r="D9" s="12"/>
      <c r="E9" s="12"/>
      <c r="F9" s="12"/>
      <c r="G9" s="12"/>
    </row>
    <row r="10" spans="1:8" x14ac:dyDescent="0.25">
      <c r="A10" t="s">
        <v>62</v>
      </c>
      <c r="B10" s="12"/>
      <c r="C10" s="12"/>
      <c r="D10" s="12"/>
      <c r="E10" s="12"/>
      <c r="F10" s="12"/>
      <c r="G10" s="12"/>
    </row>
    <row r="11" spans="1:8" x14ac:dyDescent="0.25">
      <c r="B11" s="12"/>
      <c r="C11" s="12"/>
      <c r="D11" s="12"/>
      <c r="E11" s="12"/>
      <c r="F11" s="12"/>
      <c r="G11" s="12"/>
    </row>
    <row r="12" spans="1:8" x14ac:dyDescent="0.25">
      <c r="B12" s="12"/>
      <c r="C12" s="12"/>
      <c r="D12" s="12"/>
      <c r="E12" s="12"/>
      <c r="F12" s="12"/>
      <c r="G12" s="12"/>
    </row>
    <row r="13" spans="1:8" x14ac:dyDescent="0.25">
      <c r="A13" s="20" t="s">
        <v>63</v>
      </c>
      <c r="B13" s="12"/>
      <c r="C13" s="12"/>
      <c r="D13" s="12"/>
      <c r="E13" s="12"/>
      <c r="F13" s="12"/>
      <c r="G13" s="12"/>
    </row>
    <row r="14" spans="1:8" x14ac:dyDescent="0.25">
      <c r="C14" s="12"/>
      <c r="D14" s="12"/>
      <c r="E14" s="12"/>
      <c r="F14" s="12"/>
      <c r="G14" s="12"/>
    </row>
    <row r="15" spans="1:8" x14ac:dyDescent="0.25">
      <c r="B15" s="14">
        <v>2017</v>
      </c>
      <c r="C15" s="14">
        <v>2018</v>
      </c>
      <c r="D15" s="14">
        <v>2019</v>
      </c>
      <c r="E15" s="14">
        <v>2020</v>
      </c>
      <c r="F15" s="14">
        <v>2021</v>
      </c>
      <c r="G15" s="14">
        <v>2022</v>
      </c>
      <c r="H15" s="14">
        <v>2023</v>
      </c>
    </row>
    <row r="16" spans="1:8" x14ac:dyDescent="0.25">
      <c r="A16" t="s">
        <v>64</v>
      </c>
      <c r="B16" s="18">
        <v>398.68999600000001</v>
      </c>
      <c r="C16" s="18">
        <v>398.73015299999997</v>
      </c>
      <c r="D16" s="18">
        <v>402.18044600000002</v>
      </c>
      <c r="E16" s="18">
        <v>404.71322400000003</v>
      </c>
      <c r="F16" s="18">
        <v>405.59220299999998</v>
      </c>
      <c r="G16" s="18">
        <v>411.90453400000001</v>
      </c>
      <c r="H16" s="35">
        <f>414180844/1000000</f>
        <v>414.18084399999998</v>
      </c>
    </row>
    <row r="17" spans="1:8" x14ac:dyDescent="0.25">
      <c r="A17" t="s">
        <v>65</v>
      </c>
      <c r="B17" s="13">
        <v>9.1978420000000005E-2</v>
      </c>
      <c r="C17" s="13">
        <v>9.2346789999999998E-2</v>
      </c>
      <c r="D17" s="13">
        <v>0.10484352</v>
      </c>
      <c r="E17" s="13">
        <v>0.11873818999999999</v>
      </c>
      <c r="F17" s="13">
        <v>0.18284518999999999</v>
      </c>
      <c r="G17" s="13">
        <v>0.21458304</v>
      </c>
      <c r="H17" s="13">
        <v>0.22399999999999998</v>
      </c>
    </row>
    <row r="18" spans="1:8" x14ac:dyDescent="0.25">
      <c r="A18" t="s">
        <v>66</v>
      </c>
      <c r="B18" s="19">
        <v>72.59</v>
      </c>
      <c r="C18" s="19">
        <v>72.62</v>
      </c>
      <c r="D18" s="19">
        <v>74.150000000000006</v>
      </c>
      <c r="E18" s="19">
        <v>73.319999999999993</v>
      </c>
      <c r="F18" s="19">
        <v>70.260000000000005</v>
      </c>
      <c r="G18" s="19">
        <v>71.64</v>
      </c>
      <c r="H18" s="19">
        <v>72.12</v>
      </c>
    </row>
    <row r="19" spans="1:8" x14ac:dyDescent="0.25">
      <c r="A19" t="s">
        <v>67</v>
      </c>
      <c r="B19" s="12" t="s">
        <v>68</v>
      </c>
      <c r="C19" s="12" t="s">
        <v>68</v>
      </c>
      <c r="D19" s="12" t="s">
        <v>68</v>
      </c>
      <c r="E19" s="45">
        <v>6.1186873333333301E-2</v>
      </c>
      <c r="F19" s="45">
        <v>0.19788049999999999</v>
      </c>
      <c r="G19" s="46">
        <v>0.45580476666666703</v>
      </c>
      <c r="H19" s="45">
        <v>0.57287316666666699</v>
      </c>
    </row>
    <row r="20" spans="1:8" x14ac:dyDescent="0.25">
      <c r="A20" t="s">
        <v>69</v>
      </c>
      <c r="B20" s="12" t="s">
        <v>68</v>
      </c>
      <c r="C20" s="12" t="s">
        <v>68</v>
      </c>
      <c r="D20" s="12" t="s">
        <v>68</v>
      </c>
      <c r="E20" s="45" t="s">
        <v>68</v>
      </c>
      <c r="F20" s="45">
        <v>0.4</v>
      </c>
      <c r="G20" s="46">
        <v>0.57499999999999996</v>
      </c>
      <c r="H20" s="45">
        <v>0.64400000000000002</v>
      </c>
    </row>
    <row r="21" spans="1:8" x14ac:dyDescent="0.25">
      <c r="A21" t="s">
        <v>70</v>
      </c>
    </row>
    <row r="22" spans="1:8" x14ac:dyDescent="0.25">
      <c r="A22" t="s">
        <v>71</v>
      </c>
    </row>
    <row r="23" spans="1:8" x14ac:dyDescent="0.25">
      <c r="A23" t="s">
        <v>72</v>
      </c>
    </row>
    <row r="24" spans="1:8" x14ac:dyDescent="0.25">
      <c r="A24" t="s">
        <v>73</v>
      </c>
    </row>
    <row r="29" spans="1:8" x14ac:dyDescent="0.25">
      <c r="A29" t="s">
        <v>74</v>
      </c>
    </row>
    <row r="30" spans="1:8" x14ac:dyDescent="0.25">
      <c r="A30" s="47" t="s">
        <v>75</v>
      </c>
    </row>
  </sheetData>
  <hyperlinks>
    <hyperlink ref="A30" r:id="rId1" display="https://assets.ctfassets.net/6zi14rd5umxw/68ons2vbAoI5W2aLyd6acx/75c5b250eb8d2157ff3c26bc6fb4aa0b/REBNY_2023_Report_ManhattanOfficeVIsitation_23-Q2_v05__final_.pdf" xr:uid="{3863CA5A-096A-4E90-AF1F-463F2A6C6AA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93D7B-23C6-A148-9CA9-A46CBF4058DD}">
  <dimension ref="A3:I19"/>
  <sheetViews>
    <sheetView topLeftCell="A3" workbookViewId="0">
      <selection activeCell="M34" sqref="M34"/>
    </sheetView>
  </sheetViews>
  <sheetFormatPr defaultColWidth="11" defaultRowHeight="15.75" x14ac:dyDescent="0.25"/>
  <cols>
    <col min="3" max="3" width="11.375" bestFit="1" customWidth="1"/>
    <col min="5" max="6" width="11.375" bestFit="1" customWidth="1"/>
  </cols>
  <sheetData>
    <row r="3" spans="1:9" x14ac:dyDescent="0.25">
      <c r="A3" s="82" t="s">
        <v>76</v>
      </c>
      <c r="B3" s="78" t="s">
        <v>77</v>
      </c>
      <c r="C3" s="78" t="s">
        <v>78</v>
      </c>
      <c r="D3" s="78" t="s">
        <v>79</v>
      </c>
      <c r="E3" s="68" t="s">
        <v>80</v>
      </c>
      <c r="F3" s="78" t="s">
        <v>81</v>
      </c>
      <c r="G3" s="78" t="s">
        <v>82</v>
      </c>
      <c r="H3" s="78" t="s">
        <v>83</v>
      </c>
      <c r="I3" s="80" t="s">
        <v>84</v>
      </c>
    </row>
    <row r="4" spans="1:9" x14ac:dyDescent="0.25">
      <c r="A4" s="83"/>
      <c r="B4" s="79"/>
      <c r="C4" s="79"/>
      <c r="D4" s="79"/>
      <c r="E4" s="69" t="s">
        <v>85</v>
      </c>
      <c r="F4" s="79"/>
      <c r="G4" s="79"/>
      <c r="H4" s="79"/>
      <c r="I4" s="81"/>
    </row>
    <row r="5" spans="1:9" x14ac:dyDescent="0.25">
      <c r="A5" s="58" t="s">
        <v>86</v>
      </c>
      <c r="B5" s="57" t="s">
        <v>87</v>
      </c>
      <c r="C5" s="63">
        <v>1250000000</v>
      </c>
      <c r="D5" s="57" t="s">
        <v>88</v>
      </c>
      <c r="E5" s="63">
        <v>1250000000</v>
      </c>
      <c r="F5" s="63">
        <v>1324571055</v>
      </c>
      <c r="G5" s="57" t="s">
        <v>89</v>
      </c>
      <c r="H5" s="57" t="s">
        <v>90</v>
      </c>
      <c r="I5" s="59" t="s">
        <v>91</v>
      </c>
    </row>
    <row r="6" spans="1:9" x14ac:dyDescent="0.25">
      <c r="A6" s="58" t="s">
        <v>92</v>
      </c>
      <c r="B6" s="57" t="s">
        <v>93</v>
      </c>
      <c r="C6" s="63">
        <v>1250000000</v>
      </c>
      <c r="D6" s="57" t="s">
        <v>94</v>
      </c>
      <c r="E6" s="63">
        <v>1375000000</v>
      </c>
      <c r="F6" s="63">
        <v>1471762109</v>
      </c>
      <c r="G6" s="57" t="s">
        <v>95</v>
      </c>
      <c r="H6" s="57" t="s">
        <v>96</v>
      </c>
      <c r="I6" s="59" t="s">
        <v>97</v>
      </c>
    </row>
    <row r="7" spans="1:9" x14ac:dyDescent="0.25">
      <c r="A7" s="58" t="s">
        <v>98</v>
      </c>
      <c r="B7" s="57" t="s">
        <v>99</v>
      </c>
      <c r="C7" s="63">
        <v>950000000</v>
      </c>
      <c r="D7" s="57" t="s">
        <v>100</v>
      </c>
      <c r="E7" s="63">
        <v>1350000000</v>
      </c>
      <c r="F7" s="63">
        <v>1425205880</v>
      </c>
      <c r="G7" s="57" t="s">
        <v>101</v>
      </c>
      <c r="H7" s="57" t="s">
        <v>102</v>
      </c>
      <c r="I7" s="59" t="s">
        <v>103</v>
      </c>
    </row>
    <row r="8" spans="1:9" x14ac:dyDescent="0.25">
      <c r="A8" s="58" t="s">
        <v>104</v>
      </c>
      <c r="B8" s="57" t="s">
        <v>105</v>
      </c>
      <c r="C8" s="57" t="s">
        <v>106</v>
      </c>
      <c r="D8" s="57" t="s">
        <v>107</v>
      </c>
      <c r="E8" s="63">
        <v>1300000000</v>
      </c>
      <c r="F8" s="63">
        <v>1347137684</v>
      </c>
      <c r="G8" s="57" t="s">
        <v>108</v>
      </c>
      <c r="H8" s="57" t="s">
        <v>109</v>
      </c>
      <c r="I8" s="59" t="s">
        <v>110</v>
      </c>
    </row>
    <row r="9" spans="1:9" x14ac:dyDescent="0.25">
      <c r="A9" s="58" t="s">
        <v>111</v>
      </c>
      <c r="B9" s="57" t="s">
        <v>112</v>
      </c>
      <c r="C9" s="57" t="s">
        <v>106</v>
      </c>
      <c r="D9" s="57" t="s">
        <v>113</v>
      </c>
      <c r="E9" s="63">
        <v>1250000000</v>
      </c>
      <c r="F9" s="63">
        <v>1294756917</v>
      </c>
      <c r="G9" s="57" t="s">
        <v>114</v>
      </c>
      <c r="H9" s="57" t="s">
        <v>115</v>
      </c>
      <c r="I9" s="59" t="s">
        <v>116</v>
      </c>
    </row>
    <row r="10" spans="1:9" x14ac:dyDescent="0.25">
      <c r="A10" s="60" t="s">
        <v>117</v>
      </c>
      <c r="B10" s="61" t="s">
        <v>118</v>
      </c>
      <c r="C10" s="61" t="s">
        <v>106</v>
      </c>
      <c r="D10" s="61" t="s">
        <v>119</v>
      </c>
      <c r="E10" s="64">
        <v>1190000000</v>
      </c>
      <c r="F10" s="64">
        <v>1263788592</v>
      </c>
      <c r="G10" s="61" t="s">
        <v>120</v>
      </c>
      <c r="H10" s="61" t="s">
        <v>121</v>
      </c>
      <c r="I10" s="62" t="s">
        <v>122</v>
      </c>
    </row>
    <row r="12" spans="1:9" ht="16.5" thickBot="1" x14ac:dyDescent="0.3"/>
    <row r="13" spans="1:9" x14ac:dyDescent="0.25">
      <c r="A13" s="86" t="s">
        <v>123</v>
      </c>
      <c r="B13" s="86" t="s">
        <v>124</v>
      </c>
      <c r="C13" s="84" t="s">
        <v>125</v>
      </c>
      <c r="D13" s="21" t="s">
        <v>126</v>
      </c>
      <c r="E13" s="21" t="s">
        <v>127</v>
      </c>
      <c r="F13" s="86" t="s">
        <v>128</v>
      </c>
      <c r="G13" s="84" t="s">
        <v>129</v>
      </c>
      <c r="H13" s="84" t="s">
        <v>130</v>
      </c>
    </row>
    <row r="14" spans="1:9" ht="26.25" thickBot="1" x14ac:dyDescent="0.3">
      <c r="A14" s="87"/>
      <c r="B14" s="87"/>
      <c r="C14" s="85"/>
      <c r="D14" s="22" t="s">
        <v>131</v>
      </c>
      <c r="E14" s="22" t="s">
        <v>132</v>
      </c>
      <c r="F14" s="87"/>
      <c r="G14" s="85"/>
      <c r="H14" s="85"/>
    </row>
    <row r="15" spans="1:9" ht="16.5" thickBot="1" x14ac:dyDescent="0.3">
      <c r="A15" s="23" t="s">
        <v>133</v>
      </c>
      <c r="B15" s="48">
        <v>44770</v>
      </c>
      <c r="C15" s="49">
        <v>563750000</v>
      </c>
      <c r="D15" s="53">
        <v>73580316</v>
      </c>
      <c r="E15" s="54">
        <v>0.10586</v>
      </c>
      <c r="F15" s="50">
        <v>3.1320000000000001E-2</v>
      </c>
      <c r="G15" s="51">
        <v>8.5220000000000002</v>
      </c>
      <c r="H15" s="52">
        <v>50966</v>
      </c>
    </row>
    <row r="16" spans="1:9" ht="16.5" thickBot="1" x14ac:dyDescent="0.3">
      <c r="A16" s="23" t="s">
        <v>134</v>
      </c>
      <c r="B16" s="48">
        <v>44811</v>
      </c>
      <c r="C16" s="49">
        <v>934965000</v>
      </c>
      <c r="D16" s="53">
        <v>96551219</v>
      </c>
      <c r="E16" s="54">
        <v>8.4440000000000001E-2</v>
      </c>
      <c r="F16" s="50">
        <v>3.3029999999999997E-2</v>
      </c>
      <c r="G16" s="51">
        <v>7.4969999999999999</v>
      </c>
      <c r="H16" s="52">
        <v>50710</v>
      </c>
    </row>
    <row r="17" spans="1:8" ht="16.5" thickBot="1" x14ac:dyDescent="0.3">
      <c r="A17" s="23" t="s">
        <v>135</v>
      </c>
      <c r="B17" s="48">
        <v>44985</v>
      </c>
      <c r="C17" s="49">
        <v>1195955000</v>
      </c>
      <c r="D17" s="53">
        <v>184465948</v>
      </c>
      <c r="E17" s="54">
        <v>0.11815000000000001</v>
      </c>
      <c r="F17" s="50">
        <v>3.1449999999999999E-2</v>
      </c>
      <c r="G17" s="51">
        <v>8.9359999999999999</v>
      </c>
      <c r="H17" s="52">
        <v>51806</v>
      </c>
    </row>
    <row r="18" spans="1:8" ht="16.5" thickBot="1" x14ac:dyDescent="0.3">
      <c r="A18" s="23" t="s">
        <v>136</v>
      </c>
      <c r="B18" s="48">
        <v>44999</v>
      </c>
      <c r="C18" s="49">
        <v>688320000</v>
      </c>
      <c r="D18" s="53">
        <v>37082353</v>
      </c>
      <c r="E18" s="54">
        <v>4.5199999999999997E-2</v>
      </c>
      <c r="F18" s="50">
        <v>3.0710000000000001E-2</v>
      </c>
      <c r="G18" s="51">
        <v>3.6040000000000001</v>
      </c>
      <c r="H18" s="52">
        <v>49157</v>
      </c>
    </row>
    <row r="19" spans="1:8" ht="16.5" thickBot="1" x14ac:dyDescent="0.3">
      <c r="A19" s="23" t="s">
        <v>137</v>
      </c>
      <c r="B19" s="48">
        <v>45090</v>
      </c>
      <c r="C19" s="49">
        <v>1559875000</v>
      </c>
      <c r="D19" s="53">
        <v>108275632</v>
      </c>
      <c r="E19" s="54">
        <v>5.7639999999999997E-2</v>
      </c>
      <c r="F19" s="50">
        <v>3.4599999999999999E-2</v>
      </c>
      <c r="G19" s="51">
        <v>7.3479999999999999</v>
      </c>
      <c r="H19" s="52">
        <v>50983</v>
      </c>
    </row>
  </sheetData>
  <mergeCells count="14">
    <mergeCell ref="H13:H14"/>
    <mergeCell ref="A13:A14"/>
    <mergeCell ref="B13:B14"/>
    <mergeCell ref="C13:C14"/>
    <mergeCell ref="F13:F14"/>
    <mergeCell ref="G13:G14"/>
    <mergeCell ref="G3:G4"/>
    <mergeCell ref="H3:H4"/>
    <mergeCell ref="I3:I4"/>
    <mergeCell ref="A3:A4"/>
    <mergeCell ref="B3:B4"/>
    <mergeCell ref="C3:C4"/>
    <mergeCell ref="D3:D4"/>
    <mergeCell ref="F3:F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490CF-AF82-D54A-95CA-709B7CFDCD98}">
  <dimension ref="A1:T34"/>
  <sheetViews>
    <sheetView tabSelected="1" workbookViewId="0">
      <selection activeCell="J28" sqref="J28"/>
    </sheetView>
  </sheetViews>
  <sheetFormatPr defaultColWidth="10.875" defaultRowHeight="15.75" x14ac:dyDescent="0.25"/>
  <cols>
    <col min="1" max="1" width="46" style="10" customWidth="1"/>
    <col min="2" max="2" width="17.5" style="7" customWidth="1"/>
    <col min="3" max="3" width="13" style="7" customWidth="1"/>
    <col min="4" max="7" width="10.875" style="7"/>
    <col min="8" max="8" width="41.75" style="7" customWidth="1"/>
    <col min="9" max="18" width="11.875" style="7" customWidth="1"/>
    <col min="19" max="19" width="11.875" style="7" bestFit="1" customWidth="1"/>
    <col min="20" max="20" width="12.375" style="7" customWidth="1"/>
    <col min="21" max="16384" width="10.875" style="7"/>
  </cols>
  <sheetData>
    <row r="1" spans="1:20" x14ac:dyDescent="0.25">
      <c r="B1" s="24"/>
    </row>
    <row r="2" spans="1:20" ht="51.75" customHeight="1" x14ac:dyDescent="0.25">
      <c r="A2" s="25"/>
      <c r="B2" s="29" t="s">
        <v>138</v>
      </c>
      <c r="C2" s="75" t="s">
        <v>139</v>
      </c>
      <c r="D2" s="75"/>
      <c r="I2" s="88" t="s">
        <v>140</v>
      </c>
      <c r="J2" s="88"/>
      <c r="K2" s="88" t="s">
        <v>141</v>
      </c>
      <c r="L2" s="88"/>
      <c r="M2" s="88" t="s">
        <v>142</v>
      </c>
      <c r="N2" s="88"/>
      <c r="O2" s="88" t="s">
        <v>143</v>
      </c>
      <c r="P2" s="88"/>
      <c r="Q2" s="88" t="s">
        <v>144</v>
      </c>
      <c r="R2" s="88"/>
      <c r="S2" s="88" t="s">
        <v>145</v>
      </c>
      <c r="T2" s="88"/>
    </row>
    <row r="3" spans="1:20" x14ac:dyDescent="0.25">
      <c r="A3" s="26"/>
      <c r="B3" s="32"/>
      <c r="C3" s="30" t="s">
        <v>146</v>
      </c>
      <c r="D3" s="34" t="s">
        <v>147</v>
      </c>
      <c r="I3" s="7">
        <v>2022</v>
      </c>
      <c r="J3" s="7">
        <v>2023</v>
      </c>
      <c r="K3" s="7">
        <v>2022</v>
      </c>
      <c r="L3" s="7">
        <v>2023</v>
      </c>
      <c r="M3" s="7">
        <v>2022</v>
      </c>
      <c r="N3" s="7">
        <v>2023</v>
      </c>
      <c r="O3" s="7">
        <v>2022</v>
      </c>
      <c r="P3" s="7">
        <v>2023</v>
      </c>
      <c r="Q3" s="7">
        <v>2022</v>
      </c>
      <c r="R3" s="7">
        <v>2023</v>
      </c>
      <c r="S3" s="7">
        <v>2022</v>
      </c>
      <c r="T3" s="7">
        <v>2023</v>
      </c>
    </row>
    <row r="4" spans="1:20" x14ac:dyDescent="0.25">
      <c r="A4" s="27" t="s">
        <v>148</v>
      </c>
      <c r="B4" s="32"/>
      <c r="C4" s="33"/>
      <c r="D4" s="31"/>
      <c r="H4" s="10" t="s">
        <v>149</v>
      </c>
      <c r="I4" s="70">
        <v>86390076</v>
      </c>
      <c r="J4" s="70">
        <v>89000286</v>
      </c>
      <c r="K4" s="70">
        <v>96981873</v>
      </c>
      <c r="L4" s="70">
        <v>105967045</v>
      </c>
      <c r="M4" s="70">
        <v>8533039</v>
      </c>
      <c r="N4" s="70">
        <v>9084690</v>
      </c>
      <c r="O4" s="70">
        <v>51966013</v>
      </c>
      <c r="P4" s="70">
        <v>53317438</v>
      </c>
      <c r="Q4" s="70">
        <v>19520639</v>
      </c>
      <c r="R4" s="70">
        <v>20809011</v>
      </c>
      <c r="S4" s="70">
        <f>I4+K4+M4+O4+Q4</f>
        <v>263391640</v>
      </c>
      <c r="T4" s="70">
        <f>J4+L4+N4+P4+R4</f>
        <v>278178470</v>
      </c>
    </row>
    <row r="5" spans="1:20" x14ac:dyDescent="0.25">
      <c r="A5" s="28" t="s">
        <v>150</v>
      </c>
      <c r="B5" s="56">
        <f>B10+B15+B20+B25+B30</f>
        <v>253279.25699999998</v>
      </c>
      <c r="C5" s="33">
        <v>-8.64513</v>
      </c>
      <c r="D5" s="33">
        <v>7.9846570517762885</v>
      </c>
      <c r="H5" s="10" t="s">
        <v>151</v>
      </c>
      <c r="I5" s="70">
        <v>0</v>
      </c>
      <c r="J5" s="70">
        <v>0</v>
      </c>
      <c r="K5" s="70">
        <f>95963+5286924+302984</f>
        <v>5685871</v>
      </c>
      <c r="L5" s="70">
        <f>76152+5593566+325925</f>
        <v>5995643</v>
      </c>
      <c r="M5" s="70">
        <f>497+57295+3327</f>
        <v>61119</v>
      </c>
      <c r="N5" s="70">
        <f>469+65603+3845</f>
        <v>69917</v>
      </c>
      <c r="O5" s="70">
        <v>0</v>
      </c>
      <c r="P5" s="70">
        <v>0</v>
      </c>
      <c r="Q5" s="70">
        <v>0</v>
      </c>
      <c r="R5" s="70">
        <v>0</v>
      </c>
      <c r="S5" s="70">
        <f t="shared" ref="S5:S7" si="0">I5+K5+M5+O5+Q5</f>
        <v>5746990</v>
      </c>
      <c r="T5" s="70">
        <f t="shared" ref="T5:T7" si="1">J5+L5+N5+P5+R5</f>
        <v>6065560</v>
      </c>
    </row>
    <row r="6" spans="1:20" x14ac:dyDescent="0.25">
      <c r="A6" s="28" t="s">
        <v>152</v>
      </c>
      <c r="B6" s="56"/>
      <c r="C6" s="33">
        <v>-13.298</v>
      </c>
      <c r="D6" s="33">
        <v>11.898999999999999</v>
      </c>
      <c r="H6" s="10" t="s">
        <v>153</v>
      </c>
      <c r="I6" s="70">
        <v>9415078</v>
      </c>
      <c r="J6" s="70">
        <v>8512937</v>
      </c>
      <c r="K6" s="70">
        <v>525316</v>
      </c>
      <c r="L6" s="70">
        <v>4052373</v>
      </c>
      <c r="M6" s="70">
        <v>538433</v>
      </c>
      <c r="N6" s="70">
        <v>515897</v>
      </c>
      <c r="O6" s="70">
        <v>4697443</v>
      </c>
      <c r="P6" s="70">
        <v>3689545</v>
      </c>
      <c r="Q6" s="70">
        <v>1905756</v>
      </c>
      <c r="R6" s="70">
        <v>2062901</v>
      </c>
      <c r="S6" s="70">
        <f t="shared" si="0"/>
        <v>17082026</v>
      </c>
      <c r="T6" s="70">
        <f t="shared" si="1"/>
        <v>18833653</v>
      </c>
    </row>
    <row r="7" spans="1:20" x14ac:dyDescent="0.25">
      <c r="A7" s="28" t="s">
        <v>154</v>
      </c>
      <c r="B7" s="56"/>
      <c r="C7" s="33">
        <f>+C5-C6</f>
        <v>4.6528700000000001</v>
      </c>
      <c r="D7" s="33">
        <f>+D5-D6</f>
        <v>-3.9143429482237106</v>
      </c>
      <c r="I7" s="70">
        <f>I4-I5-I6</f>
        <v>76974998</v>
      </c>
      <c r="J7" s="70">
        <f t="shared" ref="J7:R7" si="2">J4-J5-J6</f>
        <v>80487349</v>
      </c>
      <c r="K7" s="70">
        <f t="shared" si="2"/>
        <v>90770686</v>
      </c>
      <c r="L7" s="70">
        <f t="shared" si="2"/>
        <v>95919029</v>
      </c>
      <c r="M7" s="70">
        <f>M4-M5-M6</f>
        <v>7933487</v>
      </c>
      <c r="N7" s="70">
        <f t="shared" si="2"/>
        <v>8498876</v>
      </c>
      <c r="O7" s="70">
        <f t="shared" si="2"/>
        <v>47268570</v>
      </c>
      <c r="P7" s="70">
        <f t="shared" si="2"/>
        <v>49627893</v>
      </c>
      <c r="Q7" s="70">
        <f t="shared" si="2"/>
        <v>17614883</v>
      </c>
      <c r="R7" s="70">
        <f t="shared" si="2"/>
        <v>18746110</v>
      </c>
      <c r="S7" s="70">
        <f t="shared" si="0"/>
        <v>240562624</v>
      </c>
      <c r="T7" s="70">
        <f t="shared" si="1"/>
        <v>253279257</v>
      </c>
    </row>
    <row r="8" spans="1:20" x14ac:dyDescent="0.25">
      <c r="A8" s="28"/>
      <c r="B8" s="56"/>
      <c r="C8" s="33"/>
      <c r="D8" s="33"/>
      <c r="T8" s="70">
        <f>T7-S7</f>
        <v>12716633</v>
      </c>
    </row>
    <row r="9" spans="1:20" x14ac:dyDescent="0.25">
      <c r="A9" s="27" t="s">
        <v>155</v>
      </c>
      <c r="B9" s="56"/>
      <c r="C9" s="33"/>
      <c r="D9" s="33"/>
    </row>
    <row r="10" spans="1:20" x14ac:dyDescent="0.25">
      <c r="A10" s="28" t="s">
        <v>150</v>
      </c>
      <c r="B10" s="56">
        <f>N7/1000</f>
        <v>8498.8760000000002</v>
      </c>
      <c r="C10" s="33">
        <v>-8.3850599999999993</v>
      </c>
      <c r="D10" s="33">
        <v>8.1817104769596138</v>
      </c>
    </row>
    <row r="11" spans="1:20" x14ac:dyDescent="0.25">
      <c r="A11" s="28" t="s">
        <v>156</v>
      </c>
      <c r="B11" s="56"/>
      <c r="C11" s="33">
        <v>-8.6953399999999998</v>
      </c>
      <c r="D11" s="33">
        <v>7.4363278812536731</v>
      </c>
    </row>
    <row r="12" spans="1:20" x14ac:dyDescent="0.25">
      <c r="A12" s="28" t="s">
        <v>154</v>
      </c>
      <c r="B12" s="56"/>
      <c r="C12" s="33">
        <v>0.31028000000000056</v>
      </c>
      <c r="D12" s="33">
        <v>0.74538259570594034</v>
      </c>
    </row>
    <row r="13" spans="1:20" x14ac:dyDescent="0.25">
      <c r="A13" s="28"/>
      <c r="B13" s="56"/>
      <c r="C13" s="33"/>
      <c r="D13" s="33"/>
    </row>
    <row r="14" spans="1:20" x14ac:dyDescent="0.25">
      <c r="A14" s="27" t="s">
        <v>157</v>
      </c>
      <c r="B14" s="56"/>
      <c r="C14" s="33"/>
      <c r="D14" s="33"/>
    </row>
    <row r="15" spans="1:20" x14ac:dyDescent="0.25">
      <c r="A15" s="28" t="s">
        <v>150</v>
      </c>
      <c r="B15" s="56">
        <f>J7/1000</f>
        <v>80487.349000000002</v>
      </c>
      <c r="C15" s="33">
        <v>-9.7718100000000003</v>
      </c>
      <c r="D15" s="33">
        <v>7.7577354588939302</v>
      </c>
    </row>
    <row r="16" spans="1:20" x14ac:dyDescent="0.25">
      <c r="A16" s="28" t="s">
        <v>156</v>
      </c>
      <c r="B16" s="56"/>
      <c r="C16" s="33">
        <v>-9.5418000000000003</v>
      </c>
      <c r="D16" s="33">
        <v>6.8087240991188329</v>
      </c>
    </row>
    <row r="17" spans="1:4" x14ac:dyDescent="0.25">
      <c r="A17" s="28" t="s">
        <v>154</v>
      </c>
      <c r="B17" s="56"/>
      <c r="C17" s="33">
        <v>-0.23001000000000005</v>
      </c>
      <c r="D17" s="33">
        <v>0.9490113597750971</v>
      </c>
    </row>
    <row r="18" spans="1:4" x14ac:dyDescent="0.25">
      <c r="A18" s="28"/>
      <c r="B18" s="56"/>
      <c r="C18" s="31"/>
      <c r="D18" s="31"/>
    </row>
    <row r="19" spans="1:4" x14ac:dyDescent="0.25">
      <c r="A19" s="27" t="s">
        <v>158</v>
      </c>
      <c r="B19" s="56"/>
      <c r="C19" s="33"/>
      <c r="D19" s="33"/>
    </row>
    <row r="20" spans="1:4" x14ac:dyDescent="0.25">
      <c r="A20" s="28" t="s">
        <v>150</v>
      </c>
      <c r="B20" s="56">
        <f>R7/1000</f>
        <v>18746.11</v>
      </c>
      <c r="C20" s="33">
        <v>-7.1730600000000004</v>
      </c>
      <c r="D20" s="33">
        <v>8.0936217994439215</v>
      </c>
    </row>
    <row r="21" spans="1:4" x14ac:dyDescent="0.25">
      <c r="A21" s="28" t="s">
        <v>156</v>
      </c>
      <c r="B21" s="56"/>
      <c r="C21" s="33">
        <v>-8.8390599999999999</v>
      </c>
      <c r="D21" s="33">
        <v>7.9387267385644584</v>
      </c>
    </row>
    <row r="22" spans="1:4" x14ac:dyDescent="0.25">
      <c r="A22" s="28" t="s">
        <v>154</v>
      </c>
      <c r="B22" s="56"/>
      <c r="C22" s="33">
        <v>1.6659999999999995</v>
      </c>
      <c r="D22" s="33">
        <v>0.15489506087946409</v>
      </c>
    </row>
    <row r="23" spans="1:4" x14ac:dyDescent="0.25">
      <c r="A23" s="28"/>
      <c r="B23" s="56"/>
      <c r="C23" s="33"/>
      <c r="D23" s="33"/>
    </row>
    <row r="24" spans="1:4" x14ac:dyDescent="0.25">
      <c r="A24" s="27" t="s">
        <v>159</v>
      </c>
      <c r="B24" s="56"/>
      <c r="C24" s="33"/>
      <c r="D24" s="33"/>
    </row>
    <row r="25" spans="1:4" x14ac:dyDescent="0.25">
      <c r="A25" s="28" t="s">
        <v>150</v>
      </c>
      <c r="B25" s="56">
        <f>P7/1000</f>
        <v>49627.892999999996</v>
      </c>
      <c r="C25" s="33">
        <v>-7.6413599999999997</v>
      </c>
      <c r="D25" s="33">
        <v>7.757518261598249</v>
      </c>
    </row>
    <row r="26" spans="1:4" x14ac:dyDescent="0.25">
      <c r="A26" s="28" t="s">
        <v>156</v>
      </c>
      <c r="B26" s="56"/>
      <c r="C26" s="33">
        <v>-8.4061699999999995</v>
      </c>
      <c r="D26" s="33">
        <v>7.1927288838313199</v>
      </c>
    </row>
    <row r="27" spans="1:4" x14ac:dyDescent="0.25">
      <c r="A27" s="28" t="s">
        <v>154</v>
      </c>
      <c r="B27" s="56"/>
      <c r="C27" s="33">
        <v>0.76480999999999977</v>
      </c>
      <c r="D27" s="33">
        <v>0.56478937776692917</v>
      </c>
    </row>
    <row r="28" spans="1:4" x14ac:dyDescent="0.25">
      <c r="A28" s="28"/>
      <c r="B28" s="56"/>
      <c r="C28" s="33"/>
      <c r="D28" s="33"/>
    </row>
    <row r="29" spans="1:4" x14ac:dyDescent="0.25">
      <c r="A29" s="27" t="s">
        <v>160</v>
      </c>
      <c r="B29" s="56"/>
      <c r="C29" s="33"/>
      <c r="D29" s="33"/>
    </row>
    <row r="30" spans="1:4" x14ac:dyDescent="0.25">
      <c r="A30" s="28" t="s">
        <v>150</v>
      </c>
      <c r="B30" s="56">
        <f>L7/1000</f>
        <v>95919.028999999995</v>
      </c>
      <c r="C30" s="33">
        <v>-9.0083000000000002</v>
      </c>
      <c r="D30" s="33">
        <v>8.5523630917362627</v>
      </c>
    </row>
    <row r="31" spans="1:4" x14ac:dyDescent="0.25">
      <c r="A31" s="28" t="s">
        <v>156</v>
      </c>
      <c r="B31" s="56"/>
      <c r="C31" s="33">
        <v>-8.3021799999999999</v>
      </c>
      <c r="D31" s="33">
        <v>7.9347459585408648</v>
      </c>
    </row>
    <row r="32" spans="1:4" x14ac:dyDescent="0.25">
      <c r="A32" s="28" t="s">
        <v>154</v>
      </c>
      <c r="B32" s="56"/>
      <c r="C32" s="33">
        <v>-0.7061200000000003</v>
      </c>
      <c r="D32" s="33">
        <v>0.61761713319539724</v>
      </c>
    </row>
    <row r="33" spans="1:5" x14ac:dyDescent="0.25">
      <c r="B33" s="56"/>
      <c r="C33" s="31"/>
      <c r="D33" s="31"/>
    </row>
    <row r="34" spans="1:5" ht="42.75" customHeight="1" x14ac:dyDescent="0.25">
      <c r="A34" s="89" t="s">
        <v>161</v>
      </c>
      <c r="B34" s="89"/>
      <c r="C34" s="89"/>
      <c r="D34" s="89"/>
      <c r="E34" s="55"/>
    </row>
  </sheetData>
  <mergeCells count="8">
    <mergeCell ref="O2:P2"/>
    <mergeCell ref="Q2:R2"/>
    <mergeCell ref="S2:T2"/>
    <mergeCell ref="A34:D34"/>
    <mergeCell ref="C2:D2"/>
    <mergeCell ref="I2:J2"/>
    <mergeCell ref="K2:L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 xiv-employment</vt:lpstr>
      <vt:lpstr>Page xv-taxable sales</vt:lpstr>
      <vt:lpstr>Page xv-CPI</vt:lpstr>
      <vt:lpstr>Page xvi-real estate</vt:lpstr>
      <vt:lpstr>Page xx-municipal finance</vt:lpstr>
      <vt:lpstr>Page xxi-pension returns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Jeffers-Beaubrun, Yvonne</cp:lastModifiedBy>
  <cp:revision/>
  <dcterms:created xsi:type="dcterms:W3CDTF">2022-09-25T19:47:48Z</dcterms:created>
  <dcterms:modified xsi:type="dcterms:W3CDTF">2023-10-24T14:13:14Z</dcterms:modified>
  <cp:category/>
  <cp:contentStatus/>
</cp:coreProperties>
</file>