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I:\Support Group\$$BOA Projects\$ACFR Prep\Fiscal Year 2023 ACFR\Submitted Pages\Week of 10-14-2023\10-12-2023\"/>
    </mc:Choice>
  </mc:AlternateContent>
  <xr:revisionPtr revIDLastSave="0" documentId="13_ncr:1_{EBCF9C6D-D971-4AAC-BB8B-62D454455A79}" xr6:coauthVersionLast="47" xr6:coauthVersionMax="47" xr10:uidLastSave="{00000000-0000-0000-0000-000000000000}"/>
  <bookViews>
    <workbookView xWindow="28680" yWindow="-120" windowWidth="29040" windowHeight="15840" xr2:uid="{A08C8F19-9D46-474B-9479-C0A58EAFE3A5}"/>
  </bookViews>
  <sheets>
    <sheet name="1-Page 148" sheetId="1" r:id="rId1"/>
    <sheet name="2-Page 148" sheetId="3" r:id="rId2"/>
    <sheet name="3-Page 148" sheetId="4" r:id="rId3"/>
    <sheet name="4-Page 150" sheetId="5" r:id="rId4"/>
    <sheet name="5-Page 152" sheetId="21" r:id="rId5"/>
    <sheet name="6-Page 153-154" sheetId="6" r:id="rId6"/>
    <sheet name="7-Page 155" sheetId="8" r:id="rId7"/>
    <sheet name="8-Page 155-Bottom" sheetId="9" r:id="rId8"/>
    <sheet name="9-Page 156" sheetId="11" r:id="rId9"/>
    <sheet name="10-Page 156-M" sheetId="10" r:id="rId10"/>
    <sheet name="11-Page 156-Bottom" sheetId="12" r:id="rId11"/>
    <sheet name="13-Page 160" sheetId="14" r:id="rId12"/>
    <sheet name="14-Page 166-167" sheetId="15" r:id="rId13"/>
    <sheet name="15-Page 168-169" sheetId="16" r:id="rId14"/>
    <sheet name="16-Page 170-171" sheetId="18" r:id="rId15"/>
    <sheet name="17-Page 172-173" sheetId="20" r:id="rId16"/>
    <sheet name="18-Page 174-177" sheetId="22" r:id="rId17"/>
    <sheet name="Sheet1" sheetId="23" r:id="rId18"/>
    <sheet name="." sheetId="13"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EmpAllocCont">'[1]7c. EmpAllocations 6-30-TY'!$I$14:$I$44</definedName>
    <definedName name="EmpAllocKey">'[1]7c. EmpAllocations 6-30-TY'!$A$14:$A$42</definedName>
    <definedName name="EmpAllocPct">'[1]7c. EmpAllocations 6-30-TY'!$K$14:$K$44</definedName>
    <definedName name="OLE_LINK1" localSheetId="18">'.'!#REF!</definedName>
    <definedName name="_xlnm.Print_Area" localSheetId="18">'.'!$B$4:$T$40</definedName>
    <definedName name="_xlnm.Print_Area" localSheetId="9">'10-Page 156-M'!$B$2:$N$14</definedName>
    <definedName name="_xlnm.Print_Area" localSheetId="10">'11-Page 156-Bottom'!$B$2:$H$15</definedName>
    <definedName name="_xlnm.Print_Area" localSheetId="11">'13-Page 160'!$B$4:$I$15</definedName>
    <definedName name="_xlnm.Print_Area" localSheetId="12">'14-Page 166-167'!$B$4:$AB$41</definedName>
    <definedName name="_xlnm.Print_Area" localSheetId="13">'15-Page 168-169'!$B$4:$AB$41</definedName>
    <definedName name="_xlnm.Print_Area" localSheetId="14">'16-Page 170-171'!$B$4:$AB$32</definedName>
    <definedName name="_xlnm.Print_Area" localSheetId="15">'17-Page 172-173'!$B$1:$P$53</definedName>
    <definedName name="_xlnm.Print_Area" localSheetId="16">'18-Page 174-177'!$B$2:$Q$74</definedName>
    <definedName name="_xlnm.Print_Area" localSheetId="0">'1-Page 148'!$A$1:$H$37</definedName>
    <definedName name="_xlnm.Print_Area" localSheetId="1">'2-Page 148'!$A$1:$F$28</definedName>
    <definedName name="_xlnm.Print_Area" localSheetId="2">'3-Page 148'!$A$1:$F$30</definedName>
    <definedName name="_xlnm.Print_Area" localSheetId="3">'4-Page 150'!$A$1:$G$19</definedName>
    <definedName name="_xlnm.Print_Area" localSheetId="4">'5-Page 152'!$B$2:$G$38</definedName>
    <definedName name="_xlnm.Print_Area" localSheetId="5">'6-Page 153-154'!$B$2:$I$80</definedName>
    <definedName name="_xlnm.Print_Area" localSheetId="6">'7-Page 155'!$B$2:$P$40</definedName>
    <definedName name="_xlnm.Print_Area" localSheetId="7">'8-Page 155-Bottom'!$B$2:$N$13</definedName>
    <definedName name="_xlnm.Print_Area" localSheetId="8">'9-Page 156'!$B$2:$N$11</definedName>
    <definedName name="RoundingPrecision">[1]WorkPage!$AI$2</definedName>
    <definedName name="Year" localSheetId="3">'4-Page 150'!#REF!</definedName>
    <definedName name="Year" localSheetId="5">'[1]12. ChangeProportion 2016'!$V$1</definedName>
    <definedName name="Year">'1-Page 148'!$K$1</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3" i="20" l="1"/>
  <c r="D45" i="20" s="1"/>
  <c r="F28" i="8" l="1"/>
  <c r="L28" i="8"/>
  <c r="H34" i="8"/>
  <c r="J10" i="8"/>
  <c r="H12" i="9" l="1"/>
  <c r="F12" i="9"/>
  <c r="D12" i="9"/>
  <c r="H11" i="9" l="1"/>
  <c r="F11" i="9"/>
  <c r="D11" i="9"/>
  <c r="E12" i="14" l="1"/>
  <c r="E11" i="14"/>
  <c r="E10" i="14"/>
  <c r="E9" i="14"/>
  <c r="F8" i="14"/>
  <c r="E8" i="14"/>
  <c r="D47" i="20"/>
  <c r="D38" i="20" l="1"/>
  <c r="D34" i="20"/>
  <c r="D29" i="20" l="1"/>
  <c r="D25" i="20" l="1"/>
  <c r="D20" i="20" l="1"/>
  <c r="D11" i="20" l="1"/>
  <c r="D7" i="20"/>
  <c r="D49" i="20" l="1"/>
  <c r="D40" i="20"/>
  <c r="D31" i="20"/>
  <c r="D13" i="20"/>
  <c r="D9" i="20" l="1"/>
  <c r="D27" i="20"/>
  <c r="D36" i="20"/>
  <c r="G27" i="18"/>
  <c r="G31" i="18" l="1"/>
  <c r="K26" i="18"/>
  <c r="I26" i="18" l="1"/>
  <c r="G13" i="18" l="1"/>
  <c r="G22" i="18" l="1"/>
  <c r="G18" i="18" l="1"/>
  <c r="G17" i="18" l="1"/>
  <c r="G8" i="18" l="1"/>
  <c r="G9" i="18" l="1"/>
  <c r="G20" i="18" l="1"/>
  <c r="Y13" i="16"/>
  <c r="Y16" i="16" s="1"/>
  <c r="Y30" i="16" s="1"/>
  <c r="Y38" i="16" s="1"/>
  <c r="AA13" i="16"/>
  <c r="AA16" i="16"/>
  <c r="Y25" i="16"/>
  <c r="Y28" i="16" s="1"/>
  <c r="AA25" i="16"/>
  <c r="AA28" i="16"/>
  <c r="AA30" i="16"/>
  <c r="AA33" i="16"/>
  <c r="AA38" i="16"/>
  <c r="G35" i="16"/>
  <c r="G19" i="16"/>
  <c r="G20" i="16"/>
  <c r="G21" i="16"/>
  <c r="G22" i="16"/>
  <c r="G23" i="16"/>
  <c r="G24" i="16"/>
  <c r="G15" i="16"/>
  <c r="G16" i="16"/>
  <c r="G7" i="16"/>
  <c r="G8" i="16"/>
  <c r="G9" i="16"/>
  <c r="G10" i="16"/>
  <c r="G11" i="16"/>
  <c r="G12" i="16"/>
  <c r="G19" i="15"/>
  <c r="G20" i="15"/>
  <c r="G21" i="15"/>
  <c r="G22" i="15"/>
  <c r="G23" i="15"/>
  <c r="G24" i="15"/>
  <c r="G15" i="15"/>
  <c r="G16" i="15"/>
  <c r="G7" i="15"/>
  <c r="G8" i="15"/>
  <c r="G9" i="15"/>
  <c r="G10" i="15"/>
  <c r="G11" i="15"/>
  <c r="G12" i="15"/>
  <c r="G35" i="15"/>
  <c r="G27" i="15"/>
  <c r="G13" i="16" l="1"/>
  <c r="G25" i="16"/>
  <c r="Y33" i="16"/>
  <c r="D12" i="13"/>
  <c r="E12" i="13"/>
  <c r="F12" i="13"/>
  <c r="G12" i="13"/>
  <c r="H12" i="13"/>
  <c r="I12" i="13"/>
  <c r="J12" i="13"/>
  <c r="K12" i="13"/>
  <c r="L12" i="13"/>
  <c r="M12" i="13"/>
  <c r="N12" i="13"/>
  <c r="O12" i="13"/>
  <c r="P12" i="13"/>
  <c r="Q12" i="13"/>
  <c r="D13" i="13"/>
  <c r="E13" i="13"/>
  <c r="F13" i="13"/>
  <c r="G13" i="13"/>
  <c r="H13" i="13"/>
  <c r="I13" i="13"/>
  <c r="J13" i="13"/>
  <c r="K13" i="13"/>
  <c r="L13" i="13"/>
  <c r="M13" i="13"/>
  <c r="N13" i="13"/>
  <c r="O13" i="13"/>
  <c r="P13" i="13"/>
  <c r="Q13" i="13"/>
  <c r="D16" i="13"/>
  <c r="E16" i="13"/>
  <c r="F16" i="13"/>
  <c r="G16" i="13"/>
  <c r="H16" i="13"/>
  <c r="I16" i="13"/>
  <c r="J16" i="13"/>
  <c r="K16" i="13"/>
  <c r="L16" i="13"/>
  <c r="M16" i="13"/>
  <c r="N16" i="13"/>
  <c r="O16" i="13"/>
  <c r="P16" i="13"/>
  <c r="Q16" i="13"/>
  <c r="D20" i="13"/>
  <c r="E20" i="13"/>
  <c r="F20" i="13"/>
  <c r="G20" i="13"/>
  <c r="H20" i="13"/>
  <c r="I20" i="13"/>
  <c r="L20" i="13"/>
  <c r="M20" i="13"/>
  <c r="N20" i="13"/>
  <c r="O20" i="13"/>
  <c r="P20" i="13"/>
  <c r="Q20" i="13"/>
  <c r="F38" i="13" l="1"/>
  <c r="I38" i="13"/>
  <c r="L38" i="13"/>
  <c r="P21" i="13"/>
  <c r="S13" i="13" l="1"/>
  <c r="S12" i="13"/>
  <c r="G25" i="15" l="1"/>
  <c r="G28" i="15" s="1"/>
  <c r="G33" i="15" s="1"/>
  <c r="G13" i="15"/>
  <c r="G30" i="15" l="1"/>
  <c r="G38" i="15" s="1"/>
  <c r="F30" i="13"/>
  <c r="I30" i="13"/>
  <c r="L30" i="13"/>
  <c r="F31" i="13"/>
  <c r="I31" i="13"/>
  <c r="L31" i="13"/>
  <c r="F34" i="13"/>
  <c r="I34" i="13"/>
  <c r="L34" i="13"/>
  <c r="T34" i="13"/>
  <c r="E13" i="12"/>
  <c r="E12" i="12" l="1"/>
  <c r="E11" i="12" l="1"/>
  <c r="E10" i="12" l="1"/>
  <c r="E9" i="12" l="1"/>
  <c r="G13" i="12" l="1"/>
  <c r="G12" i="12"/>
  <c r="G11" i="12"/>
  <c r="G10" i="12"/>
  <c r="G9" i="12"/>
  <c r="G14" i="12" l="1"/>
  <c r="H10" i="11"/>
  <c r="H9" i="11"/>
  <c r="F13" i="10" l="1"/>
  <c r="H13" i="10"/>
  <c r="D13" i="10"/>
  <c r="F10" i="11" l="1"/>
  <c r="F9" i="11"/>
  <c r="H12" i="10" l="1"/>
  <c r="F12" i="10"/>
  <c r="D12" i="10"/>
  <c r="D10" i="11"/>
  <c r="G11" i="18" s="1"/>
  <c r="D9" i="11"/>
  <c r="G7" i="18" l="1"/>
  <c r="H11" i="10"/>
  <c r="F11" i="10"/>
  <c r="D11" i="10"/>
  <c r="N37" i="8" l="1"/>
  <c r="N36" i="8"/>
  <c r="N35" i="8"/>
  <c r="N34" i="8"/>
  <c r="N33" i="8"/>
  <c r="N32" i="8"/>
  <c r="L35" i="8"/>
  <c r="L31" i="8"/>
  <c r="L30" i="8"/>
  <c r="L29" i="8"/>
  <c r="L27" i="8"/>
  <c r="H37" i="8" l="1"/>
  <c r="H36" i="8"/>
  <c r="H35" i="8"/>
  <c r="H33" i="8"/>
  <c r="H32" i="8"/>
  <c r="F35" i="8"/>
  <c r="F31" i="8"/>
  <c r="F30" i="8"/>
  <c r="F29" i="8"/>
  <c r="F27" i="8"/>
  <c r="P22" i="8"/>
  <c r="P21" i="8"/>
  <c r="P20" i="8"/>
  <c r="P19" i="8"/>
  <c r="P18" i="8"/>
  <c r="P17" i="8"/>
  <c r="P16" i="8"/>
  <c r="P15" i="8"/>
  <c r="P14" i="8"/>
  <c r="P13" i="8"/>
  <c r="P12" i="8"/>
  <c r="J22" i="8"/>
  <c r="J21" i="8"/>
  <c r="J20" i="8"/>
  <c r="J19" i="8"/>
  <c r="J18" i="8"/>
  <c r="J17" i="8"/>
  <c r="J16" i="8"/>
  <c r="J15" i="8"/>
  <c r="J14" i="8"/>
  <c r="J13" i="8"/>
  <c r="J12" i="8"/>
  <c r="F10" i="8"/>
  <c r="G10" i="8"/>
  <c r="H10" i="8"/>
  <c r="I10" i="8"/>
  <c r="K10" i="8"/>
  <c r="L10" i="8"/>
  <c r="M10" i="8"/>
  <c r="N10" i="8"/>
  <c r="O10" i="8"/>
  <c r="P10" i="8"/>
  <c r="F38" i="8" l="1"/>
  <c r="F13" i="5"/>
  <c r="F14" i="5"/>
  <c r="F15" i="5"/>
  <c r="F16" i="5"/>
  <c r="F12" i="5"/>
  <c r="E13" i="5"/>
  <c r="E14" i="5"/>
  <c r="E15" i="5"/>
  <c r="E16" i="5"/>
  <c r="E12" i="5"/>
  <c r="F17" i="5" l="1"/>
  <c r="E17" i="5"/>
  <c r="D14" i="5"/>
  <c r="D15" i="5"/>
  <c r="D16" i="5"/>
  <c r="D12" i="5"/>
  <c r="C13" i="5"/>
  <c r="C14" i="5"/>
  <c r="C15" i="5"/>
  <c r="C16" i="5"/>
  <c r="C12" i="5"/>
  <c r="D16" i="4" l="1"/>
  <c r="D15" i="4"/>
  <c r="C16" i="4"/>
  <c r="C15" i="4"/>
  <c r="D12" i="4" l="1"/>
  <c r="D11" i="4"/>
  <c r="C12" i="4"/>
  <c r="C11" i="4"/>
  <c r="E26" i="4" l="1"/>
  <c r="E25" i="4"/>
  <c r="E24" i="4"/>
  <c r="E22" i="4"/>
  <c r="E21" i="4"/>
  <c r="E20" i="4"/>
  <c r="H78" i="6" l="1"/>
  <c r="H75" i="6"/>
  <c r="H76" i="6"/>
  <c r="H77" i="6"/>
  <c r="H74" i="6"/>
  <c r="H71" i="6"/>
  <c r="H72" i="6"/>
  <c r="H73" i="6"/>
  <c r="H70" i="6"/>
  <c r="H59" i="6" l="1"/>
  <c r="H60" i="6"/>
  <c r="H61" i="6"/>
  <c r="H62" i="6"/>
  <c r="H58" i="6"/>
  <c r="H55" i="6"/>
  <c r="H56" i="6"/>
  <c r="H57" i="6"/>
  <c r="H54" i="6"/>
  <c r="H44" i="6" l="1"/>
  <c r="H45" i="6"/>
  <c r="H46" i="6"/>
  <c r="H43" i="6"/>
  <c r="H40" i="6"/>
  <c r="H41" i="6"/>
  <c r="H42" i="6"/>
  <c r="H39" i="6"/>
  <c r="H29" i="6" l="1"/>
  <c r="H30" i="6"/>
  <c r="H31" i="6"/>
  <c r="H28" i="6"/>
  <c r="H25" i="6"/>
  <c r="H26" i="6"/>
  <c r="H27" i="6"/>
  <c r="H24" i="6"/>
  <c r="H16" i="6" l="1"/>
  <c r="H14" i="6"/>
  <c r="H15" i="6"/>
  <c r="H13" i="6"/>
  <c r="H10" i="6"/>
  <c r="H11" i="6"/>
  <c r="H12" i="6"/>
  <c r="H9" i="6"/>
  <c r="E24" i="3" l="1"/>
  <c r="E23" i="3"/>
  <c r="E22" i="3"/>
  <c r="E21" i="3"/>
  <c r="E20" i="3"/>
  <c r="E19" i="3"/>
  <c r="D24" i="3"/>
  <c r="C24" i="3"/>
  <c r="D16" i="3"/>
  <c r="F15" i="1"/>
  <c r="E15" i="1"/>
  <c r="D15" i="1"/>
  <c r="C15" i="1"/>
  <c r="F14" i="1" l="1"/>
  <c r="E14" i="1"/>
  <c r="D14" i="1"/>
  <c r="C14" i="1"/>
  <c r="G14" i="1" l="1"/>
  <c r="F13" i="1"/>
  <c r="E13" i="1"/>
  <c r="D13" i="1"/>
  <c r="C13" i="1"/>
  <c r="G13" i="1" l="1"/>
  <c r="F12" i="1"/>
  <c r="E12" i="1"/>
  <c r="D12" i="1"/>
  <c r="C12" i="1"/>
  <c r="F11" i="1" l="1"/>
  <c r="E11" i="1" l="1"/>
  <c r="D11" i="1"/>
  <c r="C11" i="1"/>
  <c r="M18" i="1" l="1"/>
  <c r="M19" i="1"/>
  <c r="G24" i="1"/>
  <c r="G23" i="1"/>
  <c r="G22" i="1"/>
  <c r="G21" i="1"/>
  <c r="G20" i="1"/>
  <c r="G19" i="1"/>
  <c r="F24" i="1"/>
  <c r="E24" i="1"/>
  <c r="D24" i="1"/>
  <c r="C24" i="1"/>
  <c r="G12" i="1"/>
  <c r="E29" i="20" l="1"/>
  <c r="E20" i="20"/>
  <c r="I22" i="18"/>
  <c r="I25" i="18"/>
  <c r="I7" i="18"/>
  <c r="I16" i="18"/>
  <c r="P23" i="8" l="1"/>
  <c r="P24" i="8" s="1"/>
  <c r="N23" i="8"/>
  <c r="N24" i="8" s="1"/>
  <c r="L23" i="8"/>
  <c r="L24" i="8" s="1"/>
  <c r="H23" i="8"/>
  <c r="H24" i="8" s="1"/>
  <c r="F23" i="8"/>
  <c r="F24" i="8" s="1"/>
  <c r="E11" i="20" l="1"/>
  <c r="E7" i="20"/>
  <c r="I8" i="3" l="1"/>
  <c r="D17" i="4" l="1"/>
  <c r="C17" i="4"/>
  <c r="E16" i="4"/>
  <c r="E15" i="4"/>
  <c r="D13" i="4"/>
  <c r="C13" i="4"/>
  <c r="E12" i="4"/>
  <c r="E11" i="4"/>
  <c r="D26" i="4"/>
  <c r="C26" i="4"/>
  <c r="D22" i="4"/>
  <c r="C22" i="4"/>
  <c r="E13" i="4" l="1"/>
  <c r="E17" i="4"/>
  <c r="T16" i="13"/>
  <c r="T13" i="13" l="1"/>
  <c r="T12" i="13"/>
  <c r="S16" i="13"/>
  <c r="E47" i="20"/>
  <c r="E43" i="20"/>
  <c r="E38" i="20" l="1"/>
  <c r="E34" i="20"/>
  <c r="E25" i="20" l="1"/>
  <c r="E9" i="20" l="1"/>
  <c r="E40" i="20"/>
  <c r="E31" i="20"/>
  <c r="E49" i="20" l="1"/>
  <c r="E27" i="20"/>
  <c r="E36" i="20"/>
  <c r="E45" i="20"/>
  <c r="I27" i="18"/>
  <c r="I18" i="18" l="1"/>
  <c r="I17" i="18" l="1"/>
  <c r="I20" i="18" s="1"/>
  <c r="I9" i="18" l="1"/>
  <c r="I13" i="18" l="1"/>
  <c r="I8" i="18"/>
  <c r="I11" i="18" s="1"/>
  <c r="I35" i="16" l="1"/>
  <c r="I27" i="16"/>
  <c r="I24" i="16"/>
  <c r="I23" i="16"/>
  <c r="I22" i="16"/>
  <c r="I21" i="16"/>
  <c r="I20" i="16"/>
  <c r="I19" i="16"/>
  <c r="I15" i="16"/>
  <c r="I7" i="16"/>
  <c r="I12" i="16"/>
  <c r="I11" i="16"/>
  <c r="I10" i="16"/>
  <c r="I9" i="16"/>
  <c r="I8" i="16"/>
  <c r="I13" i="16" l="1"/>
  <c r="I35" i="15"/>
  <c r="I27" i="15"/>
  <c r="I19" i="15"/>
  <c r="I20" i="15"/>
  <c r="I21" i="15"/>
  <c r="I22" i="15"/>
  <c r="I23" i="15"/>
  <c r="I24" i="15"/>
  <c r="I15" i="15"/>
  <c r="I16" i="15"/>
  <c r="I7" i="15"/>
  <c r="I8" i="15"/>
  <c r="I9" i="15"/>
  <c r="I10" i="15"/>
  <c r="I11" i="15"/>
  <c r="I12" i="15"/>
  <c r="I25" i="15" l="1"/>
  <c r="I28" i="15" s="1"/>
  <c r="I13" i="15" l="1"/>
  <c r="I33" i="15"/>
  <c r="I30" i="15"/>
  <c r="I38" i="15" s="1"/>
  <c r="G25" i="18" l="1"/>
  <c r="G26" i="18" s="1"/>
  <c r="G29" i="18" s="1"/>
  <c r="G16" i="18" l="1"/>
  <c r="K14" i="5" l="1"/>
  <c r="K15" i="5"/>
  <c r="K16" i="5"/>
  <c r="J13" i="5"/>
  <c r="J14" i="5"/>
  <c r="J15" i="5"/>
  <c r="J16" i="5"/>
  <c r="L12" i="5"/>
  <c r="L13" i="5"/>
  <c r="L14" i="5"/>
  <c r="L15" i="5"/>
  <c r="L16" i="5"/>
  <c r="C17" i="5" l="1"/>
  <c r="K12" i="5"/>
  <c r="J12" i="5"/>
  <c r="E16" i="1" l="1"/>
  <c r="C16" i="1"/>
  <c r="F25" i="20"/>
  <c r="F7" i="20" l="1"/>
  <c r="M13" i="5" l="1"/>
  <c r="G16" i="20" l="1"/>
  <c r="G18" i="20" s="1"/>
  <c r="F27" i="20" l="1"/>
  <c r="F9" i="20"/>
  <c r="F20" i="20" l="1"/>
  <c r="K18" i="18"/>
  <c r="F43" i="20" l="1"/>
  <c r="F47" i="20"/>
  <c r="F38" i="20"/>
  <c r="F34" i="20"/>
  <c r="F36" i="20" s="1"/>
  <c r="F40" i="20" l="1"/>
  <c r="F49" i="20"/>
  <c r="F45" i="20"/>
  <c r="K31" i="18"/>
  <c r="F29" i="20" l="1"/>
  <c r="F31" i="20" s="1"/>
  <c r="K27" i="18"/>
  <c r="K22" i="18" l="1"/>
  <c r="K17" i="18" l="1"/>
  <c r="K20" i="18" s="1"/>
  <c r="K13" i="18"/>
  <c r="K35" i="15" l="1"/>
  <c r="K27" i="15"/>
  <c r="K20" i="15"/>
  <c r="K21" i="15"/>
  <c r="K22" i="15"/>
  <c r="K23" i="15"/>
  <c r="K24" i="15"/>
  <c r="K19" i="15"/>
  <c r="K16" i="15"/>
  <c r="K15" i="15"/>
  <c r="K8" i="15"/>
  <c r="K9" i="15"/>
  <c r="K10" i="15"/>
  <c r="K11" i="15"/>
  <c r="K12" i="15"/>
  <c r="K7" i="15"/>
  <c r="K13" i="15" l="1"/>
  <c r="I25" i="16"/>
  <c r="I28" i="16" s="1"/>
  <c r="G27" i="16" s="1"/>
  <c r="G28" i="16" s="1"/>
  <c r="I16" i="16"/>
  <c r="K25" i="15"/>
  <c r="K28" i="15" s="1"/>
  <c r="K33" i="15" s="1"/>
  <c r="G30" i="16" l="1"/>
  <c r="G38" i="16" s="1"/>
  <c r="G33" i="16"/>
  <c r="I30" i="16"/>
  <c r="I38" i="16" s="1"/>
  <c r="K30" i="15"/>
  <c r="K38" i="15" s="1"/>
  <c r="I33" i="16"/>
  <c r="P37" i="8" l="1"/>
  <c r="J37" i="8"/>
  <c r="P36" i="8"/>
  <c r="J36" i="8"/>
  <c r="P34" i="8"/>
  <c r="J34" i="8"/>
  <c r="P33" i="8"/>
  <c r="J33" i="8"/>
  <c r="P32" i="8"/>
  <c r="J32" i="8"/>
  <c r="P31" i="8"/>
  <c r="J31" i="8"/>
  <c r="P30" i="8"/>
  <c r="J30" i="8"/>
  <c r="P29" i="8"/>
  <c r="J29" i="8"/>
  <c r="P28" i="8"/>
  <c r="J28" i="8"/>
  <c r="J27" i="8"/>
  <c r="J23" i="8" s="1"/>
  <c r="J24" i="8" s="1"/>
  <c r="E63" i="6"/>
  <c r="E47" i="6"/>
  <c r="E32" i="6"/>
  <c r="E17" i="6"/>
  <c r="J35" i="8" l="1"/>
  <c r="J38" i="8" s="1"/>
  <c r="P35" i="8"/>
  <c r="L38" i="8"/>
  <c r="N38" i="8"/>
  <c r="P27" i="8"/>
  <c r="H38" i="8"/>
  <c r="H39" i="8" s="1"/>
  <c r="M14" i="5"/>
  <c r="M15" i="5"/>
  <c r="M16" i="5"/>
  <c r="M12" i="5"/>
  <c r="P38" i="8" l="1"/>
  <c r="E11" i="3" l="1"/>
  <c r="B26" i="1" l="1"/>
  <c r="L19" i="4" l="1"/>
  <c r="L18" i="4"/>
  <c r="J18" i="4"/>
  <c r="J19" i="4"/>
  <c r="I10" i="4"/>
  <c r="I11" i="4"/>
  <c r="M11" i="4"/>
  <c r="I12" i="4" l="1"/>
  <c r="M9" i="1" l="1"/>
  <c r="B18" i="1"/>
  <c r="M19" i="4" l="1"/>
  <c r="N19" i="4" s="1"/>
  <c r="I19" i="4"/>
  <c r="K19" i="4" s="1"/>
  <c r="M18" i="4"/>
  <c r="J20" i="4"/>
  <c r="I18" i="4"/>
  <c r="K18" i="4" s="1"/>
  <c r="M10" i="4"/>
  <c r="M12" i="4" s="1"/>
  <c r="L11" i="4"/>
  <c r="L10" i="4"/>
  <c r="J11" i="4"/>
  <c r="K11" i="4" s="1"/>
  <c r="J10" i="4"/>
  <c r="M15" i="3"/>
  <c r="L15" i="3"/>
  <c r="K15" i="3"/>
  <c r="J15" i="3"/>
  <c r="I15" i="3"/>
  <c r="M14" i="3"/>
  <c r="M16" i="3" s="1"/>
  <c r="L14" i="3"/>
  <c r="K14" i="3"/>
  <c r="K16" i="3" s="1"/>
  <c r="J14" i="3"/>
  <c r="I14" i="3"/>
  <c r="I16" i="3" s="1"/>
  <c r="M8" i="3"/>
  <c r="L8" i="3"/>
  <c r="K8" i="3"/>
  <c r="J8" i="3"/>
  <c r="M7" i="3"/>
  <c r="L7" i="3"/>
  <c r="K7" i="3"/>
  <c r="K9" i="3" s="1"/>
  <c r="J7" i="3"/>
  <c r="I7" i="3"/>
  <c r="L17" i="5" l="1"/>
  <c r="L9" i="3"/>
  <c r="J17" i="5"/>
  <c r="L12" i="4"/>
  <c r="N12" i="4" s="1"/>
  <c r="N8" i="3"/>
  <c r="J12" i="4"/>
  <c r="K12" i="4" s="1"/>
  <c r="M20" i="4"/>
  <c r="M17" i="5"/>
  <c r="L16" i="3"/>
  <c r="N11" i="4"/>
  <c r="K10" i="4"/>
  <c r="N18" i="4"/>
  <c r="I20" i="4"/>
  <c r="K20" i="4" s="1"/>
  <c r="L20" i="4"/>
  <c r="N10" i="4"/>
  <c r="N7" i="3"/>
  <c r="M9" i="3"/>
  <c r="J9" i="3"/>
  <c r="J16" i="3"/>
  <c r="N16" i="3" s="1"/>
  <c r="N15" i="3"/>
  <c r="N14" i="3"/>
  <c r="I9" i="3"/>
  <c r="Q21" i="1"/>
  <c r="P21" i="1"/>
  <c r="O21" i="1"/>
  <c r="N21" i="1"/>
  <c r="M21" i="1"/>
  <c r="Q20" i="1"/>
  <c r="P20" i="1"/>
  <c r="O20" i="1"/>
  <c r="N20" i="1"/>
  <c r="M20" i="1"/>
  <c r="Q19" i="1"/>
  <c r="P19" i="1"/>
  <c r="O19" i="1"/>
  <c r="N19" i="1"/>
  <c r="Q18" i="1"/>
  <c r="P18" i="1"/>
  <c r="O18" i="1"/>
  <c r="N18" i="1"/>
  <c r="Q12" i="1"/>
  <c r="Q11" i="1"/>
  <c r="Q10" i="1"/>
  <c r="Q9" i="1"/>
  <c r="P12" i="1"/>
  <c r="P11" i="1"/>
  <c r="P10" i="1"/>
  <c r="P9" i="1"/>
  <c r="O12" i="1"/>
  <c r="O11" i="1"/>
  <c r="O10" i="1"/>
  <c r="O9" i="1"/>
  <c r="N12" i="1"/>
  <c r="N11" i="1"/>
  <c r="N10" i="1"/>
  <c r="N9" i="1"/>
  <c r="M12" i="1"/>
  <c r="M11" i="1"/>
  <c r="M10" i="1"/>
  <c r="N20" i="4" l="1"/>
  <c r="R10" i="1"/>
  <c r="R12" i="1"/>
  <c r="R9" i="1"/>
  <c r="N9" i="3"/>
  <c r="R20" i="1"/>
  <c r="R21" i="1"/>
  <c r="R18" i="1"/>
  <c r="R19" i="1"/>
  <c r="R11" i="1"/>
  <c r="G22" i="20" l="1"/>
  <c r="G9" i="20" l="1"/>
  <c r="G13" i="20"/>
  <c r="G31" i="20" l="1"/>
  <c r="M29" i="18" l="1"/>
  <c r="M20" i="18"/>
  <c r="M11" i="18"/>
  <c r="M25" i="15" l="1"/>
  <c r="M28" i="15" s="1"/>
  <c r="M30" i="15" s="1"/>
  <c r="M13" i="15"/>
  <c r="O13" i="15"/>
  <c r="M38" i="15" l="1"/>
  <c r="M33" i="15"/>
  <c r="M25" i="16" l="1"/>
  <c r="M28" i="16" s="1"/>
  <c r="M13" i="16"/>
  <c r="M16" i="16" s="1"/>
  <c r="M33" i="16" l="1"/>
  <c r="M30" i="16"/>
  <c r="M38" i="16" s="1"/>
  <c r="Q22" i="1" l="1"/>
  <c r="N22" i="1"/>
  <c r="W25" i="16" l="1"/>
  <c r="U25" i="16"/>
  <c r="S25" i="16"/>
  <c r="Q25" i="16"/>
  <c r="O25" i="16"/>
  <c r="O28" i="16" s="1"/>
  <c r="W13" i="16"/>
  <c r="U13" i="16"/>
  <c r="S13" i="16"/>
  <c r="Q13" i="16"/>
  <c r="O13" i="16"/>
  <c r="AA25" i="15"/>
  <c r="Y25" i="15"/>
  <c r="W25" i="15"/>
  <c r="U25" i="15"/>
  <c r="S25" i="15"/>
  <c r="Q25" i="15"/>
  <c r="U13" i="15"/>
  <c r="Q13" i="15"/>
  <c r="S13" i="15"/>
  <c r="W13" i="15"/>
  <c r="Y13" i="15"/>
  <c r="AA13" i="15"/>
  <c r="X28" i="16" l="1"/>
  <c r="U28" i="16"/>
  <c r="S28" i="16"/>
  <c r="R28" i="16"/>
  <c r="Q28" i="16"/>
  <c r="W28" i="16"/>
  <c r="X16" i="16"/>
  <c r="U16" i="16"/>
  <c r="U30" i="16" s="1"/>
  <c r="U38" i="16" s="1"/>
  <c r="S16" i="16"/>
  <c r="R16" i="16"/>
  <c r="Q16" i="16"/>
  <c r="W16" i="16"/>
  <c r="W30" i="16" s="1"/>
  <c r="W38" i="16" s="1"/>
  <c r="O16" i="16"/>
  <c r="O30" i="16" s="1"/>
  <c r="X28" i="15"/>
  <c r="U28" i="15"/>
  <c r="S28" i="15"/>
  <c r="R28" i="15"/>
  <c r="Q28" i="15"/>
  <c r="X16" i="15"/>
  <c r="U16" i="15"/>
  <c r="S16" i="15"/>
  <c r="R16" i="15"/>
  <c r="Q16" i="15"/>
  <c r="AA28" i="15"/>
  <c r="Y28" i="15"/>
  <c r="W28" i="15"/>
  <c r="O25" i="15"/>
  <c r="O28" i="15" s="1"/>
  <c r="AA16" i="15"/>
  <c r="AA30" i="15" s="1"/>
  <c r="AA38" i="15" s="1"/>
  <c r="Y16" i="15"/>
  <c r="Y30" i="15" s="1"/>
  <c r="Y38" i="15" s="1"/>
  <c r="W16" i="15"/>
  <c r="O16" i="15"/>
  <c r="O30" i="15" l="1"/>
  <c r="O38" i="15" s="1"/>
  <c r="Q30" i="15"/>
  <c r="Q38" i="15" s="1"/>
  <c r="S30" i="16"/>
  <c r="S38" i="16" s="1"/>
  <c r="Q30" i="16"/>
  <c r="Q38" i="16" s="1"/>
  <c r="O38" i="16"/>
  <c r="U33" i="15"/>
  <c r="U33" i="16"/>
  <c r="Q33" i="16"/>
  <c r="O33" i="16"/>
  <c r="W33" i="16"/>
  <c r="S33" i="16"/>
  <c r="S33" i="15"/>
  <c r="S30" i="15"/>
  <c r="S38" i="15" s="1"/>
  <c r="W30" i="15"/>
  <c r="W38" i="15" s="1"/>
  <c r="Q33" i="15"/>
  <c r="U30" i="15"/>
  <c r="U38" i="15" s="1"/>
  <c r="W33" i="15"/>
  <c r="Y33" i="15"/>
  <c r="AA33" i="15"/>
  <c r="O33" i="15"/>
  <c r="B9" i="14" l="1"/>
  <c r="B10" i="14" s="1"/>
  <c r="B11" i="14" s="1"/>
  <c r="B12" i="14" s="1"/>
  <c r="E21" i="13" l="1"/>
  <c r="Q21" i="13"/>
  <c r="N21" i="13"/>
  <c r="M21" i="13"/>
  <c r="H21" i="13"/>
  <c r="G21" i="13"/>
  <c r="D21" i="13"/>
  <c r="H43" i="13" l="1"/>
  <c r="E43" i="13"/>
  <c r="Q43" i="13"/>
  <c r="N43" i="13"/>
  <c r="B18" i="3" l="1"/>
  <c r="B10" i="3"/>
  <c r="B10" i="1"/>
  <c r="C16" i="3" l="1"/>
  <c r="E15" i="3"/>
  <c r="E14" i="3"/>
  <c r="E13" i="3"/>
  <c r="E12" i="3"/>
  <c r="F32" i="1"/>
  <c r="E32" i="1"/>
  <c r="D32" i="1"/>
  <c r="C32" i="1"/>
  <c r="G31" i="1"/>
  <c r="G30" i="1"/>
  <c r="G29" i="1"/>
  <c r="G28" i="1"/>
  <c r="G27" i="1"/>
  <c r="P22" i="1"/>
  <c r="O22" i="1"/>
  <c r="M22" i="1"/>
  <c r="F16" i="1"/>
  <c r="D16" i="1"/>
  <c r="G15" i="1"/>
  <c r="P13" i="1"/>
  <c r="O13" i="1"/>
  <c r="N13" i="1"/>
  <c r="G11" i="1"/>
  <c r="M13" i="1" l="1"/>
  <c r="G16" i="1"/>
  <c r="E16" i="3"/>
  <c r="Q13" i="1"/>
  <c r="R13" i="1" s="1"/>
  <c r="R22" i="1"/>
  <c r="G32" i="1"/>
  <c r="K8" i="18" l="1"/>
  <c r="F16" i="20" l="1"/>
  <c r="F22" i="20" s="1"/>
  <c r="K29" i="18" l="1"/>
  <c r="F18" i="20"/>
  <c r="I31" i="18" l="1"/>
  <c r="I29" i="18" l="1"/>
  <c r="E13" i="20" l="1"/>
  <c r="F11" i="20" l="1"/>
  <c r="K9" i="18"/>
  <c r="K11" i="18" s="1"/>
  <c r="F13" i="20" l="1"/>
  <c r="F39" i="8" l="1"/>
  <c r="N39" i="8"/>
  <c r="L39" i="8"/>
  <c r="J39" i="8"/>
  <c r="P39" i="8" l="1"/>
  <c r="E14" i="12" l="1"/>
  <c r="E16" i="20" l="1"/>
  <c r="E22" i="20" l="1"/>
  <c r="E18" i="20"/>
  <c r="M34" i="13"/>
  <c r="E38" i="13"/>
  <c r="K38" i="13" l="1"/>
  <c r="J38" i="13"/>
  <c r="H38" i="13"/>
  <c r="G38" i="13"/>
  <c r="D38" i="13"/>
  <c r="P34" i="13"/>
  <c r="J34" i="13"/>
  <c r="G34" i="13"/>
  <c r="D34" i="13"/>
  <c r="P31" i="13"/>
  <c r="N31" i="13"/>
  <c r="M31" i="13"/>
  <c r="K31" i="13"/>
  <c r="H31" i="13"/>
  <c r="E31" i="13"/>
  <c r="D31" i="13"/>
  <c r="Q30" i="13"/>
  <c r="Q39" i="13" s="1"/>
  <c r="P30" i="13"/>
  <c r="N30" i="13"/>
  <c r="M30" i="13"/>
  <c r="M39" i="13" s="1"/>
  <c r="K30" i="13"/>
  <c r="J30" i="13"/>
  <c r="H30" i="13"/>
  <c r="G30" i="13"/>
  <c r="E30" i="13"/>
  <c r="D30" i="13"/>
  <c r="K39" i="13" l="1"/>
  <c r="N39" i="13"/>
  <c r="E39" i="13"/>
  <c r="D39" i="13"/>
  <c r="J39" i="13"/>
  <c r="G39" i="13"/>
  <c r="P39" i="13"/>
  <c r="H39" i="13"/>
  <c r="S31" i="13"/>
  <c r="T31" i="13"/>
  <c r="S38" i="13"/>
  <c r="S30" i="13"/>
  <c r="T38" i="13"/>
  <c r="T30" i="13"/>
  <c r="S34" i="13"/>
  <c r="T39" i="13" l="1"/>
  <c r="S39" i="13"/>
  <c r="N13" i="10" l="1"/>
  <c r="L13" i="10"/>
  <c r="J13" i="10"/>
  <c r="N12" i="10" l="1"/>
  <c r="L12" i="10"/>
  <c r="J12" i="10"/>
  <c r="J11" i="10" l="1"/>
  <c r="L11" i="10"/>
  <c r="N11" i="10"/>
  <c r="K20" i="13" l="1"/>
  <c r="T20" i="13" l="1"/>
  <c r="T21" i="13" s="1"/>
  <c r="K21" i="13"/>
  <c r="J20" i="13" l="1"/>
  <c r="S20" i="13" l="1"/>
  <c r="S21" i="13" s="1"/>
  <c r="T43" i="13" s="1"/>
  <c r="J21" i="13"/>
  <c r="K43" i="13" s="1"/>
  <c r="H12" i="14" l="1"/>
  <c r="G12" i="14" l="1"/>
  <c r="F12" i="14" l="1"/>
  <c r="D12" i="14" l="1"/>
  <c r="I12" i="14" s="1"/>
  <c r="D13" i="14" l="1"/>
  <c r="F13" i="14"/>
  <c r="E13" i="14"/>
  <c r="E14" i="14" s="1"/>
  <c r="H11" i="14"/>
  <c r="F11" i="14"/>
  <c r="F10" i="14" l="1"/>
  <c r="F9" i="14"/>
  <c r="G13" i="14"/>
  <c r="H10" i="14"/>
  <c r="G9" i="14"/>
  <c r="H8" i="14"/>
  <c r="F14" i="14" l="1"/>
  <c r="G10" i="14"/>
  <c r="G11" i="14"/>
  <c r="G8" i="14"/>
  <c r="H9" i="14"/>
  <c r="G14" i="14" l="1"/>
  <c r="H13" i="14"/>
  <c r="I13" i="14" s="1"/>
  <c r="H14" i="14" l="1"/>
  <c r="D9" i="14"/>
  <c r="I9" i="14" s="1"/>
  <c r="D10" i="14"/>
  <c r="I10" i="14" s="1"/>
  <c r="D8" i="14"/>
  <c r="D11" i="14"/>
  <c r="I11" i="14" s="1"/>
  <c r="D14" i="14" l="1"/>
  <c r="I8" i="14"/>
  <c r="I14" i="14" s="1"/>
  <c r="D16" i="20" l="1"/>
  <c r="D22" i="20" l="1"/>
  <c r="D18" i="20"/>
  <c r="D13" i="5" l="1"/>
  <c r="D17" i="5" l="1"/>
  <c r="K13" i="5"/>
  <c r="K1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Xuiqiong (Annie) Liu</author>
    <author>Rachel Lu</author>
  </authors>
  <commentList>
    <comment ref="F28" authorId="0" shapeId="0" xr:uid="{3355BFC3-23BC-457F-A385-B30E17181A55}">
      <text>
        <r>
          <rPr>
            <sz val="11"/>
            <color indexed="81"/>
            <rFont val="Tahoma"/>
            <family val="2"/>
          </rPr>
          <t>Adjusted for rounding</t>
        </r>
      </text>
    </comment>
    <comment ref="L28" authorId="1" shapeId="0" xr:uid="{2DA4C0DA-0E19-4E24-B41D-E2F08FA3E00D}">
      <text>
        <r>
          <rPr>
            <b/>
            <sz val="11"/>
            <color indexed="81"/>
            <rFont val="Tahoma"/>
            <charset val="1"/>
          </rPr>
          <t>adjusted for rounding</t>
        </r>
      </text>
    </comment>
    <comment ref="H34" authorId="1" shapeId="0" xr:uid="{40F3DD24-A7F8-41E2-AEA8-817EAEC880F2}">
      <text>
        <r>
          <rPr>
            <b/>
            <sz val="11"/>
            <color indexed="81"/>
            <rFont val="Tahoma"/>
            <charset val="1"/>
          </rPr>
          <t>adjusted for rounding</t>
        </r>
        <r>
          <rPr>
            <sz val="11"/>
            <color indexed="81"/>
            <rFont val="Tahoma"/>
            <charset val="1"/>
          </rPr>
          <t xml:space="preserve">
</t>
        </r>
      </text>
    </comment>
  </commentList>
</comments>
</file>

<file path=xl/sharedStrings.xml><?xml version="1.0" encoding="utf-8"?>
<sst xmlns="http://schemas.openxmlformats.org/spreadsheetml/2006/main" count="1236" uniqueCount="364">
  <si>
    <t>Retirement System</t>
  </si>
  <si>
    <t>Group</t>
  </si>
  <si>
    <t>Active</t>
  </si>
  <si>
    <t>Total</t>
  </si>
  <si>
    <t>NYCERS</t>
  </si>
  <si>
    <t>TRS</t>
  </si>
  <si>
    <t>BERS</t>
  </si>
  <si>
    <t>POLICE</t>
  </si>
  <si>
    <t>FIRE</t>
  </si>
  <si>
    <t>QPP Membership as of June 30</t>
  </si>
  <si>
    <t>NYCERS VSF Membership as of June 30</t>
  </si>
  <si>
    <t>TPOVSF</t>
  </si>
  <si>
    <t>TPSOVSF</t>
  </si>
  <si>
    <t>HPOVSF</t>
  </si>
  <si>
    <t>HPSOVSF</t>
  </si>
  <si>
    <t>COVSF</t>
  </si>
  <si>
    <t>Retiree</t>
  </si>
  <si>
    <t>POLICE and FIRE VSF Membership as of June 30</t>
  </si>
  <si>
    <t>PSOVSF</t>
  </si>
  <si>
    <t>POVSF</t>
  </si>
  <si>
    <t>Total POLICE</t>
  </si>
  <si>
    <t>FOVSF</t>
  </si>
  <si>
    <t>FFVSF</t>
  </si>
  <si>
    <t>Total FIRE</t>
  </si>
  <si>
    <t>Year:</t>
  </si>
  <si>
    <t>($millions)</t>
  </si>
  <si>
    <t>Long-Term Expected Rate of Return</t>
  </si>
  <si>
    <t>Long-Term</t>
  </si>
  <si>
    <t>Target</t>
  </si>
  <si>
    <t>Expected</t>
  </si>
  <si>
    <t>Asset</t>
  </si>
  <si>
    <t>Asset Class</t>
  </si>
  <si>
    <t>Allocation</t>
  </si>
  <si>
    <t>Liability</t>
  </si>
  <si>
    <t>1.</t>
  </si>
  <si>
    <t>2.</t>
  </si>
  <si>
    <t>a.</t>
  </si>
  <si>
    <t>Service Cost</t>
  </si>
  <si>
    <t>b.</t>
  </si>
  <si>
    <t>Interest</t>
  </si>
  <si>
    <t>c.</t>
  </si>
  <si>
    <t>Changes of Benefit Terms</t>
  </si>
  <si>
    <t>d.</t>
  </si>
  <si>
    <t>Differences b/t Expected and Actual Experience</t>
  </si>
  <si>
    <t>e.</t>
  </si>
  <si>
    <t>f.</t>
  </si>
  <si>
    <t>Contributions - Employer</t>
  </si>
  <si>
    <t>g.</t>
  </si>
  <si>
    <t>Contributions - Employee</t>
  </si>
  <si>
    <t>Net Investment Income</t>
  </si>
  <si>
    <t>Benefit Payments</t>
  </si>
  <si>
    <t>Administrative Expenses</t>
  </si>
  <si>
    <t>Other Changes</t>
  </si>
  <si>
    <t>Net Changes</t>
  </si>
  <si>
    <t>3.</t>
  </si>
  <si>
    <t>Net Position</t>
  </si>
  <si>
    <t>Changes in Net Pension Liability - POLICE and FIRE</t>
  </si>
  <si>
    <t>4.</t>
  </si>
  <si>
    <t>5.</t>
  </si>
  <si>
    <t>Pension</t>
  </si>
  <si>
    <t>Plan</t>
  </si>
  <si>
    <t>Fiduciary</t>
  </si>
  <si>
    <t>Net</t>
  </si>
  <si>
    <t>Current</t>
  </si>
  <si>
    <t>Discount Rate</t>
  </si>
  <si>
    <t>(7.0%)</t>
  </si>
  <si>
    <t>(6.0%)</t>
  </si>
  <si>
    <t>(8.0%)</t>
  </si>
  <si>
    <t>1% Decrease</t>
  </si>
  <si>
    <t>1% Increase</t>
  </si>
  <si>
    <t>(in millions)</t>
  </si>
  <si>
    <t>Sensitivity Analysis - POLICE and FIRE</t>
  </si>
  <si>
    <t>Sensitivity Analysis - NYCERS, TRS and BERS City Share</t>
  </si>
  <si>
    <t>NYCERS, TRS and BERS City Proportionate Share of Net Pension Liability</t>
  </si>
  <si>
    <t>(in millions, except for %)</t>
  </si>
  <si>
    <t>City's Proportion of the Net Pension Liability</t>
  </si>
  <si>
    <t>TOTAL</t>
  </si>
  <si>
    <t>Deferred</t>
  </si>
  <si>
    <t>Outflows of</t>
  </si>
  <si>
    <t>Inflows of</t>
  </si>
  <si>
    <t>Resources</t>
  </si>
  <si>
    <t>Check:</t>
  </si>
  <si>
    <t>(in thousands)</t>
  </si>
  <si>
    <t xml:space="preserve">POLICE </t>
  </si>
  <si>
    <t xml:space="preserve">Year Ending June 30, </t>
  </si>
  <si>
    <t>Thereafter</t>
  </si>
  <si>
    <t>Total Pension Liability</t>
  </si>
  <si>
    <t>Change of Assumptions</t>
  </si>
  <si>
    <t>Total Pension Liability - Beginning</t>
  </si>
  <si>
    <t>Total Pension Liability - Ending</t>
  </si>
  <si>
    <t>Plan Fiduciary Net Position</t>
  </si>
  <si>
    <t>Plan Fiduciary Net Position - Beginning</t>
  </si>
  <si>
    <t>6.</t>
  </si>
  <si>
    <t>Plan Fiduciary Net Position - Ending</t>
  </si>
  <si>
    <t>7.</t>
  </si>
  <si>
    <t>POLICE Net Pension Liability</t>
  </si>
  <si>
    <t>8.</t>
  </si>
  <si>
    <t>Plan Fiduciary Net Position as a Percentage</t>
  </si>
  <si>
    <t>of Total Pension Liability</t>
  </si>
  <si>
    <t>9.</t>
  </si>
  <si>
    <t>10.</t>
  </si>
  <si>
    <t>POLICE Net Pension Liability as a Percentage</t>
  </si>
  <si>
    <t>1</t>
  </si>
  <si>
    <t>of Covered Payroll</t>
  </si>
  <si>
    <t>FIRE Net Pension Liability</t>
  </si>
  <si>
    <t>FIRE Net Pension Liability as a Percentage</t>
  </si>
  <si>
    <t>City's Proportion share of the Net Pension Liability</t>
  </si>
  <si>
    <t>City's Covered Payroll</t>
  </si>
  <si>
    <t>Plan Fiduciary Net Position as a Percentage of</t>
  </si>
  <si>
    <t xml:space="preserve">     as a Percentage of it's Covered Payroll</t>
  </si>
  <si>
    <t xml:space="preserve">     the Total Pension Liability</t>
  </si>
  <si>
    <t>Contractually required contribution</t>
  </si>
  <si>
    <t>Contribution deficiency (excess)</t>
  </si>
  <si>
    <t>$3, 593,742</t>
  </si>
  <si>
    <t xml:space="preserve">Contributions in relation to the </t>
  </si>
  <si>
    <t xml:space="preserve">     contractually required contributions</t>
  </si>
  <si>
    <t>Covered payroll</t>
  </si>
  <si>
    <t>Contributions as a percentage of</t>
  </si>
  <si>
    <t xml:space="preserve">     covered payroll</t>
  </si>
  <si>
    <t>*2012</t>
  </si>
  <si>
    <t>*2011</t>
  </si>
  <si>
    <t>D.  Schedule of City's Contributions for All Pension Plans for the Fiscal Years ended June 30,</t>
  </si>
  <si>
    <t>*</t>
  </si>
  <si>
    <t>A.  Schedule of Changes in City's Net Pension Liability and Related Ratios for POLICE at June 30,</t>
  </si>
  <si>
    <t>B.  Schedule of Changes in City's Net Pension Liability and Related Ratios for FIRE at June 30,</t>
  </si>
  <si>
    <t>C.  Schedule of City's Proportionate Share of Net Pension Liabilities of Cost-Sharing Multiple-Employer Pension Plans at June 30,</t>
  </si>
  <si>
    <t>Actuarial Assumptions</t>
  </si>
  <si>
    <t>Investment Rate of Return  . . . . . .</t>
  </si>
  <si>
    <t>7.0% per annum, net of investment expenses (Actual Return for Variable Funds).</t>
  </si>
  <si>
    <t>Post-Retirement Mortality . . . . . . .</t>
  </si>
  <si>
    <t>Active Service: Withdrawal, Death,</t>
  </si>
  <si>
    <t>Disability, Retirement  . . . . . . . . . .</t>
  </si>
  <si>
    <t>In general, Merit and Promotion increases, plus assumed General Wage Increases of 3.0% per year.</t>
  </si>
  <si>
    <t>1.5% per annum for Tiers I, II, IV, and certain Tier III and Tier VI retirees.  2.5% per annum for certain Tier III and Tier VI retirees.</t>
  </si>
  <si>
    <t>(1)</t>
  </si>
  <si>
    <t>Developed assuming a long-term Consumer Price Inflation assumption of 2.5% per year.</t>
  </si>
  <si>
    <t>Pursuant to Section 96 of the New York City Charter, audits of the actuarial assumptions used to value liabilities of the five actuarially-funded QPPs are conducted by an independent actuarial firm every two years.</t>
  </si>
  <si>
    <t>Fiscal Year</t>
  </si>
  <si>
    <t xml:space="preserve">Valuation Dates . . . . . . . . . . . . . . . </t>
  </si>
  <si>
    <t>June 30, 2011 (Lag)</t>
  </si>
  <si>
    <t>June 30, 2010 (Lag)</t>
  </si>
  <si>
    <t>Amortization method for Unfunded</t>
  </si>
  <si>
    <t>Accrued Liabilities (UAL):</t>
  </si>
  <si>
    <t>Initial 2010 UAL . . . . . . . . . . . . . .</t>
  </si>
  <si>
    <t>Increasing Dollar</t>
  </si>
  <si>
    <t>Payments</t>
  </si>
  <si>
    <t>NA</t>
  </si>
  <si>
    <t>Post-2010 UALs . . . . . . . . . . . .</t>
  </si>
  <si>
    <t>Level Dollar Payments</t>
  </si>
  <si>
    <t>Remaining amortization period:</t>
  </si>
  <si>
    <t>14 Years (Closed)</t>
  </si>
  <si>
    <t>15 Years (Closed)</t>
  </si>
  <si>
    <t>16 Years (Closed)</t>
  </si>
  <si>
    <t>17 Years (Closed)</t>
  </si>
  <si>
    <t>18 Years (Closed)</t>
  </si>
  <si>
    <t>19 Years (Closed)</t>
  </si>
  <si>
    <t>20 Years (Closed)</t>
  </si>
  <si>
    <t>21 Years (Closed)</t>
  </si>
  <si>
    <t>22 Years (Closed)</t>
  </si>
  <si>
    <t>2010 ERI . . . . . . . . . . . . . . . . . . . . . .</t>
  </si>
  <si>
    <t>0 Year (Closed)</t>
  </si>
  <si>
    <t>1 Year (Closed)</t>
  </si>
  <si>
    <t>2 Years (Closed)</t>
  </si>
  <si>
    <t>3 Years (Closed)</t>
  </si>
  <si>
    <t>4 Years (Closed)</t>
  </si>
  <si>
    <t>5 Years (Closed)</t>
  </si>
  <si>
    <t>2011 (G)/L . . . . . . . . . . . . . . . . . . . .</t>
  </si>
  <si>
    <t>8 Years (Closed)</t>
  </si>
  <si>
    <t>9 Years (Closed)</t>
  </si>
  <si>
    <t>10 Years (Closed)</t>
  </si>
  <si>
    <t>11 Years (Closed)</t>
  </si>
  <si>
    <t>12 Years (Closed)</t>
  </si>
  <si>
    <t>13 Years (Closed)</t>
  </si>
  <si>
    <t>2012 (G)/L . . . . . . . . . . . . . . . . . . . .</t>
  </si>
  <si>
    <t>2013 (G)/L . . . . . . . . . . . . . . . . . . . .</t>
  </si>
  <si>
    <t>2013 Transit Refunds . . . . . . . . . . . .</t>
  </si>
  <si>
    <t>0 Years (Closed)</t>
  </si>
  <si>
    <t>1 Years (Closed)</t>
  </si>
  <si>
    <t>2014 (G)/L . . . . . . . . . . . . . . . . . . . .</t>
  </si>
  <si>
    <t>11 years (Closed)</t>
  </si>
  <si>
    <t>12 years (Closed)</t>
  </si>
  <si>
    <t>13 years (Closed)</t>
  </si>
  <si>
    <t>14 years (Closed)</t>
  </si>
  <si>
    <t>15 years (Closed)</t>
  </si>
  <si>
    <t>2014 Assumption Change . . . . . . . . .</t>
  </si>
  <si>
    <t>2015 (G)/L . . . . . . . . . . . . . . . . . . . .</t>
  </si>
  <si>
    <t>2016 (G)/L . . . . . . . . . . . . . . . . . . . .</t>
  </si>
  <si>
    <t>2017 (G)/L . . . . . . . . . . . . . . . . . . . .</t>
  </si>
  <si>
    <t xml:space="preserve">2018 (G)/L. . . . . .. . . . . . . . . . . . . . . .        </t>
  </si>
  <si>
    <t>6-year moving average of Market Value</t>
  </si>
  <si>
    <t>Actuarial assumptions:</t>
  </si>
  <si>
    <t xml:space="preserve">     </t>
  </si>
  <si>
    <t>7.0% per annum, net of investment expenses (4.0% per annum for benefits payable under the variable annuity program for TRS and BERS)</t>
  </si>
  <si>
    <t>Tables adopted by Boards of Trustees during Fiscal Year 2019</t>
  </si>
  <si>
    <t>Tables adopted by Boards of Trustees during Fiscal Year 2016</t>
  </si>
  <si>
    <t>Tables adopted by Boards of Trustees during Fiscal Year 2012</t>
  </si>
  <si>
    <t>Active service: withdrawal, death,</t>
  </si>
  <si>
    <t>In general, Merit and Promotion Increases plus assumed General Wage Increases of 3.0% per year</t>
  </si>
  <si>
    <t>1.5% per annum for AutoCOLA. 2.5% per annum for Escalation</t>
  </si>
  <si>
    <t>Beginning with the June 30, 2010 (Lag) actuarial valuation under the 2012 A&amp;M, the Entry Age Normal Cost Method (EAN) of funding is utilized by the Actuary to calculate the contributions required of the Employer. Under this method, the Actuarial Present Value (APV) of Benefits (APVB) of each individual included in the actuarial valuation is allocated on a level basis over the earnings (or service) of the individual between entry age and assumed exit ages. The employer portion of this APV allocated to a valuation year is the Normal Cost. The portion of this APV not provided for at a valuation date by the APV of Future  Normal Costs or future member contributions is the Accrued Liability (AL). The excess, if any, of the AL over the Actuarial Value of Assets (AVA) is the Unfunded Accrued Liability (UAL). Under this method, actuarial gains (losses), as they occur, reduce (increase) the UAL and are explicitly identified and amortized. Increases (decreases) in obligations due to benefit changes, actuarial assumption changes and/or actuarial method changes are also explicitly identified and amortized.</t>
  </si>
  <si>
    <t>Notes to Schedule D:</t>
  </si>
  <si>
    <t>For City Fiscal Years 2012 and 2011, reported contributions and covered payroll amounts are those of each retirement system as a whole (i.e., the sums for all participating employers.) City-only covered payroll is not readily available for years prior to 2013; and due to methodological changes during the periods 2005 through 2012, the City-only employer contributions are not comparable over the ten year period.</t>
  </si>
  <si>
    <t>7 Years (Closed)</t>
  </si>
  <si>
    <t xml:space="preserve">2019 (G)/L. . . . . .. . . . . . . . . . . . . . . .        </t>
  </si>
  <si>
    <t>Entry Age</t>
  </si>
  <si>
    <r>
      <t xml:space="preserve">Covered Payroll </t>
    </r>
    <r>
      <rPr>
        <b/>
        <vertAlign val="superscript"/>
        <sz val="11"/>
        <rFont val="Times New Roman"/>
        <family val="1"/>
      </rPr>
      <t>1</t>
    </r>
  </si>
  <si>
    <r>
      <t>Actuarial cost method</t>
    </r>
    <r>
      <rPr>
        <vertAlign val="superscript"/>
        <sz val="11"/>
        <color rgb="FF231F20"/>
        <rFont val="Times New Roman"/>
        <family val="1"/>
      </rPr>
      <t>1</t>
    </r>
    <r>
      <rPr>
        <sz val="11"/>
        <color rgb="FF231F20"/>
        <rFont val="Times New Roman"/>
        <family val="1"/>
      </rPr>
      <t xml:space="preserve"> . . . . . . . . .</t>
    </r>
  </si>
  <si>
    <r>
      <t>Actuarial Asset Valuation Method</t>
    </r>
    <r>
      <rPr>
        <vertAlign val="superscript"/>
        <sz val="11"/>
        <color rgb="FF231F20"/>
        <rFont val="Times New Roman"/>
        <family val="1"/>
      </rPr>
      <t>2</t>
    </r>
  </si>
  <si>
    <r>
      <t>Salary Increases</t>
    </r>
    <r>
      <rPr>
        <vertAlign val="superscript"/>
        <sz val="11"/>
        <color theme="1"/>
        <rFont val="Times New Roman"/>
        <family val="1"/>
      </rPr>
      <t>3</t>
    </r>
    <r>
      <rPr>
        <sz val="11"/>
        <color theme="1"/>
        <rFont val="Times New Roman"/>
        <family val="1"/>
      </rPr>
      <t xml:space="preserve">  . . . . . . . . . . .  . . .</t>
    </r>
  </si>
  <si>
    <r>
      <t>Cost-of-Living Adjustments</t>
    </r>
    <r>
      <rPr>
        <vertAlign val="superscript"/>
        <sz val="11"/>
        <color theme="1"/>
        <rFont val="Times New Roman"/>
        <family val="1"/>
      </rPr>
      <t>3</t>
    </r>
    <r>
      <rPr>
        <sz val="11"/>
        <color theme="1"/>
        <rFont val="Times New Roman"/>
        <family val="1"/>
      </rPr>
      <t xml:space="preserve">   . . . .</t>
    </r>
  </si>
  <si>
    <t>(in thousands except %)</t>
  </si>
  <si>
    <t xml:space="preserve">   —</t>
  </si>
  <si>
    <t>……….</t>
  </si>
  <si>
    <t>Total ….......................................................</t>
  </si>
  <si>
    <t>Changes in proportion and differences between City contributions and proportionate share of contributions (cost-sharing plans)…..</t>
  </si>
  <si>
    <t>Net difference between projected and actual earnings on pension plan investments…..........</t>
  </si>
  <si>
    <t>Changes of assumptions …...........................</t>
  </si>
  <si>
    <t>Total…........................................................</t>
  </si>
  <si>
    <t>Net difference between projected and actual earnings on pension plan investments….........</t>
  </si>
  <si>
    <t xml:space="preserve">Changes of assumptions…........................... </t>
  </si>
  <si>
    <t>Differences between expected and actual experience ….............................................</t>
  </si>
  <si>
    <t xml:space="preserve">Differences between expected and actual experience…............................................... </t>
  </si>
  <si>
    <t>NYCRS</t>
  </si>
  <si>
    <t>QPPs</t>
  </si>
  <si>
    <t>NYCERS …..........................</t>
  </si>
  <si>
    <t>TRS …..................................</t>
  </si>
  <si>
    <t>BERS …................................</t>
  </si>
  <si>
    <t>City's Proportion of the Net Pension Liability …...................</t>
  </si>
  <si>
    <t>City's Proportionate Share of the Net Pension Liability …....</t>
  </si>
  <si>
    <t>NYCERS …..............................................................................................</t>
  </si>
  <si>
    <t>TRS (Excluding TDA) ….........................................................................</t>
  </si>
  <si>
    <t>BERS (Excluding TDA) …......................................................................</t>
  </si>
  <si>
    <t>POLICE …................................................................................................</t>
  </si>
  <si>
    <t>FIRE …......................................................................................................</t>
  </si>
  <si>
    <t>TOTAL ….................................................................................................</t>
  </si>
  <si>
    <t>POLICE…........................................................</t>
  </si>
  <si>
    <t>FIRE…..............................................................</t>
  </si>
  <si>
    <t>RROR</t>
  </si>
  <si>
    <t>Developed Public Market Equities…............................................................................</t>
  </si>
  <si>
    <t>Opportunistic Fixed Income….........................................................................................</t>
  </si>
  <si>
    <t xml:space="preserve">2017 Method Change. . . . . .. . . .                                                           </t>
  </si>
  <si>
    <r>
      <t>Salary Increases</t>
    </r>
    <r>
      <rPr>
        <i/>
        <vertAlign val="superscript"/>
        <sz val="10"/>
        <color rgb="FF231F20"/>
        <rFont val="Times New Roman"/>
        <family val="1"/>
      </rPr>
      <t>(1)</t>
    </r>
    <r>
      <rPr>
        <i/>
        <sz val="10"/>
        <color rgb="FF231F20"/>
        <rFont val="Times New Roman"/>
        <family val="1"/>
      </rPr>
      <t xml:space="preserve">   . . . . . . . . . . . .</t>
    </r>
  </si>
  <si>
    <r>
      <t>Cost-of-Living Adjustments</t>
    </r>
    <r>
      <rPr>
        <i/>
        <vertAlign val="superscript"/>
        <sz val="10"/>
        <color rgb="FF231F20"/>
        <rFont val="Times New Roman"/>
        <family val="1"/>
      </rPr>
      <t>(1)</t>
    </r>
    <r>
      <rPr>
        <i/>
        <sz val="10"/>
        <color rgb="FF231F20"/>
        <rFont val="Times New Roman"/>
        <family val="1"/>
      </rPr>
      <t xml:space="preserve"> . . . . .</t>
    </r>
  </si>
  <si>
    <t>U.S. Public Market Equities…......................................................................................</t>
  </si>
  <si>
    <t>Developed Public Market Equities….............................................................................</t>
  </si>
  <si>
    <t>Emerging Public Market Equities…..............................................................................</t>
  </si>
  <si>
    <t>Infrastructure…...........................................................................................................</t>
  </si>
  <si>
    <t>Private Equity…...........................................................................................................</t>
  </si>
  <si>
    <t>Private Real Estate…....................................................................................................</t>
  </si>
  <si>
    <t>Opportunistic Fixed Income…....................................................................................</t>
  </si>
  <si>
    <t>Total…........................................................................................................................</t>
  </si>
  <si>
    <t>Fixed Income….............................................................................................................</t>
  </si>
  <si>
    <t>U.S. Public Market Equities…........................................................................................</t>
  </si>
  <si>
    <t>Emerging Public Market Equities…................................................................................</t>
  </si>
  <si>
    <t>Fixed Income….................................................................................................................</t>
  </si>
  <si>
    <t>Private Equity…................................................................................................................</t>
  </si>
  <si>
    <t>Private Real Estate…........................................................................................................</t>
  </si>
  <si>
    <t>Infrastructure….................................................................................................................</t>
  </si>
  <si>
    <t>Total…...............................................................................................................................</t>
  </si>
  <si>
    <t>U.S. Public Market Equities…...........................................................................................</t>
  </si>
  <si>
    <t>Developed Public Market Equities….................................................................................</t>
  </si>
  <si>
    <t>Emerging Public Market Equities….................................................................................</t>
  </si>
  <si>
    <t>Fixed Income…................................................................................................................</t>
  </si>
  <si>
    <t>Private Real Estate….........................................................................................................</t>
  </si>
  <si>
    <t>Hedge Funds….................................................................................................................</t>
  </si>
  <si>
    <t>Opportunistic Fixed Income…...........................................................................................</t>
  </si>
  <si>
    <t>Total….............................................................................................................................</t>
  </si>
  <si>
    <t>Service Cost…............................................................</t>
  </si>
  <si>
    <t>Interest…....................................................................</t>
  </si>
  <si>
    <t>Changes of Benefit Terms….........................................</t>
  </si>
  <si>
    <t>Changes of Assumptions…...........................................</t>
  </si>
  <si>
    <t>Contributions - Employer…..........................................</t>
  </si>
  <si>
    <t>Contributions - Employee….........................................</t>
  </si>
  <si>
    <t>Net Investment Income…..............................................</t>
  </si>
  <si>
    <t>Benefit Payments…......................................................</t>
  </si>
  <si>
    <t>Administrative Expenses…...........................................</t>
  </si>
  <si>
    <t>Other Changes…..........................................................</t>
  </si>
  <si>
    <t>Net Changes…............................................................</t>
  </si>
  <si>
    <t>Retirees and Beneficiaries Receiving Benefits……....................</t>
  </si>
  <si>
    <t>Active Members…….......................................................................</t>
  </si>
  <si>
    <t xml:space="preserve">   Total QPP Membership…............................................................</t>
  </si>
  <si>
    <t>Retirees Receiving or Eligible to Receive Benefits…</t>
  </si>
  <si>
    <t>Active Members….................................................</t>
  </si>
  <si>
    <t xml:space="preserve">   Total Membership…............................................</t>
  </si>
  <si>
    <t>QPP</t>
  </si>
  <si>
    <t>TRS…......................</t>
  </si>
  <si>
    <t>Fiscal</t>
  </si>
  <si>
    <t>Aggregate</t>
  </si>
  <si>
    <t>Statutory</t>
  </si>
  <si>
    <t>Contribution</t>
  </si>
  <si>
    <t>City</t>
  </si>
  <si>
    <t>Statutory/Actual</t>
  </si>
  <si>
    <t>Import this to Word Document</t>
  </si>
  <si>
    <t>NYCERS…….............</t>
  </si>
  <si>
    <t>BERS…....................</t>
  </si>
  <si>
    <t>POLICE….................</t>
  </si>
  <si>
    <t>FIRE…......................</t>
  </si>
  <si>
    <t xml:space="preserve">In accordance with the ACNY and with appropriate practice, the Boards of Trustees of the five actuarially-funded QPPs are to periodically review and adopt certain actuarial assumptions as proposed by the Actuary for use in the determination of Employer Contributions, which are also generally used to determine the total pension liability, as applicable. </t>
  </si>
  <si>
    <t xml:space="preserve">   TOTAL .................</t>
  </si>
  <si>
    <t xml:space="preserve">2020 (G)/L. . . . . .. . . . . . . . . . . . . . . .        </t>
  </si>
  <si>
    <t>6 Years (Closed)</t>
  </si>
  <si>
    <t>Market Value Restart as of June 30, 2019.  Previously, Market Value Restart as of June 30, 2011. The June 30, 2010 AVA is derived as equal to the June 30, 2011 Market Value of Assets, discounted by the Actuarial Interest Rate assumption (adjusted for cash flow) to June 30, 2010.  Beginning with June 30, 2014, the AVA is constrained to be no more than 20% from the Market Value of Assets.</t>
  </si>
  <si>
    <r>
      <t>Assumed rate of return</t>
    </r>
    <r>
      <rPr>
        <vertAlign val="superscript"/>
        <sz val="11"/>
        <color rgb="FF231F20"/>
        <rFont val="Times New Roman"/>
        <family val="1"/>
      </rPr>
      <t>3</t>
    </r>
    <r>
      <rPr>
        <sz val="11"/>
        <color rgb="FF231F20"/>
        <rFont val="Times New Roman"/>
        <family val="1"/>
      </rPr>
      <t xml:space="preserve">  . . . . . . . . . .</t>
    </r>
  </si>
  <si>
    <r>
      <t xml:space="preserve">     Post-retirement mortality</t>
    </r>
    <r>
      <rPr>
        <vertAlign val="superscript"/>
        <sz val="11"/>
        <color rgb="FF231F20"/>
        <rFont val="Times New Roman"/>
        <family val="1"/>
      </rPr>
      <t>4</t>
    </r>
    <r>
      <rPr>
        <sz val="11"/>
        <color rgb="FF231F20"/>
        <rFont val="Times New Roman"/>
        <family val="1"/>
      </rPr>
      <t xml:space="preserve">   . . . .</t>
    </r>
  </si>
  <si>
    <r>
      <t>disability, service retirement</t>
    </r>
    <r>
      <rPr>
        <vertAlign val="superscript"/>
        <sz val="11"/>
        <color rgb="FF231F20"/>
        <rFont val="Times New Roman"/>
        <family val="1"/>
      </rPr>
      <t>4</t>
    </r>
    <r>
      <rPr>
        <sz val="11"/>
        <color rgb="FF231F20"/>
        <rFont val="Times New Roman"/>
        <family val="1"/>
      </rPr>
      <t xml:space="preserve">  . . . . </t>
    </r>
  </si>
  <si>
    <r>
      <t>Terminated Nonvested</t>
    </r>
    <r>
      <rPr>
        <vertAlign val="superscript"/>
        <sz val="10"/>
        <color theme="1"/>
        <rFont val="Times New Roman"/>
        <family val="1"/>
      </rPr>
      <t>1</t>
    </r>
  </si>
  <si>
    <t>Terminated Nonvested…….........................................................................</t>
  </si>
  <si>
    <t>Tables adopted by the respective Boards of Trustees during Fiscal Year 2019.</t>
  </si>
  <si>
    <t>Tables adopted by the respective Boards of Trustees during Fiscal Year 2019.  Applies mortality improvement scale MP-2020 published by the Society of Actuaries.</t>
  </si>
  <si>
    <t xml:space="preserve">2019 Method Change. . . . . .. . . .                                                           </t>
  </si>
  <si>
    <t xml:space="preserve">2017 Assumption Change. . . . . .. . . .                                                           </t>
  </si>
  <si>
    <t xml:space="preserve">2019 Assumption Change. . . . . .. . . .                                                           </t>
  </si>
  <si>
    <t>Tables adopted by the respective Boards of Trustees during Fiscal Year 2019.  Applies mortality improvement scale MP-2018 published by the Society of Actuaries.</t>
  </si>
  <si>
    <t>QPP Membership at June 30, 2021</t>
  </si>
  <si>
    <t>Membership at June 30, 2021</t>
  </si>
  <si>
    <t>FY2022 Aggregate Statutory Contribution</t>
  </si>
  <si>
    <t>FY2022 City Statutory/Actual Contribution</t>
  </si>
  <si>
    <t>Year 2022</t>
  </si>
  <si>
    <t>Fiscal Year 2022</t>
  </si>
  <si>
    <t>Changes for the Year 2022:</t>
  </si>
  <si>
    <t>Balances at June 30, 2022…..................................................</t>
  </si>
  <si>
    <t>Differences b/t Expected and Actual Experience……</t>
  </si>
  <si>
    <t>2021</t>
  </si>
  <si>
    <t xml:space="preserve">2021 (G)/L. . . . . .. . . . . . . . . . . . . . . .        </t>
  </si>
  <si>
    <t>Tables adopted by the respective Boards of Trustees during Fiscal Year 2019.  Applies mortality improvement scale MP-2020 published by the Society of Actuaries to active ordinary death mortality rates and pre-commencement mortality rates for deferred vesteds.</t>
  </si>
  <si>
    <t>As of June 30, 2019, applied mortality improvement scale MP-2020 published by the Society of Actuaries to post-retirement mortality, active ordinary death mortality rates, and pre-commencement mortality rates for deferred vesteds.  Prior to June 30, 2019, MP-2018 was applied to post-retirement mortality.  Prior to June 30, 2017, MP-2015 was applied to post-retirement mortality.  Prior to June 30, 2014, Scale AA was applied to post-retirement mortality.</t>
  </si>
  <si>
    <r>
      <rPr>
        <vertAlign val="superscript"/>
        <sz val="10"/>
        <color theme="1"/>
        <rFont val="Times New Roman"/>
        <family val="1"/>
      </rPr>
      <t>1</t>
    </r>
    <r>
      <rPr>
        <sz val="10"/>
        <color theme="0"/>
        <rFont val="Times New Roman"/>
        <family val="1"/>
      </rPr>
      <t>---</t>
    </r>
    <r>
      <rPr>
        <sz val="10"/>
        <color theme="1"/>
        <rFont val="Times New Roman"/>
        <family val="1"/>
      </rPr>
      <t xml:space="preserve">Members that are on leave with insufficient service for vesting and assumed to not return to </t>
    </r>
  </si>
  <si>
    <t xml:space="preserve">     active service are classified as terminated non-vested members.</t>
  </si>
  <si>
    <r>
      <rPr>
        <vertAlign val="superscript"/>
        <sz val="10"/>
        <color theme="1"/>
        <rFont val="Times New Roman"/>
        <family val="1"/>
      </rPr>
      <t>2</t>
    </r>
    <r>
      <rPr>
        <sz val="10"/>
        <color theme="0"/>
        <rFont val="Times New Roman"/>
        <family val="1"/>
      </rPr>
      <t>---</t>
    </r>
    <r>
      <rPr>
        <sz val="10"/>
        <color theme="1"/>
        <rFont val="Times New Roman"/>
        <family val="1"/>
      </rPr>
      <t>Includes vested members and retirees not yet receiving benefits.</t>
    </r>
  </si>
  <si>
    <r>
      <t>Defered Vested</t>
    </r>
    <r>
      <rPr>
        <vertAlign val="superscript"/>
        <sz val="10"/>
        <color theme="1"/>
        <rFont val="Times New Roman"/>
        <family val="1"/>
      </rPr>
      <t>2</t>
    </r>
  </si>
  <si>
    <t>Deferred Vested Members Not Yet Receiving Benefits……..</t>
  </si>
  <si>
    <t xml:space="preserve">1.5% per annum for AutoCOLA. 2.5% per annum for Escalation. </t>
  </si>
  <si>
    <t>Projected payroll at time 1.0 under previous roll-forward methodology through 2018.  Actual payroll at valuation date (time = 0) beginning in 2019.</t>
  </si>
  <si>
    <t>In June 2019, Bolton, Inc. issued their actuarial experience study report for the four-year and ten-year periods ended June 30, 2017.  Based, in part, on this report, the   Actuary proposed and the Boards of Trustees of the NYCRS adopted changes in actuarial assumptions including a change to Mortality Improvement Scale MP-2018 beginning in Fiscal Year 2019. Milliman, Inc. is performing the current experience study that covers the period through June 30, 2021.</t>
  </si>
  <si>
    <t>QPP Membership at June 30, 2022</t>
  </si>
  <si>
    <t>Membership at June 30, 2022</t>
  </si>
  <si>
    <t>2022</t>
  </si>
  <si>
    <t xml:space="preserve">Fiscal Year 2023 and Fiscal Year 2022 Contributions </t>
  </si>
  <si>
    <t>FY2023 Aggregate Statutory Contribution</t>
  </si>
  <si>
    <t>FY2023 City Statutory/Actual Contribution</t>
  </si>
  <si>
    <t>Year 2023</t>
  </si>
  <si>
    <t>The total pension liabilities in the June 30, 2022 and June 30, 2021 actuarial valuations were determined using the following actuarial assumptions, applied to all periods included in the measurement:</t>
  </si>
  <si>
    <t>Balances at June 30, 2021</t>
  </si>
  <si>
    <t>Changes for the Year 2023:</t>
  </si>
  <si>
    <t>Balances at June 30, 2023…..................................................</t>
  </si>
  <si>
    <t>Fiscal Year 2023</t>
  </si>
  <si>
    <t>Pension Expense recognized by the City for the Fiscal Years ended June 30, 2023 and June 30, 2022</t>
  </si>
  <si>
    <t>Deferred outflows of resources and deferred inflows of resources as of June 30, 2023 and June 30, 2022</t>
  </si>
  <si>
    <t>Amounts reported as deferred outflows of resources and deferred inflows of resources at June 30, 2023</t>
  </si>
  <si>
    <t>2022 (G)/L</t>
  </si>
  <si>
    <t>5-year moving average of fair value</t>
  </si>
  <si>
    <t>6-year moving average of fair value</t>
  </si>
  <si>
    <t>June 30, 2022</t>
  </si>
  <si>
    <t>June 30, 2021</t>
  </si>
  <si>
    <t>June 30, 2020</t>
  </si>
  <si>
    <t>June 30, 2019</t>
  </si>
  <si>
    <t>June 30, 2018</t>
  </si>
  <si>
    <t>June 30, 2017</t>
  </si>
  <si>
    <t>June 30, 2016</t>
  </si>
  <si>
    <t>June 30, 2015</t>
  </si>
  <si>
    <t>June 30, 2014</t>
  </si>
  <si>
    <t>June 30, 2013</t>
  </si>
  <si>
    <t>June 30, 2012</t>
  </si>
  <si>
    <t>The above actuarially determined and contractually required contributions were developed using a One-Year Lag Methodology, under which the actuarial valuation determines the employer contribution for the second following fiscal year (e.g. Fiscal Year 2024 contributions were determined using an actuarial valuation as of June 30, 2022). The methods and assumptions used to determine the actuarially determined and contractually required contributions are as follows: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</si>
</sst>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9">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quot;$&quot;* #,##0_);_(&quot;$&quot;* \(#,##0\);_(&quot;$&quot;* &quot;-&quot;??_);_(@_)"/>
    <numFmt numFmtId="166" formatCode="_(* #,##0_);_(* \(#,##0\);_(* &quot;-&quot;??_);_(@_)"/>
    <numFmt numFmtId="167" formatCode="&quot;$&quot;#,##0.0_);\(&quot;$&quot;#,##0.0\)"/>
    <numFmt numFmtId="168" formatCode="_(&quot;$&quot;* #,##0.0_);_(&quot;$&quot;* \(#,##0.0\);_(&quot;$&quot;* &quot;-&quot;??_);_(@_)"/>
    <numFmt numFmtId="169" formatCode="0.000%"/>
    <numFmt numFmtId="170" formatCode="[$-409]mmmm\ d\,\ yyyy;@"/>
    <numFmt numFmtId="171" formatCode="_._.* #,##0_)_%;_._.* \(#,##0\)_%;_._.* 0_)_%;_._.@_)_%"/>
    <numFmt numFmtId="172" formatCode="_._.* #,##0.0_)_%;_._.* \(#,##0.0\)_%"/>
    <numFmt numFmtId="173" formatCode="_._.* #,##0.00_)_%;_._.* \(#,##0.00\)_%"/>
    <numFmt numFmtId="174" formatCode="_._.* #,##0.000_)_%;_._.* \(#,##0.000\)_%"/>
    <numFmt numFmtId="175" formatCode="_._.* #,##0.0000_)_%;_._.* \(#,##0.0000\)_%"/>
    <numFmt numFmtId="176" formatCode="_._.&quot;$&quot;* #,##0_)_%;_._.&quot;$&quot;* \(#,##0\)_%;_._.&quot;$&quot;* 0_)_%;_._.@_)_%"/>
    <numFmt numFmtId="177" formatCode="_._.&quot;$&quot;* #,##0.0_)_%;_._.&quot;$&quot;* \(#,##0.0\)_%"/>
    <numFmt numFmtId="178" formatCode="_._.&quot;$&quot;* #,##0.00_)_%;_._.&quot;$&quot;* \(#,##0.00\)_%"/>
    <numFmt numFmtId="179" formatCode="_._.&quot;$&quot;* #,##0.000_)_%;_._.&quot;$&quot;* \(#,##0.000\)_%"/>
    <numFmt numFmtId="180" formatCode="_._.&quot;$&quot;* #,##0.0000_)_%;_._.&quot;$&quot;* \(#,##0.0000\)_%"/>
    <numFmt numFmtId="181" formatCode="mmmm\ d\,\ yyyy"/>
    <numFmt numFmtId="182" formatCode="0\ %"/>
    <numFmt numFmtId="183" formatCode="_._._(* 0_)%;_._.* \(0\)%"/>
    <numFmt numFmtId="184" formatCode="_(0.0_)%;\(0.0\)%"/>
    <numFmt numFmtId="185" formatCode="_._._(* 0.0_)%;_._.* \(0.0\)%"/>
    <numFmt numFmtId="186" formatCode="_(0.00_)%;\(0.00\)%"/>
    <numFmt numFmtId="187" formatCode="_._._(* 0.00_)%;_._.* \(0.00\)%"/>
    <numFmt numFmtId="188" formatCode="_(0.000_)%;\(0.000\)%"/>
    <numFmt numFmtId="189" formatCode="_._._(* 0.000_)%;_._.* \(0.000\)%"/>
    <numFmt numFmtId="190" formatCode="_(0.0000_)%;\(0.0000\)%"/>
    <numFmt numFmtId="191" formatCode="_._._(* 0.0000_)%;_._.* \(0.0000\)%"/>
    <numFmt numFmtId="192" formatCode="_(* #,##0_);_(* \(#,##0\);_(* 0_);_(@_)"/>
    <numFmt numFmtId="193" formatCode="_(* #,##0.0_);_(* \(#,##0.0\)"/>
    <numFmt numFmtId="194" formatCode="_(* #,##0.00_);_(* \(#,##0.00\)"/>
    <numFmt numFmtId="195" formatCode="_(* #,##0.000_);_(* \(#,##0.000\)"/>
    <numFmt numFmtId="196" formatCode="_(* #,##0.0000_);_(* \(#,##0.0000\)"/>
    <numFmt numFmtId="197" formatCode="_(&quot;$&quot;* #,##0_);_(&quot;$&quot;* \(#,##0\);_(&quot;$&quot;* 0_);_(@_)"/>
    <numFmt numFmtId="198" formatCode="_(&quot;$&quot;* #,##0.0_);_(&quot;$&quot;* \(#,##0.0\)"/>
    <numFmt numFmtId="199" formatCode="_(&quot;$&quot;* #,##0.00_);_(&quot;$&quot;* \(#,##0.00\)"/>
    <numFmt numFmtId="200" formatCode="_(&quot;$&quot;* #,##0.000_);_(&quot;$&quot;* \(#,##0.000\)"/>
    <numFmt numFmtId="201" formatCode="_(&quot;$&quot;* #,##0.0000_);_(&quot;$&quot;* \(#,##0.0000\)"/>
    <numFmt numFmtId="202" formatCode="#,##0\ \ \ ;\(#,##0\)\ \ ;\—\ \ \ \ "/>
    <numFmt numFmtId="203" formatCode="&quot;$&quot;#,##0.0"/>
    <numFmt numFmtId="204" formatCode="_(&quot;$&quot;* #,##0.0_);_(&quot;$&quot;* \(#,##0.0\);_(&quot;$&quot;* &quot;-&quot;_);_(@_)"/>
    <numFmt numFmtId="205" formatCode="_(* #,##0_);_(* \(#,##0\)"/>
  </numFmts>
  <fonts count="112">
    <font>
      <sz val="11"/>
      <color theme="1"/>
      <name val="Calibri"/>
      <family val="2"/>
      <scheme val="minor"/>
    </font>
    <font>
      <sz val="11"/>
      <name val="Calibri"/>
      <family val="2"/>
      <scheme val="minor"/>
    </font>
    <font>
      <sz val="11"/>
      <color theme="1"/>
      <name val="Calibri"/>
      <family val="2"/>
      <scheme val="minor"/>
    </font>
    <font>
      <sz val="8"/>
      <name val="Calibri"/>
      <family val="2"/>
      <scheme val="minor"/>
    </font>
    <font>
      <sz val="10"/>
      <color theme="1"/>
      <name val="Arial"/>
      <family val="2"/>
    </font>
    <font>
      <sz val="12"/>
      <name val="Arial"/>
      <family val="2"/>
    </font>
    <font>
      <sz val="12"/>
      <color theme="1"/>
      <name val="Arial"/>
      <family val="2"/>
    </font>
    <font>
      <sz val="12"/>
      <name val="Arial MT"/>
    </font>
    <font>
      <sz val="10"/>
      <name val="Arial"/>
      <family val="2"/>
    </font>
    <font>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0"/>
      <color indexed="8"/>
      <name val="Arial"/>
      <family val="2"/>
    </font>
    <font>
      <sz val="10"/>
      <color indexed="10"/>
      <name val="Arial"/>
      <family val="2"/>
    </font>
    <font>
      <b/>
      <sz val="13"/>
      <name val="Arial"/>
      <family val="2"/>
    </font>
    <font>
      <b/>
      <sz val="10"/>
      <name val="Arial"/>
      <family val="2"/>
    </font>
    <font>
      <b/>
      <sz val="9"/>
      <name val="Arial"/>
      <family val="2"/>
    </font>
    <font>
      <b/>
      <sz val="11"/>
      <name val="Arial"/>
      <family val="2"/>
    </font>
    <font>
      <u val="singleAccounting"/>
      <sz val="10"/>
      <name val="Times New Roman"/>
      <family val="1"/>
    </font>
    <font>
      <b/>
      <sz val="10"/>
      <name val="Times New Roman"/>
      <family val="1"/>
    </font>
    <font>
      <i/>
      <sz val="10"/>
      <name val="Times New Roman"/>
      <family val="1"/>
    </font>
    <font>
      <b/>
      <i/>
      <sz val="10"/>
      <name val="Times New Roman"/>
      <family val="1"/>
    </font>
    <font>
      <sz val="11"/>
      <name val="Times New Roman"/>
      <family val="1"/>
    </font>
    <font>
      <u val="singleAccounting"/>
      <sz val="11"/>
      <name val="Times New Roman"/>
      <family val="1"/>
    </font>
    <font>
      <b/>
      <sz val="11"/>
      <name val="Times New Roman"/>
      <family val="1"/>
    </font>
    <font>
      <i/>
      <sz val="11"/>
      <name val="Times New Roman"/>
      <family val="1"/>
    </font>
    <font>
      <b/>
      <i/>
      <sz val="11"/>
      <name val="Times New Roman"/>
      <family val="1"/>
    </font>
    <font>
      <sz val="10"/>
      <color rgb="FF000000"/>
      <name val="Times New Roman"/>
      <family val="1"/>
    </font>
    <font>
      <u/>
      <sz val="10.45"/>
      <color indexed="12"/>
      <name val="Arial"/>
      <family val="2"/>
    </font>
    <font>
      <sz val="12"/>
      <name val="Courier New"/>
      <family val="3"/>
    </font>
    <font>
      <sz val="11"/>
      <color theme="1"/>
      <name val="Times New Roman"/>
      <family val="1"/>
    </font>
    <font>
      <b/>
      <u/>
      <sz val="11"/>
      <color theme="1"/>
      <name val="Times New Roman"/>
      <family val="1"/>
    </font>
    <font>
      <vertAlign val="superscript"/>
      <sz val="11"/>
      <color theme="1"/>
      <name val="Times New Roman"/>
      <family val="1"/>
    </font>
    <font>
      <u val="singleAccounting"/>
      <sz val="11"/>
      <color theme="1"/>
      <name val="Times New Roman"/>
      <family val="1"/>
    </font>
    <font>
      <sz val="10"/>
      <color theme="1"/>
      <name val="Times New Roman"/>
      <family val="1"/>
    </font>
    <font>
      <vertAlign val="superscript"/>
      <sz val="10"/>
      <color theme="1"/>
      <name val="Times New Roman"/>
      <family val="1"/>
    </font>
    <font>
      <sz val="10"/>
      <color theme="0"/>
      <name val="Times New Roman"/>
      <family val="1"/>
    </font>
    <font>
      <sz val="11"/>
      <color rgb="FF000000"/>
      <name val="Times New Roman"/>
      <family val="1"/>
    </font>
    <font>
      <sz val="11"/>
      <color rgb="FF231F20"/>
      <name val="Times New Roman"/>
      <family val="1"/>
    </font>
    <font>
      <b/>
      <sz val="11"/>
      <color rgb="FF231F20"/>
      <name val="Times New Roman"/>
      <family val="1"/>
    </font>
    <font>
      <i/>
      <sz val="11"/>
      <color rgb="FF231F20"/>
      <name val="Times New Roman"/>
      <family val="1"/>
    </font>
    <font>
      <u/>
      <sz val="11"/>
      <color theme="1"/>
      <name val="Times New Roman"/>
      <family val="1"/>
    </font>
    <font>
      <b/>
      <sz val="11"/>
      <color theme="1"/>
      <name val="Times New Roman"/>
      <family val="1"/>
    </font>
    <font>
      <b/>
      <sz val="14"/>
      <color theme="1"/>
      <name val="Times New Roman"/>
      <family val="1"/>
    </font>
    <font>
      <b/>
      <sz val="14"/>
      <name val="Times New Roman"/>
      <family val="1"/>
    </font>
    <font>
      <b/>
      <u/>
      <sz val="11"/>
      <name val="Times New Roman"/>
      <family val="1"/>
    </font>
    <font>
      <b/>
      <sz val="11"/>
      <color rgb="FF7030A0"/>
      <name val="Times New Roman"/>
      <family val="1"/>
    </font>
    <font>
      <b/>
      <vertAlign val="superscript"/>
      <sz val="11"/>
      <name val="Times New Roman"/>
      <family val="1"/>
    </font>
    <font>
      <vertAlign val="superscript"/>
      <sz val="11"/>
      <name val="Times New Roman"/>
      <family val="1"/>
    </font>
    <font>
      <sz val="9"/>
      <color theme="1"/>
      <name val="Times New Roman"/>
      <family val="1"/>
    </font>
    <font>
      <b/>
      <sz val="12"/>
      <color rgb="FF231F20"/>
      <name val="Times New Roman"/>
      <family val="1"/>
    </font>
    <font>
      <vertAlign val="superscript"/>
      <sz val="11"/>
      <color rgb="FF231F20"/>
      <name val="Times New Roman"/>
      <family val="1"/>
    </font>
    <font>
      <b/>
      <vertAlign val="superscript"/>
      <sz val="10"/>
      <color rgb="FF231F20"/>
      <name val="Times New Roman"/>
      <family val="1"/>
    </font>
    <font>
      <sz val="10"/>
      <color rgb="FF231F20"/>
      <name val="Times New Roman"/>
      <family val="1"/>
    </font>
    <font>
      <u val="doubleAccounting"/>
      <sz val="11"/>
      <color theme="1"/>
      <name val="Times New Roman"/>
      <family val="1"/>
    </font>
    <font>
      <b/>
      <u/>
      <sz val="14"/>
      <color theme="1"/>
      <name val="Times New Roman"/>
      <family val="1"/>
    </font>
    <font>
      <b/>
      <sz val="9"/>
      <color theme="1"/>
      <name val="Times New Roman"/>
      <family val="1"/>
    </font>
    <font>
      <b/>
      <u/>
      <sz val="9"/>
      <color theme="1"/>
      <name val="Times New Roman"/>
      <family val="1"/>
    </font>
    <font>
      <u val="doubleAccounting"/>
      <sz val="9"/>
      <color theme="1"/>
      <name val="Times New Roman"/>
      <family val="1"/>
    </font>
    <font>
      <b/>
      <u/>
      <sz val="10"/>
      <name val="Times New Roman"/>
      <family val="1"/>
    </font>
    <font>
      <u/>
      <sz val="10"/>
      <name val="Times New Roman"/>
      <family val="1"/>
    </font>
    <font>
      <u val="doubleAccounting"/>
      <sz val="10"/>
      <name val="Times New Roman"/>
      <family val="1"/>
    </font>
    <font>
      <sz val="10"/>
      <name val="Calibri"/>
      <family val="2"/>
      <scheme val="minor"/>
    </font>
    <font>
      <b/>
      <sz val="10"/>
      <name val="Calibri"/>
      <family val="2"/>
      <scheme val="minor"/>
    </font>
    <font>
      <i/>
      <sz val="12"/>
      <color rgb="FF231F20"/>
      <name val="Times New Roman"/>
      <family val="1"/>
    </font>
    <font>
      <b/>
      <u/>
      <sz val="10"/>
      <color theme="1"/>
      <name val="Times New Roman"/>
      <family val="1"/>
    </font>
    <font>
      <u val="singleAccounting"/>
      <sz val="10"/>
      <color theme="1"/>
      <name val="Times New Roman"/>
      <family val="1"/>
    </font>
    <font>
      <b/>
      <sz val="10"/>
      <color rgb="FF231F20"/>
      <name val="Times New Roman"/>
      <family val="1"/>
    </font>
    <font>
      <i/>
      <sz val="10"/>
      <color rgb="FF231F20"/>
      <name val="Times New Roman"/>
      <family val="1"/>
    </font>
    <font>
      <i/>
      <sz val="10"/>
      <color theme="1"/>
      <name val="Times New Roman"/>
      <family val="1"/>
    </font>
    <font>
      <i/>
      <vertAlign val="superscript"/>
      <sz val="10"/>
      <color rgb="FF231F20"/>
      <name val="Times New Roman"/>
      <family val="1"/>
    </font>
    <font>
      <i/>
      <vertAlign val="superscript"/>
      <sz val="10"/>
      <color theme="1"/>
      <name val="Times New Roman"/>
      <family val="1"/>
    </font>
    <font>
      <u val="doubleAccounting"/>
      <sz val="11"/>
      <name val="Times New Roman"/>
      <family val="1"/>
    </font>
    <font>
      <b/>
      <sz val="10"/>
      <color theme="1"/>
      <name val="Times New Roman"/>
      <family val="1"/>
    </font>
    <font>
      <sz val="11"/>
      <color indexed="81"/>
      <name val="Tahoma"/>
      <family val="2"/>
    </font>
    <font>
      <sz val="11"/>
      <color indexed="81"/>
      <name val="Tahoma"/>
      <charset val="1"/>
    </font>
    <font>
      <b/>
      <sz val="11"/>
      <color indexed="81"/>
      <name val="Tahoma"/>
      <charset val="1"/>
    </font>
    <font>
      <sz val="11"/>
      <color theme="0"/>
      <name val="Times New Roman"/>
      <family val="1"/>
    </font>
    <font>
      <b/>
      <sz val="14"/>
      <color theme="0"/>
      <name val="Times New Roman"/>
      <family val="1"/>
    </font>
    <font>
      <b/>
      <sz val="11"/>
      <color theme="0"/>
      <name val="Times New Roman"/>
      <family val="1"/>
    </font>
    <font>
      <b/>
      <u/>
      <sz val="11"/>
      <color theme="0"/>
      <name val="Times New Roman"/>
      <family val="1"/>
    </font>
    <font>
      <u val="doubleAccounting"/>
      <sz val="10"/>
      <color theme="0"/>
      <name val="Times New Roman"/>
      <family val="1"/>
    </font>
    <font>
      <u/>
      <sz val="11"/>
      <color theme="0"/>
      <name val="Times New Roman"/>
      <family val="1"/>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patternFill>
    </fill>
  </fills>
  <borders count="44">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right/>
      <top/>
      <bottom style="thin">
        <color indexed="64"/>
      </bottom>
      <diagonal/>
    </border>
    <border>
      <left style="double">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auto="1"/>
      </left>
      <right/>
      <top/>
      <bottom style="double">
        <color auto="1"/>
      </bottom>
      <diagonal/>
    </border>
    <border>
      <left/>
      <right style="double">
        <color auto="1"/>
      </right>
      <top/>
      <bottom style="double">
        <color auto="1"/>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53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xf numFmtId="0" fontId="6" fillId="0" borderId="0"/>
    <xf numFmtId="0" fontId="5" fillId="0" borderId="0"/>
    <xf numFmtId="0" fontId="2" fillId="0" borderId="0"/>
    <xf numFmtId="37" fontId="7" fillId="0" borderId="0"/>
    <xf numFmtId="0" fontId="8" fillId="0" borderId="0"/>
    <xf numFmtId="0" fontId="2" fillId="0" borderId="0"/>
    <xf numFmtId="43" fontId="8" fillId="0" borderId="0" applyFont="0" applyFill="0" applyBorder="0" applyAlignment="0" applyProtection="0"/>
    <xf numFmtId="0" fontId="2" fillId="0" borderId="0"/>
    <xf numFmtId="9" fontId="4" fillId="0" borderId="0" applyFont="0" applyFill="0" applyBorder="0" applyAlignment="0" applyProtection="0"/>
    <xf numFmtId="0" fontId="2" fillId="0" borderId="0"/>
    <xf numFmtId="0" fontId="2" fillId="0" borderId="0"/>
    <xf numFmtId="0" fontId="2" fillId="0" borderId="0"/>
    <xf numFmtId="0" fontId="2" fillId="0" borderId="0"/>
    <xf numFmtId="0" fontId="9"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13" fillId="20" borderId="26" applyNumberFormat="0" applyAlignment="0" applyProtection="0"/>
    <xf numFmtId="0" fontId="14" fillId="21" borderId="27" applyNumberFormat="0" applyAlignment="0" applyProtection="0"/>
    <xf numFmtId="43" fontId="9"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28" applyNumberFormat="0" applyFill="0" applyAlignment="0" applyProtection="0"/>
    <xf numFmtId="0" fontId="18" fillId="0" borderId="29" applyNumberFormat="0" applyFill="0" applyAlignment="0" applyProtection="0"/>
    <xf numFmtId="0" fontId="19" fillId="0" borderId="30" applyNumberFormat="0" applyFill="0" applyAlignment="0" applyProtection="0"/>
    <xf numFmtId="0" fontId="19" fillId="0" borderId="0" applyNumberFormat="0" applyFill="0" applyBorder="0" applyAlignment="0" applyProtection="0"/>
    <xf numFmtId="0" fontId="20" fillId="7" borderId="26" applyNumberFormat="0" applyAlignment="0" applyProtection="0"/>
    <xf numFmtId="0" fontId="21" fillId="0" borderId="31" applyNumberFormat="0" applyFill="0" applyAlignment="0" applyProtection="0"/>
    <xf numFmtId="0" fontId="22" fillId="22" borderId="0" applyNumberFormat="0" applyBorder="0" applyAlignment="0" applyProtection="0"/>
    <xf numFmtId="0" fontId="27" fillId="0" borderId="0"/>
    <xf numFmtId="0" fontId="8" fillId="23" borderId="32" applyNumberFormat="0" applyFont="0" applyAlignment="0" applyProtection="0"/>
    <xf numFmtId="0" fontId="23" fillId="20" borderId="33" applyNumberFormat="0" applyAlignment="0" applyProtection="0"/>
    <xf numFmtId="9" fontId="9" fillId="0" borderId="0" applyFont="0" applyFill="0" applyBorder="0" applyAlignment="0" applyProtection="0"/>
    <xf numFmtId="0" fontId="24" fillId="0" borderId="0" applyNumberFormat="0" applyFill="0" applyBorder="0" applyAlignment="0" applyProtection="0"/>
    <xf numFmtId="0" fontId="25" fillId="0" borderId="34" applyNumberFormat="0" applyFill="0" applyAlignment="0" applyProtection="0"/>
    <xf numFmtId="0" fontId="26"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0"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27" fillId="11" borderId="0" applyNumberFormat="0" applyBorder="0" applyAlignment="0" applyProtection="0"/>
    <xf numFmtId="0" fontId="27" fillId="3" borderId="0" applyNumberFormat="0" applyBorder="0" applyAlignment="0" applyProtection="0"/>
    <xf numFmtId="0" fontId="33" fillId="4" borderId="0" applyNumberFormat="0" applyBorder="0" applyAlignment="0" applyProtection="0"/>
    <xf numFmtId="0" fontId="28" fillId="19" borderId="0" applyNumberFormat="0" applyBorder="0" applyAlignment="0" applyProtection="0"/>
    <xf numFmtId="0" fontId="28" fillId="13" borderId="0" applyNumberFormat="0" applyBorder="0" applyAlignment="0" applyProtection="0"/>
    <xf numFmtId="0" fontId="27" fillId="9" borderId="0" applyNumberFormat="0" applyBorder="0" applyAlignment="0" applyProtection="0"/>
    <xf numFmtId="0" fontId="27" fillId="6" borderId="0" applyNumberFormat="0" applyBorder="0" applyAlignment="0" applyProtection="0"/>
    <xf numFmtId="0" fontId="31" fillId="21" borderId="27" applyNumberFormat="0" applyAlignment="0" applyProtection="0"/>
    <xf numFmtId="0" fontId="27" fillId="8" borderId="0" applyNumberFormat="0" applyBorder="0" applyAlignment="0" applyProtection="0"/>
    <xf numFmtId="0" fontId="27" fillId="4" borderId="0" applyNumberFormat="0" applyBorder="0" applyAlignment="0" applyProtection="0"/>
    <xf numFmtId="0" fontId="27" fillId="8" borderId="0" applyNumberFormat="0" applyBorder="0" applyAlignment="0" applyProtection="0"/>
    <xf numFmtId="0" fontId="36" fillId="0" borderId="30" applyNumberFormat="0" applyFill="0" applyAlignment="0" applyProtection="0"/>
    <xf numFmtId="0" fontId="38" fillId="0" borderId="31" applyNumberFormat="0" applyFill="0" applyAlignment="0" applyProtection="0"/>
    <xf numFmtId="0" fontId="39" fillId="22" borderId="0" applyNumberFormat="0" applyBorder="0" applyAlignment="0" applyProtection="0"/>
    <xf numFmtId="0" fontId="4" fillId="0" borderId="0"/>
    <xf numFmtId="0" fontId="9" fillId="0" borderId="0"/>
    <xf numFmtId="0" fontId="27" fillId="23" borderId="32" applyNumberFormat="0" applyFont="0" applyAlignment="0" applyProtection="0"/>
    <xf numFmtId="0" fontId="40" fillId="20" borderId="33" applyNumberFormat="0" applyAlignment="0" applyProtection="0"/>
    <xf numFmtId="9" fontId="8" fillId="0" borderId="0" applyFont="0" applyFill="0" applyBorder="0" applyAlignment="0" applyProtection="0"/>
    <xf numFmtId="9" fontId="8" fillId="0" borderId="0" applyFont="0" applyFill="0" applyBorder="0" applyAlignment="0" applyProtection="0"/>
    <xf numFmtId="0" fontId="35" fillId="0" borderId="29" applyNumberFormat="0" applyFill="0" applyAlignment="0" applyProtection="0"/>
    <xf numFmtId="0" fontId="32" fillId="0" borderId="0" applyNumberFormat="0" applyFill="0" applyBorder="0" applyAlignment="0" applyProtection="0"/>
    <xf numFmtId="0" fontId="27" fillId="2" borderId="0" applyNumberFormat="0" applyBorder="0" applyAlignment="0" applyProtection="0"/>
    <xf numFmtId="0" fontId="27" fillId="5" borderId="0" applyNumberFormat="0" applyBorder="0" applyAlignment="0" applyProtection="0"/>
    <xf numFmtId="0" fontId="29" fillId="3" borderId="0" applyNumberFormat="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0" fontId="27" fillId="10" borderId="0" applyNumberFormat="0" applyBorder="0" applyAlignment="0" applyProtection="0"/>
    <xf numFmtId="0" fontId="28" fillId="14" borderId="0" applyNumberFormat="0" applyBorder="0" applyAlignment="0" applyProtection="0"/>
    <xf numFmtId="0" fontId="42" fillId="0" borderId="0" applyNumberFormat="0" applyFill="0" applyBorder="0" applyAlignment="0" applyProtection="0"/>
    <xf numFmtId="0" fontId="37" fillId="7" borderId="26" applyNumberFormat="0" applyAlignment="0" applyProtection="0"/>
    <xf numFmtId="0" fontId="28" fillId="9" borderId="0" applyNumberFormat="0" applyBorder="0" applyAlignment="0" applyProtection="0"/>
    <xf numFmtId="0" fontId="28" fillId="12" borderId="0" applyNumberFormat="0" applyBorder="0" applyAlignment="0" applyProtection="0"/>
    <xf numFmtId="0" fontId="28" fillId="18" borderId="0" applyNumberFormat="0" applyBorder="0" applyAlignment="0" applyProtection="0"/>
    <xf numFmtId="0" fontId="30" fillId="20" borderId="26" applyNumberFormat="0" applyAlignment="0" applyProtection="0"/>
    <xf numFmtId="0" fontId="28" fillId="16" borderId="0" applyNumberFormat="0" applyBorder="0" applyAlignment="0" applyProtection="0"/>
    <xf numFmtId="0" fontId="41" fillId="0" borderId="34" applyNumberFormat="0" applyFill="0" applyAlignment="0" applyProtection="0"/>
    <xf numFmtId="0" fontId="28" fillId="14" borderId="0" applyNumberFormat="0" applyBorder="0" applyAlignment="0" applyProtection="0"/>
    <xf numFmtId="0" fontId="34" fillId="0" borderId="28" applyNumberFormat="0" applyFill="0" applyAlignment="0" applyProtection="0"/>
    <xf numFmtId="0" fontId="28" fillId="17" borderId="0" applyNumberFormat="0" applyBorder="0" applyAlignment="0" applyProtection="0"/>
    <xf numFmtId="0" fontId="28" fillId="15" borderId="0" applyNumberFormat="0" applyBorder="0" applyAlignment="0" applyProtection="0"/>
    <xf numFmtId="0" fontId="28" fillId="10" borderId="0" applyNumberFormat="0" applyBorder="0" applyAlignment="0" applyProtection="0"/>
    <xf numFmtId="0" fontId="27" fillId="5" borderId="0" applyNumberFormat="0" applyBorder="0" applyAlignment="0" applyProtection="0"/>
    <xf numFmtId="0" fontId="27" fillId="7" borderId="0" applyNumberFormat="0" applyBorder="0" applyAlignment="0" applyProtection="0"/>
    <xf numFmtId="0" fontId="28" fillId="13" borderId="0" applyNumberFormat="0" applyBorder="0" applyAlignment="0" applyProtection="0"/>
    <xf numFmtId="0" fontId="9" fillId="0" borderId="0" applyFill="0" applyBorder="0" applyAlignment="0" applyProtection="0"/>
    <xf numFmtId="0" fontId="9" fillId="0" borderId="0" applyFill="0" applyBorder="0" applyAlignment="0" applyProtection="0"/>
    <xf numFmtId="0" fontId="45" fillId="0" borderId="0" applyFill="0" applyBorder="0" applyProtection="0">
      <alignment horizontal="center" vertical="center"/>
    </xf>
    <xf numFmtId="171" fontId="47" fillId="0" borderId="0" applyFont="0" applyFill="0" applyBorder="0" applyAlignment="0" applyProtection="0"/>
    <xf numFmtId="172" fontId="47" fillId="0" borderId="0" applyFont="0" applyFill="0" applyBorder="0" applyAlignment="0" applyProtection="0"/>
    <xf numFmtId="173" fontId="47" fillId="0" borderId="0" applyFont="0" applyFill="0" applyBorder="0" applyAlignment="0" applyProtection="0"/>
    <xf numFmtId="174" fontId="47" fillId="0" borderId="0" applyFont="0" applyFill="0" applyBorder="0" applyAlignment="0" applyProtection="0"/>
    <xf numFmtId="175" fontId="47" fillId="0" borderId="0" applyFont="0" applyFill="0" applyBorder="0" applyAlignment="0" applyProtection="0"/>
    <xf numFmtId="0" fontId="43" fillId="0" borderId="0" applyFill="0" applyBorder="0" applyAlignment="0" applyProtection="0"/>
    <xf numFmtId="176" fontId="47" fillId="0" borderId="0" applyFont="0" applyFill="0" applyBorder="0" applyAlignment="0" applyProtection="0"/>
    <xf numFmtId="177" fontId="47" fillId="0" borderId="0" applyFont="0" applyFill="0" applyBorder="0" applyAlignment="0" applyProtection="0"/>
    <xf numFmtId="178" fontId="47" fillId="0" borderId="0" applyFont="0" applyFill="0" applyBorder="0" applyAlignment="0" applyProtection="0"/>
    <xf numFmtId="179" fontId="47" fillId="0" borderId="0" applyFont="0" applyFill="0" applyBorder="0" applyAlignment="0" applyProtection="0"/>
    <xf numFmtId="180" fontId="47" fillId="0" borderId="0" applyFont="0" applyFill="0" applyBorder="0" applyAlignment="0" applyProtection="0"/>
    <xf numFmtId="181" fontId="9" fillId="0" borderId="0" applyFont="0" applyFill="0" applyBorder="0" applyAlignment="0" applyProtection="0"/>
    <xf numFmtId="0" fontId="44" fillId="0" borderId="0" applyFill="0" applyAlignment="0" applyProtection="0"/>
    <xf numFmtId="0" fontId="44" fillId="0" borderId="6" applyFill="0" applyAlignment="0" applyProtection="0"/>
    <xf numFmtId="0" fontId="44" fillId="0" borderId="0" applyFill="0" applyAlignment="0" applyProtection="0"/>
    <xf numFmtId="0" fontId="48" fillId="0" borderId="0" applyFill="0" applyBorder="0" applyAlignment="0" applyProtection="0"/>
    <xf numFmtId="0" fontId="50" fillId="0" borderId="0" applyFill="0" applyBorder="0" applyAlignment="0" applyProtection="0"/>
    <xf numFmtId="0" fontId="49" fillId="0" borderId="0" applyFill="0" applyBorder="0" applyAlignment="0" applyProtection="0"/>
    <xf numFmtId="0" fontId="46" fillId="0" borderId="0" applyFill="0" applyBorder="0" applyAlignment="0" applyProtection="0"/>
    <xf numFmtId="9" fontId="47" fillId="0" borderId="0" applyFont="0" applyFill="0" applyBorder="0" applyAlignment="0" applyProtection="0"/>
    <xf numFmtId="182" fontId="47" fillId="0" borderId="0" applyFont="0" applyFill="0" applyBorder="0" applyAlignment="0" applyProtection="0"/>
    <xf numFmtId="183" fontId="47" fillId="0" borderId="0" applyFont="0" applyFill="0" applyBorder="0" applyAlignment="0" applyProtection="0"/>
    <xf numFmtId="184" fontId="47" fillId="0" borderId="0" applyFont="0" applyFill="0" applyBorder="0" applyAlignment="0" applyProtection="0"/>
    <xf numFmtId="185" fontId="47" fillId="0" borderId="0" applyFont="0" applyFill="0" applyBorder="0" applyAlignment="0" applyProtection="0"/>
    <xf numFmtId="186" fontId="47" fillId="0" borderId="0" applyFont="0" applyFill="0" applyBorder="0" applyAlignment="0" applyProtection="0"/>
    <xf numFmtId="187" fontId="47" fillId="0" borderId="0" applyFont="0" applyFill="0" applyBorder="0" applyAlignment="0" applyProtection="0"/>
    <xf numFmtId="188" fontId="47" fillId="0" borderId="0" applyFont="0" applyFill="0" applyBorder="0" applyAlignment="0" applyProtection="0"/>
    <xf numFmtId="189" fontId="47" fillId="0" borderId="0" applyFont="0" applyFill="0" applyBorder="0" applyAlignment="0" applyProtection="0"/>
    <xf numFmtId="190" fontId="47" fillId="0" borderId="0" applyFont="0" applyFill="0" applyBorder="0" applyAlignment="0" applyProtection="0"/>
    <xf numFmtId="191" fontId="47" fillId="0" borderId="0" applyFont="0" applyFill="0" applyBorder="0" applyAlignment="0" applyProtection="0"/>
    <xf numFmtId="192" fontId="47" fillId="0" borderId="0" applyFont="0" applyFill="0" applyBorder="0" applyAlignment="0" applyProtection="0"/>
    <xf numFmtId="193" fontId="47" fillId="0" borderId="0" applyFont="0" applyFill="0" applyBorder="0" applyAlignment="0" applyProtection="0"/>
    <xf numFmtId="194" fontId="47" fillId="0" borderId="0" applyFont="0" applyFill="0" applyBorder="0" applyAlignment="0" applyProtection="0"/>
    <xf numFmtId="195" fontId="47" fillId="0" borderId="0" applyFont="0" applyFill="0" applyBorder="0" applyAlignment="0" applyProtection="0"/>
    <xf numFmtId="196" fontId="47" fillId="0" borderId="0" applyFont="0" applyFill="0" applyBorder="0" applyAlignment="0" applyProtection="0"/>
    <xf numFmtId="197" fontId="47" fillId="0" borderId="0" applyFont="0" applyFill="0" applyBorder="0" applyAlignment="0" applyProtection="0"/>
    <xf numFmtId="198" fontId="47" fillId="0" borderId="0" applyFont="0" applyFill="0" applyBorder="0" applyAlignment="0" applyProtection="0"/>
    <xf numFmtId="199" fontId="47" fillId="0" borderId="0" applyFont="0" applyFill="0" applyBorder="0" applyAlignment="0" applyProtection="0"/>
    <xf numFmtId="200" fontId="47" fillId="0" borderId="0" applyFont="0" applyFill="0" applyBorder="0" applyAlignment="0" applyProtection="0"/>
    <xf numFmtId="201" fontId="47" fillId="0" borderId="0" applyFont="0" applyFill="0" applyBorder="0" applyAlignment="0" applyProtection="0"/>
    <xf numFmtId="0" fontId="51" fillId="0" borderId="0" applyFill="0" applyBorder="0" applyAlignment="0" applyProtection="0"/>
    <xf numFmtId="0" fontId="44" fillId="0" borderId="0" applyFill="0" applyBorder="0" applyProtection="0">
      <alignment horizontal="center" vertical="center"/>
    </xf>
    <xf numFmtId="171" fontId="52" fillId="0" borderId="0" applyFont="0" applyFill="0" applyBorder="0" applyAlignment="0" applyProtection="0"/>
    <xf numFmtId="172" fontId="52"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6" fontId="52" fillId="0" borderId="0" applyFont="0" applyFill="0" applyBorder="0" applyAlignment="0" applyProtection="0"/>
    <xf numFmtId="177" fontId="52" fillId="0" borderId="0" applyFont="0" applyFill="0" applyBorder="0" applyAlignment="0" applyProtection="0"/>
    <xf numFmtId="178" fontId="52" fillId="0" borderId="0" applyFont="0" applyFill="0" applyBorder="0" applyAlignment="0" applyProtection="0"/>
    <xf numFmtId="179" fontId="52" fillId="0" borderId="0" applyFont="0" applyFill="0" applyBorder="0" applyAlignment="0" applyProtection="0"/>
    <xf numFmtId="180" fontId="52" fillId="0" borderId="0" applyFont="0" applyFill="0" applyBorder="0" applyAlignment="0" applyProtection="0"/>
    <xf numFmtId="181" fontId="51" fillId="0" borderId="0" applyFont="0" applyFill="0" applyBorder="0" applyAlignment="0" applyProtection="0"/>
    <xf numFmtId="0" fontId="46" fillId="0" borderId="0" applyFill="0" applyAlignment="0" applyProtection="0"/>
    <xf numFmtId="0" fontId="53" fillId="0" borderId="0" applyFill="0" applyBorder="0" applyAlignment="0" applyProtection="0"/>
    <xf numFmtId="0" fontId="55" fillId="0" borderId="0" applyFill="0" applyBorder="0" applyAlignment="0" applyProtection="0"/>
    <xf numFmtId="0" fontId="54" fillId="0" borderId="0" applyFill="0" applyBorder="0" applyAlignment="0" applyProtection="0"/>
    <xf numFmtId="9" fontId="52" fillId="0" borderId="0" applyFont="0" applyFill="0" applyBorder="0" applyAlignment="0" applyProtection="0"/>
    <xf numFmtId="182" fontId="52" fillId="0" borderId="0" applyFont="0" applyFill="0" applyBorder="0" applyAlignment="0" applyProtection="0"/>
    <xf numFmtId="183" fontId="52" fillId="0" borderId="0" applyFont="0" applyFill="0" applyBorder="0" applyAlignment="0" applyProtection="0"/>
    <xf numFmtId="184" fontId="52" fillId="0" borderId="0" applyFont="0" applyFill="0" applyBorder="0" applyAlignment="0" applyProtection="0"/>
    <xf numFmtId="185" fontId="52" fillId="0" borderId="0" applyFont="0" applyFill="0" applyBorder="0" applyAlignment="0" applyProtection="0"/>
    <xf numFmtId="186"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192" fontId="52" fillId="0" borderId="0" applyFont="0" applyFill="0" applyBorder="0" applyAlignment="0" applyProtection="0"/>
    <xf numFmtId="193" fontId="52" fillId="0" borderId="0" applyFont="0" applyFill="0" applyBorder="0" applyAlignment="0" applyProtection="0"/>
    <xf numFmtId="194"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7" fontId="52" fillId="0" borderId="0" applyFont="0" applyFill="0" applyBorder="0" applyAlignment="0" applyProtection="0"/>
    <xf numFmtId="198" fontId="52" fillId="0" borderId="0" applyFont="0" applyFill="0" applyBorder="0" applyAlignment="0" applyProtection="0"/>
    <xf numFmtId="199" fontId="52" fillId="0" borderId="0" applyFont="0" applyFill="0" applyBorder="0" applyAlignment="0" applyProtection="0"/>
    <xf numFmtId="200" fontId="52" fillId="0" borderId="0" applyFont="0" applyFill="0" applyBorder="0" applyAlignment="0" applyProtection="0"/>
    <xf numFmtId="201" fontId="52" fillId="0" borderId="0" applyFont="0" applyFill="0" applyBorder="0" applyAlignment="0" applyProtection="0"/>
    <xf numFmtId="0" fontId="56" fillId="0" borderId="0"/>
    <xf numFmtId="43" fontId="56" fillId="0" borderId="0" applyFont="0" applyFill="0" applyBorder="0" applyAlignment="0" applyProtection="0"/>
    <xf numFmtId="44" fontId="56" fillId="0" borderId="0" applyFont="0" applyFill="0" applyBorder="0" applyAlignment="0" applyProtection="0"/>
    <xf numFmtId="171" fontId="47" fillId="0" borderId="0" applyFont="0" applyFill="0" applyBorder="0" applyAlignment="0" applyProtection="0"/>
    <xf numFmtId="0" fontId="9" fillId="0" borderId="0" applyFill="0" applyBorder="0" applyAlignment="0" applyProtection="0"/>
    <xf numFmtId="176" fontId="47" fillId="0" borderId="0" applyFont="0" applyFill="0" applyBorder="0" applyAlignment="0" applyProtection="0"/>
    <xf numFmtId="171" fontId="47" fillId="0" borderId="0" applyFont="0" applyFill="0" applyBorder="0" applyAlignment="0" applyProtection="0"/>
    <xf numFmtId="176" fontId="47" fillId="0" borderId="0" applyFont="0" applyFill="0" applyBorder="0" applyAlignment="0" applyProtection="0"/>
    <xf numFmtId="171" fontId="47" fillId="0" borderId="0" applyFont="0" applyFill="0" applyBorder="0" applyAlignment="0" applyProtection="0"/>
    <xf numFmtId="43" fontId="8" fillId="0" borderId="0" applyFont="0" applyFill="0" applyBorder="0" applyAlignment="0" applyProtection="0"/>
    <xf numFmtId="176"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171" fontId="52" fillId="0" borderId="0" applyFont="0" applyFill="0" applyBorder="0" applyAlignment="0" applyProtection="0"/>
    <xf numFmtId="176" fontId="52" fillId="0" borderId="0" applyFont="0" applyFill="0" applyBorder="0" applyAlignment="0" applyProtection="0"/>
    <xf numFmtId="9" fontId="52"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0" fontId="12" fillId="3" borderId="0" applyNumberFormat="0" applyBorder="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30"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3" fillId="20" borderId="26" applyNumberFormat="0" applyAlignment="0" applyProtection="0"/>
    <xf numFmtId="0" fontId="14" fillId="21" borderId="27" applyNumberFormat="0" applyAlignment="0" applyProtection="0"/>
    <xf numFmtId="43" fontId="8"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5" fillId="0" borderId="0" applyNumberFormat="0" applyFill="0" applyBorder="0" applyAlignment="0" applyProtection="0"/>
    <xf numFmtId="0" fontId="7" fillId="24" borderId="0"/>
    <xf numFmtId="0" fontId="16" fillId="4" borderId="0" applyNumberFormat="0" applyBorder="0" applyAlignment="0" applyProtection="0"/>
    <xf numFmtId="0" fontId="17" fillId="0" borderId="28" applyNumberFormat="0" applyFill="0" applyAlignment="0" applyProtection="0"/>
    <xf numFmtId="0" fontId="18" fillId="0" borderId="29" applyNumberFormat="0" applyFill="0" applyAlignment="0" applyProtection="0"/>
    <xf numFmtId="0" fontId="19" fillId="0" borderId="30" applyNumberFormat="0" applyFill="0" applyAlignment="0" applyProtection="0"/>
    <xf numFmtId="0" fontId="19" fillId="0" borderId="0" applyNumberFormat="0" applyFill="0" applyBorder="0" applyAlignment="0" applyProtection="0"/>
    <xf numFmtId="0" fontId="57" fillId="0" borderId="0" applyNumberFormat="0" applyFill="0" applyBorder="0" applyAlignment="0" applyProtection="0">
      <alignment vertical="top"/>
      <protection locked="0"/>
    </xf>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37"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0" fillId="7" borderId="26" applyNumberFormat="0" applyAlignment="0" applyProtection="0"/>
    <xf numFmtId="0" fontId="21" fillId="0" borderId="31" applyNumberFormat="0" applyFill="0" applyAlignment="0" applyProtection="0"/>
    <xf numFmtId="0" fontId="22" fillId="22" borderId="0" applyNumberFormat="0" applyBorder="0" applyAlignment="0" applyProtection="0"/>
    <xf numFmtId="37" fontId="7" fillId="0" borderId="0"/>
    <xf numFmtId="37" fontId="7" fillId="0" borderId="0"/>
    <xf numFmtId="37" fontId="7" fillId="0" borderId="0"/>
    <xf numFmtId="0" fontId="7" fillId="0" borderId="0"/>
    <xf numFmtId="37" fontId="7" fillId="0" borderId="0"/>
    <xf numFmtId="0" fontId="8" fillId="0" borderId="0"/>
    <xf numFmtId="0" fontId="8" fillId="0" borderId="0"/>
    <xf numFmtId="37" fontId="7" fillId="0" borderId="0"/>
    <xf numFmtId="0" fontId="8" fillId="0" borderId="0"/>
    <xf numFmtId="0" fontId="8" fillId="0" borderId="0"/>
    <xf numFmtId="0" fontId="8" fillId="0" borderId="0"/>
    <xf numFmtId="37" fontId="58" fillId="0" borderId="0"/>
    <xf numFmtId="37" fontId="58" fillId="0" borderId="0"/>
    <xf numFmtId="0" fontId="8" fillId="0" borderId="0"/>
    <xf numFmtId="0" fontId="8" fillId="0" borderId="0"/>
    <xf numFmtId="0" fontId="8" fillId="0" borderId="0"/>
    <xf numFmtId="0" fontId="8" fillId="0" borderId="0"/>
    <xf numFmtId="37" fontId="5" fillId="0" borderId="0"/>
    <xf numFmtId="37" fontId="58" fillId="0" borderId="0"/>
    <xf numFmtId="0" fontId="4" fillId="0" borderId="0"/>
    <xf numFmtId="37" fontId="58" fillId="0" borderId="0"/>
    <xf numFmtId="37" fontId="58" fillId="0" borderId="0"/>
    <xf numFmtId="37" fontId="58" fillId="0" borderId="0"/>
    <xf numFmtId="37" fontId="58" fillId="0" borderId="0"/>
    <xf numFmtId="37" fontId="5" fillId="0" borderId="0"/>
    <xf numFmtId="0" fontId="2" fillId="0" borderId="0"/>
    <xf numFmtId="37" fontId="58" fillId="0" borderId="0"/>
    <xf numFmtId="37" fontId="58" fillId="0" borderId="0"/>
    <xf numFmtId="37" fontId="5" fillId="0" borderId="0"/>
    <xf numFmtId="0" fontId="7" fillId="0" borderId="0"/>
    <xf numFmtId="37" fontId="5" fillId="0" borderId="0"/>
    <xf numFmtId="37" fontId="7" fillId="0" borderId="0"/>
    <xf numFmtId="37" fontId="58" fillId="0" borderId="0"/>
    <xf numFmtId="37" fontId="58" fillId="0" borderId="0"/>
    <xf numFmtId="37" fontId="5" fillId="0" borderId="0"/>
    <xf numFmtId="37" fontId="5" fillId="0" borderId="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27"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10" fillId="23" borderId="32" applyNumberFormat="0" applyFon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40"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0" fontId="23" fillId="20" borderId="33"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41"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5" fillId="0" borderId="34" applyNumberFormat="0" applyFill="0" applyAlignment="0" applyProtection="0"/>
    <xf numFmtId="0" fontId="26" fillId="0" borderId="0" applyNumberFormat="0" applyFill="0" applyBorder="0" applyAlignment="0" applyProtection="0"/>
    <xf numFmtId="0" fontId="5" fillId="0" borderId="0"/>
    <xf numFmtId="0" fontId="27" fillId="11" borderId="0" applyNumberFormat="0" applyBorder="0" applyAlignment="0" applyProtection="0"/>
    <xf numFmtId="0" fontId="27" fillId="3" borderId="0" applyNumberFormat="0" applyBorder="0" applyAlignment="0" applyProtection="0"/>
    <xf numFmtId="0" fontId="33" fillId="4" borderId="0" applyNumberFormat="0" applyBorder="0" applyAlignment="0" applyProtection="0"/>
    <xf numFmtId="0" fontId="28" fillId="19" borderId="0" applyNumberFormat="0" applyBorder="0" applyAlignment="0" applyProtection="0"/>
    <xf numFmtId="0" fontId="28" fillId="13" borderId="0" applyNumberFormat="0" applyBorder="0" applyAlignment="0" applyProtection="0"/>
    <xf numFmtId="0" fontId="27" fillId="9" borderId="0" applyNumberFormat="0" applyBorder="0" applyAlignment="0" applyProtection="0"/>
    <xf numFmtId="0" fontId="27" fillId="6" borderId="0" applyNumberFormat="0" applyBorder="0" applyAlignment="0" applyProtection="0"/>
    <xf numFmtId="0" fontId="31" fillId="21" borderId="27" applyNumberFormat="0" applyAlignment="0" applyProtection="0"/>
    <xf numFmtId="0" fontId="27" fillId="8" borderId="0" applyNumberFormat="0" applyBorder="0" applyAlignment="0" applyProtection="0"/>
    <xf numFmtId="0" fontId="27" fillId="4" borderId="0" applyNumberFormat="0" applyBorder="0" applyAlignment="0" applyProtection="0"/>
    <xf numFmtId="0" fontId="27" fillId="8" borderId="0" applyNumberFormat="0" applyBorder="0" applyAlignment="0" applyProtection="0"/>
    <xf numFmtId="0" fontId="36" fillId="0" borderId="30" applyNumberFormat="0" applyFill="0" applyAlignment="0" applyProtection="0"/>
    <xf numFmtId="0" fontId="38" fillId="0" borderId="31" applyNumberFormat="0" applyFill="0" applyAlignment="0" applyProtection="0"/>
    <xf numFmtId="0" fontId="39" fillId="22" borderId="0" applyNumberFormat="0" applyBorder="0" applyAlignment="0" applyProtection="0"/>
    <xf numFmtId="0" fontId="4" fillId="0" borderId="0"/>
    <xf numFmtId="0" fontId="27" fillId="23" borderId="32" applyNumberFormat="0" applyFont="0" applyAlignment="0" applyProtection="0"/>
    <xf numFmtId="0" fontId="40" fillId="20" borderId="33" applyNumberFormat="0" applyAlignment="0" applyProtection="0"/>
    <xf numFmtId="9" fontId="8" fillId="0" borderId="0" applyFont="0" applyFill="0" applyBorder="0" applyAlignment="0" applyProtection="0"/>
    <xf numFmtId="0" fontId="35" fillId="0" borderId="29" applyNumberFormat="0" applyFill="0" applyAlignment="0" applyProtection="0"/>
    <xf numFmtId="0" fontId="32" fillId="0" borderId="0" applyNumberFormat="0" applyFill="0" applyBorder="0" applyAlignment="0" applyProtection="0"/>
    <xf numFmtId="0" fontId="27" fillId="2" borderId="0" applyNumberFormat="0" applyBorder="0" applyAlignment="0" applyProtection="0"/>
    <xf numFmtId="0" fontId="27" fillId="5" borderId="0" applyNumberFormat="0" applyBorder="0" applyAlignment="0" applyProtection="0"/>
    <xf numFmtId="0" fontId="29" fillId="3" borderId="0" applyNumberFormat="0" applyBorder="0" applyAlignment="0" applyProtection="0"/>
    <xf numFmtId="0" fontId="36" fillId="0" borderId="0" applyNumberFormat="0" applyFill="0" applyBorder="0" applyAlignment="0" applyProtection="0"/>
    <xf numFmtId="0" fontId="27" fillId="10" borderId="0" applyNumberFormat="0" applyBorder="0" applyAlignment="0" applyProtection="0"/>
    <xf numFmtId="0" fontId="28" fillId="14" borderId="0" applyNumberFormat="0" applyBorder="0" applyAlignment="0" applyProtection="0"/>
    <xf numFmtId="0" fontId="42" fillId="0" borderId="0" applyNumberFormat="0" applyFill="0" applyBorder="0" applyAlignment="0" applyProtection="0"/>
    <xf numFmtId="0" fontId="37" fillId="7" borderId="26" applyNumberFormat="0" applyAlignment="0" applyProtection="0"/>
    <xf numFmtId="0" fontId="28" fillId="9" borderId="0" applyNumberFormat="0" applyBorder="0" applyAlignment="0" applyProtection="0"/>
    <xf numFmtId="0" fontId="28" fillId="12" borderId="0" applyNumberFormat="0" applyBorder="0" applyAlignment="0" applyProtection="0"/>
    <xf numFmtId="0" fontId="28" fillId="18" borderId="0" applyNumberFormat="0" applyBorder="0" applyAlignment="0" applyProtection="0"/>
    <xf numFmtId="0" fontId="30" fillId="20" borderId="26" applyNumberFormat="0" applyAlignment="0" applyProtection="0"/>
    <xf numFmtId="0" fontId="28" fillId="16" borderId="0" applyNumberFormat="0" applyBorder="0" applyAlignment="0" applyProtection="0"/>
    <xf numFmtId="0" fontId="41" fillId="0" borderId="34" applyNumberFormat="0" applyFill="0" applyAlignment="0" applyProtection="0"/>
    <xf numFmtId="0" fontId="28" fillId="14" borderId="0" applyNumberFormat="0" applyBorder="0" applyAlignment="0" applyProtection="0"/>
    <xf numFmtId="0" fontId="34" fillId="0" borderId="28" applyNumberFormat="0" applyFill="0" applyAlignment="0" applyProtection="0"/>
    <xf numFmtId="0" fontId="28" fillId="17" borderId="0" applyNumberFormat="0" applyBorder="0" applyAlignment="0" applyProtection="0"/>
    <xf numFmtId="0" fontId="28" fillId="15" borderId="0" applyNumberFormat="0" applyBorder="0" applyAlignment="0" applyProtection="0"/>
    <xf numFmtId="0" fontId="28" fillId="10" borderId="0" applyNumberFormat="0" applyBorder="0" applyAlignment="0" applyProtection="0"/>
    <xf numFmtId="0" fontId="27" fillId="5" borderId="0" applyNumberFormat="0" applyBorder="0" applyAlignment="0" applyProtection="0"/>
    <xf numFmtId="0" fontId="27" fillId="7" borderId="0" applyNumberFormat="0" applyBorder="0" applyAlignment="0" applyProtection="0"/>
    <xf numFmtId="0" fontId="28" fillId="13" borderId="0" applyNumberFormat="0" applyBorder="0" applyAlignment="0" applyProtection="0"/>
    <xf numFmtId="0" fontId="56" fillId="0" borderId="0"/>
    <xf numFmtId="43" fontId="56" fillId="0" borderId="0" applyFont="0" applyFill="0" applyBorder="0" applyAlignment="0" applyProtection="0"/>
    <xf numFmtId="44" fontId="56" fillId="0" borderId="0" applyFont="0" applyFill="0" applyBorder="0" applyAlignment="0" applyProtection="0"/>
    <xf numFmtId="171" fontId="47" fillId="0" borderId="0" applyFont="0" applyFill="0" applyBorder="0" applyAlignment="0" applyProtection="0"/>
    <xf numFmtId="0" fontId="9" fillId="0" borderId="0" applyFill="0" applyBorder="0" applyAlignment="0" applyProtection="0"/>
    <xf numFmtId="171"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202" fontId="51" fillId="0" borderId="0">
      <alignment horizontal="right"/>
    </xf>
  </cellStyleXfs>
  <cellXfs count="353">
    <xf numFmtId="0" fontId="0" fillId="0" borderId="0" xfId="0"/>
    <xf numFmtId="0" fontId="1" fillId="0" borderId="0" xfId="0" applyFont="1"/>
    <xf numFmtId="0" fontId="51" fillId="0" borderId="0" xfId="0" applyFont="1"/>
    <xf numFmtId="42" fontId="51" fillId="0" borderId="0" xfId="0" applyNumberFormat="1" applyFont="1"/>
    <xf numFmtId="37" fontId="51" fillId="0" borderId="0" xfId="0" applyNumberFormat="1" applyFont="1"/>
    <xf numFmtId="37" fontId="51" fillId="0" borderId="6" xfId="0" applyNumberFormat="1" applyFont="1" applyBorder="1"/>
    <xf numFmtId="42" fontId="53" fillId="0" borderId="0" xfId="0" applyNumberFormat="1" applyFont="1"/>
    <xf numFmtId="164" fontId="53" fillId="0" borderId="0" xfId="0" applyNumberFormat="1" applyFont="1"/>
    <xf numFmtId="165" fontId="0" fillId="0" borderId="0" xfId="0" applyNumberFormat="1"/>
    <xf numFmtId="0" fontId="59" fillId="0" borderId="0" xfId="0" applyFont="1"/>
    <xf numFmtId="0" fontId="59" fillId="0" borderId="1" xfId="0" applyFont="1" applyBorder="1"/>
    <xf numFmtId="0" fontId="59" fillId="0" borderId="2" xfId="0" applyFont="1" applyBorder="1"/>
    <xf numFmtId="0" fontId="59" fillId="0" borderId="3" xfId="0" applyFont="1" applyBorder="1"/>
    <xf numFmtId="0" fontId="59" fillId="0" borderId="4" xfId="0" applyFont="1" applyBorder="1"/>
    <xf numFmtId="0" fontId="59" fillId="0" borderId="6" xfId="0" applyFont="1" applyBorder="1"/>
    <xf numFmtId="0" fontId="59" fillId="0" borderId="5" xfId="0" applyFont="1" applyBorder="1"/>
    <xf numFmtId="0" fontId="59" fillId="0" borderId="7" xfId="0" applyFont="1" applyBorder="1"/>
    <xf numFmtId="0" fontId="59" fillId="0" borderId="12" xfId="0" applyFont="1" applyBorder="1"/>
    <xf numFmtId="0" fontId="59" fillId="0" borderId="13" xfId="0" applyFont="1" applyBorder="1"/>
    <xf numFmtId="0" fontId="59" fillId="0" borderId="17" xfId="0" applyFont="1" applyBorder="1"/>
    <xf numFmtId="0" fontId="59" fillId="0" borderId="11" xfId="0" applyFont="1" applyBorder="1" applyAlignment="1">
      <alignment horizontal="left" indent="1"/>
    </xf>
    <xf numFmtId="41" fontId="59" fillId="0" borderId="17" xfId="0" applyNumberFormat="1" applyFont="1" applyBorder="1" applyAlignment="1">
      <alignment horizontal="center"/>
    </xf>
    <xf numFmtId="41" fontId="59" fillId="0" borderId="18" xfId="0" applyNumberFormat="1" applyFont="1" applyBorder="1" applyAlignment="1">
      <alignment horizontal="center"/>
    </xf>
    <xf numFmtId="41" fontId="62" fillId="0" borderId="17" xfId="0" applyNumberFormat="1" applyFont="1" applyBorder="1" applyAlignment="1">
      <alignment horizontal="center"/>
    </xf>
    <xf numFmtId="0" fontId="59" fillId="0" borderId="11" xfId="0" applyFont="1" applyBorder="1" applyAlignment="1">
      <alignment horizontal="left" indent="2"/>
    </xf>
    <xf numFmtId="41" fontId="59" fillId="0" borderId="0" xfId="0" applyNumberFormat="1" applyFont="1" applyAlignment="1">
      <alignment horizontal="center"/>
    </xf>
    <xf numFmtId="0" fontId="59" fillId="0" borderId="19" xfId="0" applyFont="1" applyBorder="1"/>
    <xf numFmtId="0" fontId="59" fillId="0" borderId="20" xfId="0" applyFont="1" applyBorder="1" applyAlignment="1">
      <alignment horizontal="center"/>
    </xf>
    <xf numFmtId="0" fontId="59" fillId="0" borderId="21" xfId="0" applyFont="1" applyBorder="1" applyAlignment="1">
      <alignment horizontal="center"/>
    </xf>
    <xf numFmtId="0" fontId="59" fillId="0" borderId="22" xfId="0" applyFont="1" applyBorder="1" applyAlignment="1">
      <alignment horizontal="center"/>
    </xf>
    <xf numFmtId="0" fontId="63" fillId="0" borderId="0" xfId="0" applyFont="1"/>
    <xf numFmtId="0" fontId="63" fillId="0" borderId="0" xfId="0" applyFont="1" applyAlignment="1">
      <alignment wrapText="1"/>
    </xf>
    <xf numFmtId="37" fontId="59" fillId="0" borderId="17" xfId="0" applyNumberFormat="1" applyFont="1" applyBorder="1" applyAlignment="1">
      <alignment horizontal="right"/>
    </xf>
    <xf numFmtId="0" fontId="59" fillId="0" borderId="0" xfId="0" applyFont="1" applyAlignment="1">
      <alignment horizontal="right"/>
    </xf>
    <xf numFmtId="0" fontId="59" fillId="0" borderId="12" xfId="0" applyFont="1" applyBorder="1" applyAlignment="1">
      <alignment horizontal="right"/>
    </xf>
    <xf numFmtId="0" fontId="59" fillId="0" borderId="13" xfId="0" applyFont="1" applyBorder="1" applyAlignment="1">
      <alignment horizontal="right"/>
    </xf>
    <xf numFmtId="15" fontId="60" fillId="0" borderId="11" xfId="0" quotePrefix="1" applyNumberFormat="1" applyFont="1" applyBorder="1" applyAlignment="1">
      <alignment horizontal="center"/>
    </xf>
    <xf numFmtId="0" fontId="59" fillId="0" borderId="17" xfId="0" applyFont="1" applyBorder="1" applyAlignment="1">
      <alignment horizontal="right"/>
    </xf>
    <xf numFmtId="0" fontId="59" fillId="0" borderId="18" xfId="0" applyFont="1" applyBorder="1" applyAlignment="1">
      <alignment horizontal="right"/>
    </xf>
    <xf numFmtId="41" fontId="59" fillId="0" borderId="18" xfId="0" applyNumberFormat="1" applyFont="1" applyBorder="1" applyAlignment="1">
      <alignment horizontal="right"/>
    </xf>
    <xf numFmtId="41" fontId="62" fillId="0" borderId="18" xfId="0" applyNumberFormat="1" applyFont="1" applyBorder="1" applyAlignment="1">
      <alignment horizontal="right"/>
    </xf>
    <xf numFmtId="41" fontId="59" fillId="0" borderId="17" xfId="0" applyNumberFormat="1" applyFont="1" applyBorder="1" applyAlignment="1">
      <alignment horizontal="right"/>
    </xf>
    <xf numFmtId="41" fontId="59" fillId="0" borderId="0" xfId="0" applyNumberFormat="1" applyFont="1" applyAlignment="1">
      <alignment horizontal="right"/>
    </xf>
    <xf numFmtId="0" fontId="59" fillId="0" borderId="20" xfId="0" applyFont="1" applyBorder="1" applyAlignment="1">
      <alignment horizontal="right"/>
    </xf>
    <xf numFmtId="0" fontId="59" fillId="0" borderId="21" xfId="0" applyFont="1" applyBorder="1" applyAlignment="1">
      <alignment horizontal="right"/>
    </xf>
    <xf numFmtId="0" fontId="59" fillId="0" borderId="22" xfId="0" applyFont="1" applyBorder="1" applyAlignment="1">
      <alignment horizontal="right"/>
    </xf>
    <xf numFmtId="0" fontId="59" fillId="0" borderId="4" xfId="0" applyFont="1" applyBorder="1" applyAlignment="1">
      <alignment horizontal="left" indent="1"/>
    </xf>
    <xf numFmtId="0" fontId="68" fillId="0" borderId="0" xfId="0" applyFont="1" applyAlignment="1">
      <alignment horizontal="left" vertical="center" indent="15"/>
    </xf>
    <xf numFmtId="0" fontId="70" fillId="0" borderId="0" xfId="0" applyFont="1"/>
    <xf numFmtId="10" fontId="59" fillId="0" borderId="0" xfId="0" applyNumberFormat="1" applyFont="1"/>
    <xf numFmtId="10" fontId="59" fillId="0" borderId="0" xfId="3" applyNumberFormat="1" applyFont="1"/>
    <xf numFmtId="164" fontId="71" fillId="0" borderId="0" xfId="0" applyNumberFormat="1" applyFont="1"/>
    <xf numFmtId="164" fontId="60" fillId="0" borderId="0" xfId="0" applyNumberFormat="1" applyFont="1"/>
    <xf numFmtId="10" fontId="70" fillId="0" borderId="0" xfId="0" applyNumberFormat="1" applyFont="1"/>
    <xf numFmtId="10" fontId="70" fillId="0" borderId="0" xfId="3" applyNumberFormat="1" applyFont="1"/>
    <xf numFmtId="164" fontId="59" fillId="0" borderId="0" xfId="3" applyNumberFormat="1" applyFont="1"/>
    <xf numFmtId="164" fontId="70" fillId="0" borderId="0" xfId="3" applyNumberFormat="1" applyFont="1"/>
    <xf numFmtId="166" fontId="59" fillId="0" borderId="0" xfId="1" applyNumberFormat="1" applyFont="1"/>
    <xf numFmtId="0" fontId="53" fillId="0" borderId="0" xfId="0" applyFont="1" applyAlignment="1">
      <alignment horizontal="center"/>
    </xf>
    <xf numFmtId="0" fontId="51" fillId="0" borderId="0" xfId="0" applyFont="1" applyAlignment="1">
      <alignment horizontal="center"/>
    </xf>
    <xf numFmtId="0" fontId="53" fillId="0" borderId="0" xfId="0" applyFont="1"/>
    <xf numFmtId="0" fontId="73" fillId="0" borderId="0" xfId="0" applyFont="1" applyAlignment="1">
      <alignment horizontal="left"/>
    </xf>
    <xf numFmtId="0" fontId="53" fillId="0" borderId="0" xfId="0" applyFont="1" applyAlignment="1">
      <alignment horizontal="centerContinuous"/>
    </xf>
    <xf numFmtId="0" fontId="51" fillId="0" borderId="1" xfId="0" applyFont="1" applyBorder="1"/>
    <xf numFmtId="0" fontId="51" fillId="0" borderId="2" xfId="0" applyFont="1" applyBorder="1"/>
    <xf numFmtId="0" fontId="51" fillId="0" borderId="3" xfId="0" applyFont="1" applyBorder="1"/>
    <xf numFmtId="0" fontId="51" fillId="0" borderId="4" xfId="0" applyFont="1" applyBorder="1"/>
    <xf numFmtId="0" fontId="74" fillId="0" borderId="0" xfId="0" applyFont="1" applyAlignment="1">
      <alignment horizontal="center"/>
    </xf>
    <xf numFmtId="0" fontId="51" fillId="0" borderId="5" xfId="0" applyFont="1" applyBorder="1"/>
    <xf numFmtId="0" fontId="53" fillId="0" borderId="4" xfId="0" applyFont="1" applyBorder="1" applyAlignment="1">
      <alignment horizontal="right"/>
    </xf>
    <xf numFmtId="5" fontId="53" fillId="0" borderId="0" xfId="0" applyNumberFormat="1" applyFont="1"/>
    <xf numFmtId="0" fontId="59" fillId="0" borderId="0" xfId="0" applyFont="1" applyAlignment="1">
      <alignment horizontal="left"/>
    </xf>
    <xf numFmtId="0" fontId="71" fillId="0" borderId="0" xfId="0" applyFont="1" applyAlignment="1">
      <alignment horizontal="left"/>
    </xf>
    <xf numFmtId="0" fontId="71" fillId="0" borderId="0" xfId="0" applyFont="1"/>
    <xf numFmtId="37" fontId="53" fillId="0" borderId="0" xfId="0" applyNumberFormat="1" applyFont="1"/>
    <xf numFmtId="0" fontId="53" fillId="0" borderId="4" xfId="0" quotePrefix="1" applyFont="1" applyBorder="1" applyAlignment="1">
      <alignment horizontal="right"/>
    </xf>
    <xf numFmtId="42" fontId="75" fillId="0" borderId="0" xfId="0" applyNumberFormat="1" applyFont="1"/>
    <xf numFmtId="0" fontId="51" fillId="0" borderId="0" xfId="0" applyFont="1" applyAlignment="1">
      <alignment horizontal="left"/>
    </xf>
    <xf numFmtId="0" fontId="53" fillId="0" borderId="0" xfId="0" applyFont="1" applyAlignment="1">
      <alignment horizontal="left"/>
    </xf>
    <xf numFmtId="164" fontId="53" fillId="0" borderId="5" xfId="0" applyNumberFormat="1" applyFont="1" applyBorder="1"/>
    <xf numFmtId="0" fontId="77" fillId="0" borderId="4" xfId="0" quotePrefix="1" applyFont="1" applyBorder="1" applyAlignment="1">
      <alignment horizontal="right"/>
    </xf>
    <xf numFmtId="0" fontId="66" fillId="0" borderId="0" xfId="0" applyFont="1"/>
    <xf numFmtId="0" fontId="51" fillId="0" borderId="23" xfId="0" applyFont="1" applyBorder="1"/>
    <xf numFmtId="0" fontId="51" fillId="0" borderId="20" xfId="0" applyFont="1" applyBorder="1"/>
    <xf numFmtId="0" fontId="51" fillId="0" borderId="24" xfId="0" applyFont="1" applyBorder="1"/>
    <xf numFmtId="169" fontId="59" fillId="0" borderId="0" xfId="3" applyNumberFormat="1" applyFont="1" applyFill="1" applyBorder="1" applyAlignment="1">
      <alignment horizontal="right"/>
    </xf>
    <xf numFmtId="166" fontId="83" fillId="0" borderId="0" xfId="1" quotePrefix="1" applyNumberFormat="1" applyFont="1" applyFill="1" applyBorder="1" applyAlignment="1">
      <alignment horizontal="right" vertical="center" wrapText="1" indent="1"/>
    </xf>
    <xf numFmtId="0" fontId="51" fillId="0" borderId="25" xfId="0" applyFont="1" applyBorder="1"/>
    <xf numFmtId="0" fontId="53" fillId="0" borderId="0" xfId="0" applyFont="1" applyAlignment="1">
      <alignment horizontal="right"/>
    </xf>
    <xf numFmtId="10" fontId="51" fillId="0" borderId="0" xfId="3" applyNumberFormat="1" applyFont="1" applyBorder="1"/>
    <xf numFmtId="167" fontId="51" fillId="0" borderId="0" xfId="0" applyNumberFormat="1" applyFont="1"/>
    <xf numFmtId="167" fontId="51" fillId="0" borderId="0" xfId="2" applyNumberFormat="1" applyFont="1" applyBorder="1"/>
    <xf numFmtId="168" fontId="51" fillId="0" borderId="0" xfId="2" applyNumberFormat="1" applyFont="1" applyBorder="1"/>
    <xf numFmtId="0" fontId="53" fillId="0" borderId="0" xfId="0" quotePrefix="1" applyFont="1" applyAlignment="1">
      <alignment horizontal="right"/>
    </xf>
    <xf numFmtId="203" fontId="51" fillId="0" borderId="0" xfId="0" applyNumberFormat="1" applyFont="1"/>
    <xf numFmtId="169" fontId="59" fillId="0" borderId="0" xfId="3" applyNumberFormat="1" applyFont="1" applyFill="1"/>
    <xf numFmtId="0" fontId="78" fillId="0" borderId="0" xfId="0" applyFont="1"/>
    <xf numFmtId="166" fontId="78" fillId="0" borderId="0" xfId="1" applyNumberFormat="1" applyFont="1"/>
    <xf numFmtId="0" fontId="85" fillId="0" borderId="0" xfId="0" applyFont="1"/>
    <xf numFmtId="166" fontId="78" fillId="0" borderId="6" xfId="1" applyNumberFormat="1" applyFont="1" applyBorder="1"/>
    <xf numFmtId="0" fontId="78" fillId="0" borderId="6" xfId="0" applyFont="1" applyBorder="1"/>
    <xf numFmtId="0" fontId="86" fillId="0" borderId="0" xfId="0" applyFont="1" applyAlignment="1">
      <alignment horizontal="center"/>
    </xf>
    <xf numFmtId="0" fontId="78" fillId="0" borderId="0" xfId="0" applyFont="1" applyAlignment="1">
      <alignment horizontal="left"/>
    </xf>
    <xf numFmtId="165" fontId="78" fillId="0" borderId="0" xfId="2" applyNumberFormat="1" applyFont="1" applyBorder="1"/>
    <xf numFmtId="165" fontId="78" fillId="0" borderId="0" xfId="0" applyNumberFormat="1" applyFont="1"/>
    <xf numFmtId="166" fontId="78" fillId="0" borderId="0" xfId="1" applyNumberFormat="1" applyFont="1" applyBorder="1"/>
    <xf numFmtId="41" fontId="78" fillId="0" borderId="0" xfId="0" applyNumberFormat="1" applyFont="1"/>
    <xf numFmtId="165" fontId="87" fillId="0" borderId="0" xfId="2" applyNumberFormat="1" applyFont="1" applyBorder="1"/>
    <xf numFmtId="0" fontId="9" fillId="0" borderId="0" xfId="0" applyFont="1"/>
    <xf numFmtId="0" fontId="9" fillId="0" borderId="0" xfId="0" applyFont="1" applyAlignment="1">
      <alignment horizontal="center"/>
    </xf>
    <xf numFmtId="0" fontId="48" fillId="0" borderId="6" xfId="0" quotePrefix="1" applyFont="1" applyBorder="1" applyAlignment="1">
      <alignment horizontal="center"/>
    </xf>
    <xf numFmtId="0" fontId="48" fillId="0" borderId="0" xfId="0" applyFont="1" applyAlignment="1">
      <alignment horizontal="center"/>
    </xf>
    <xf numFmtId="0" fontId="88" fillId="0" borderId="0" xfId="0" applyFont="1"/>
    <xf numFmtId="165" fontId="9" fillId="0" borderId="0" xfId="2" applyNumberFormat="1" applyFont="1" applyBorder="1"/>
    <xf numFmtId="166" fontId="9" fillId="0" borderId="0" xfId="1" applyNumberFormat="1" applyFont="1" applyBorder="1"/>
    <xf numFmtId="37" fontId="9" fillId="0" borderId="0" xfId="0" applyNumberFormat="1" applyFont="1"/>
    <xf numFmtId="37" fontId="89" fillId="0" borderId="0" xfId="0" applyNumberFormat="1" applyFont="1"/>
    <xf numFmtId="165" fontId="90" fillId="0" borderId="0" xfId="2" applyNumberFormat="1" applyFont="1" applyBorder="1"/>
    <xf numFmtId="0" fontId="48" fillId="0" borderId="0" xfId="0" applyFont="1"/>
    <xf numFmtId="0" fontId="48" fillId="0" borderId="0" xfId="0" quotePrefix="1" applyFont="1" applyAlignment="1">
      <alignment horizontal="center"/>
    </xf>
    <xf numFmtId="0" fontId="48" fillId="0" borderId="6" xfId="0" applyFont="1" applyBorder="1" applyAlignment="1">
      <alignment horizontal="center"/>
    </xf>
    <xf numFmtId="10" fontId="9" fillId="0" borderId="0" xfId="2" applyNumberFormat="1" applyFont="1" applyBorder="1"/>
    <xf numFmtId="0" fontId="53" fillId="0" borderId="36" xfId="0" applyFont="1" applyBorder="1" applyAlignment="1">
      <alignment horizontal="center"/>
    </xf>
    <xf numFmtId="0" fontId="91" fillId="0" borderId="0" xfId="0" applyFont="1"/>
    <xf numFmtId="0" fontId="93" fillId="0" borderId="0" xfId="0" applyFont="1" applyAlignment="1">
      <alignment horizontal="left" vertical="center" indent="4"/>
    </xf>
    <xf numFmtId="0" fontId="69" fillId="0" borderId="0" xfId="0" applyFont="1" applyAlignment="1">
      <alignment horizontal="left" vertical="center" indent="15"/>
    </xf>
    <xf numFmtId="0" fontId="63" fillId="0" borderId="6" xfId="0" applyFont="1" applyBorder="1"/>
    <xf numFmtId="0" fontId="63" fillId="0" borderId="12" xfId="0" applyFont="1" applyBorder="1"/>
    <xf numFmtId="0" fontId="63" fillId="0" borderId="17" xfId="0" applyFont="1" applyBorder="1"/>
    <xf numFmtId="41" fontId="63" fillId="0" borderId="17" xfId="0" applyNumberFormat="1" applyFont="1" applyBorder="1" applyAlignment="1">
      <alignment horizontal="center"/>
    </xf>
    <xf numFmtId="41" fontId="63" fillId="0" borderId="0" xfId="0" applyNumberFormat="1" applyFont="1" applyAlignment="1">
      <alignment horizontal="center"/>
    </xf>
    <xf numFmtId="41" fontId="95" fillId="0" borderId="17" xfId="0" applyNumberFormat="1" applyFont="1" applyBorder="1" applyAlignment="1">
      <alignment horizontal="center"/>
    </xf>
    <xf numFmtId="41" fontId="63" fillId="0" borderId="17" xfId="0" applyNumberFormat="1" applyFont="1" applyBorder="1" applyAlignment="1">
      <alignment horizontal="right"/>
    </xf>
    <xf numFmtId="170" fontId="96" fillId="0" borderId="0" xfId="0" applyNumberFormat="1" applyFont="1" applyAlignment="1">
      <alignment horizontal="center" vertical="center"/>
    </xf>
    <xf numFmtId="0" fontId="97" fillId="0" borderId="0" xfId="0" applyFont="1" applyAlignment="1">
      <alignment vertical="center"/>
    </xf>
    <xf numFmtId="0" fontId="98" fillId="0" borderId="0" xfId="0" applyFont="1" applyAlignment="1">
      <alignment vertical="top" wrapText="1"/>
    </xf>
    <xf numFmtId="0" fontId="98" fillId="0" borderId="0" xfId="0" applyFont="1"/>
    <xf numFmtId="0" fontId="63" fillId="0" borderId="0" xfId="0" applyFont="1" applyAlignment="1">
      <alignment vertical="center"/>
    </xf>
    <xf numFmtId="0" fontId="100" fillId="0" borderId="0" xfId="0" quotePrefix="1" applyFont="1" applyAlignment="1">
      <alignment horizontal="right"/>
    </xf>
    <xf numFmtId="0" fontId="97" fillId="0" borderId="0" xfId="0" applyFont="1" applyAlignment="1">
      <alignment horizontal="left" vertical="center"/>
    </xf>
    <xf numFmtId="0" fontId="97" fillId="0" borderId="0" xfId="0" applyFont="1" applyAlignment="1">
      <alignment horizontal="left" vertical="center" indent="1"/>
    </xf>
    <xf numFmtId="0" fontId="63" fillId="0" borderId="0" xfId="0" applyFont="1" applyAlignment="1">
      <alignment vertical="top" wrapText="1"/>
    </xf>
    <xf numFmtId="0" fontId="63" fillId="0" borderId="37" xfId="0" applyFont="1" applyBorder="1"/>
    <xf numFmtId="0" fontId="63" fillId="0" borderId="36" xfId="0" applyFont="1" applyBorder="1"/>
    <xf numFmtId="0" fontId="63" fillId="0" borderId="38" xfId="0" applyFont="1" applyBorder="1"/>
    <xf numFmtId="0" fontId="63" fillId="0" borderId="40" xfId="0" applyFont="1" applyBorder="1"/>
    <xf numFmtId="0" fontId="63" fillId="0" borderId="41" xfId="0" applyFont="1" applyBorder="1"/>
    <xf numFmtId="0" fontId="94" fillId="0" borderId="17" xfId="0" quotePrefix="1" applyFont="1" applyBorder="1" applyAlignment="1">
      <alignment horizontal="center"/>
    </xf>
    <xf numFmtId="0" fontId="63" fillId="0" borderId="17" xfId="0" applyFont="1" applyBorder="1" applyAlignment="1">
      <alignment horizontal="left" indent="1"/>
    </xf>
    <xf numFmtId="0" fontId="63" fillId="0" borderId="17" xfId="0" applyFont="1" applyBorder="1" applyAlignment="1">
      <alignment horizontal="left" indent="2"/>
    </xf>
    <xf numFmtId="0" fontId="63" fillId="0" borderId="15" xfId="0" applyFont="1" applyBorder="1"/>
    <xf numFmtId="0" fontId="63" fillId="0" borderId="35" xfId="0" applyFont="1" applyBorder="1"/>
    <xf numFmtId="41" fontId="95" fillId="0" borderId="0" xfId="0" applyNumberFormat="1" applyFont="1" applyAlignment="1">
      <alignment horizontal="center"/>
    </xf>
    <xf numFmtId="41" fontId="63" fillId="0" borderId="35" xfId="0" applyNumberFormat="1" applyFont="1" applyBorder="1" applyAlignment="1">
      <alignment horizontal="center"/>
    </xf>
    <xf numFmtId="0" fontId="63" fillId="0" borderId="40" xfId="0" applyFont="1" applyBorder="1" applyAlignment="1">
      <alignment horizontal="center"/>
    </xf>
    <xf numFmtId="0" fontId="63" fillId="0" borderId="15" xfId="0" applyFont="1" applyBorder="1" applyAlignment="1">
      <alignment horizontal="center"/>
    </xf>
    <xf numFmtId="0" fontId="63" fillId="0" borderId="6" xfId="0" applyFont="1" applyBorder="1" applyAlignment="1">
      <alignment horizontal="center"/>
    </xf>
    <xf numFmtId="0" fontId="59" fillId="0" borderId="37" xfId="0" applyFont="1" applyBorder="1"/>
    <xf numFmtId="0" fontId="59" fillId="0" borderId="36" xfId="0" applyFont="1" applyBorder="1"/>
    <xf numFmtId="0" fontId="59" fillId="0" borderId="38" xfId="0" applyFont="1" applyBorder="1"/>
    <xf numFmtId="0" fontId="59" fillId="0" borderId="35" xfId="0" applyFont="1" applyBorder="1"/>
    <xf numFmtId="0" fontId="59" fillId="0" borderId="39" xfId="0" applyFont="1" applyBorder="1"/>
    <xf numFmtId="0" fontId="60" fillId="0" borderId="17" xfId="0" quotePrefix="1" applyFont="1" applyBorder="1" applyAlignment="1">
      <alignment horizontal="center"/>
    </xf>
    <xf numFmtId="0" fontId="59" fillId="0" borderId="17" xfId="0" applyFont="1" applyBorder="1" applyAlignment="1">
      <alignment horizontal="left" indent="1"/>
    </xf>
    <xf numFmtId="0" fontId="59" fillId="0" borderId="17" xfId="0" applyFont="1" applyBorder="1" applyAlignment="1">
      <alignment horizontal="left" indent="2"/>
    </xf>
    <xf numFmtId="0" fontId="59" fillId="0" borderId="15" xfId="0" applyFont="1" applyBorder="1"/>
    <xf numFmtId="0" fontId="59" fillId="0" borderId="6" xfId="0" applyFont="1" applyBorder="1" applyAlignment="1">
      <alignment horizontal="center"/>
    </xf>
    <xf numFmtId="0" fontId="59" fillId="0" borderId="15" xfId="0" applyFont="1" applyBorder="1" applyAlignment="1">
      <alignment horizontal="center"/>
    </xf>
    <xf numFmtId="0" fontId="102" fillId="0" borderId="0" xfId="0" applyFont="1"/>
    <xf numFmtId="41" fontId="63" fillId="0" borderId="0" xfId="0" applyNumberFormat="1" applyFont="1"/>
    <xf numFmtId="41" fontId="95" fillId="0" borderId="0" xfId="0" applyNumberFormat="1" applyFont="1"/>
    <xf numFmtId="0" fontId="60" fillId="0" borderId="0" xfId="0" applyFont="1" applyAlignment="1">
      <alignment horizontal="center"/>
    </xf>
    <xf numFmtId="41" fontId="59" fillId="0" borderId="0" xfId="0" applyNumberFormat="1" applyFont="1"/>
    <xf numFmtId="37" fontId="70" fillId="0" borderId="0" xfId="0" applyNumberFormat="1" applyFont="1"/>
    <xf numFmtId="41" fontId="70" fillId="0" borderId="0" xfId="0" applyNumberFormat="1" applyFont="1"/>
    <xf numFmtId="41" fontId="62" fillId="0" borderId="0" xfId="0" applyNumberFormat="1" applyFont="1"/>
    <xf numFmtId="0" fontId="94" fillId="0" borderId="0" xfId="0" applyFont="1"/>
    <xf numFmtId="0" fontId="71" fillId="0" borderId="0" xfId="0" applyFont="1" applyAlignment="1">
      <alignment horizontal="center"/>
    </xf>
    <xf numFmtId="0" fontId="60" fillId="0" borderId="0" xfId="0" applyFont="1" applyAlignment="1">
      <alignment horizontal="center" wrapText="1"/>
    </xf>
    <xf numFmtId="0" fontId="94" fillId="0" borderId="0" xfId="0" applyFont="1" applyAlignment="1">
      <alignment horizontal="center"/>
    </xf>
    <xf numFmtId="0" fontId="59" fillId="0" borderId="43" xfId="0" applyFont="1" applyBorder="1"/>
    <xf numFmtId="0" fontId="59" fillId="0" borderId="43" xfId="0" applyFont="1" applyBorder="1" applyAlignment="1">
      <alignment horizontal="center"/>
    </xf>
    <xf numFmtId="0" fontId="70" fillId="0" borderId="43" xfId="0" applyFont="1" applyBorder="1"/>
    <xf numFmtId="0" fontId="70" fillId="0" borderId="43" xfId="0" applyFont="1" applyBorder="1" applyAlignment="1">
      <alignment horizontal="center"/>
    </xf>
    <xf numFmtId="41" fontId="59" fillId="0" borderId="43" xfId="0" applyNumberFormat="1" applyFont="1" applyBorder="1"/>
    <xf numFmtId="42" fontId="59" fillId="0" borderId="43" xfId="0" applyNumberFormat="1" applyFont="1" applyBorder="1"/>
    <xf numFmtId="41" fontId="62" fillId="0" borderId="43" xfId="0" applyNumberFormat="1" applyFont="1" applyBorder="1"/>
    <xf numFmtId="0" fontId="53" fillId="0" borderId="6" xfId="0" applyFont="1" applyBorder="1" applyAlignment="1">
      <alignment horizontal="center"/>
    </xf>
    <xf numFmtId="41" fontId="59" fillId="0" borderId="15" xfId="0" applyNumberFormat="1" applyFont="1" applyBorder="1" applyAlignment="1">
      <alignment horizontal="center"/>
    </xf>
    <xf numFmtId="0" fontId="71" fillId="0" borderId="0" xfId="0" applyFont="1" applyAlignment="1">
      <alignment horizontal="right"/>
    </xf>
    <xf numFmtId="0" fontId="60" fillId="0" borderId="0" xfId="0" applyFont="1" applyAlignment="1">
      <alignment horizontal="right"/>
    </xf>
    <xf numFmtId="164" fontId="59" fillId="0" borderId="0" xfId="3" applyNumberFormat="1" applyFont="1" applyAlignment="1">
      <alignment horizontal="right"/>
    </xf>
    <xf numFmtId="9" fontId="59" fillId="0" borderId="0" xfId="0" applyNumberFormat="1" applyFont="1"/>
    <xf numFmtId="164" fontId="71" fillId="0" borderId="0" xfId="3" applyNumberFormat="1" applyFont="1" applyAlignment="1">
      <alignment horizontal="right"/>
    </xf>
    <xf numFmtId="164" fontId="60" fillId="0" borderId="0" xfId="3" applyNumberFormat="1" applyFont="1" applyAlignment="1">
      <alignment horizontal="right"/>
    </xf>
    <xf numFmtId="0" fontId="51" fillId="0" borderId="0" xfId="0" quotePrefix="1" applyFont="1" applyAlignment="1">
      <alignment horizontal="left"/>
    </xf>
    <xf numFmtId="165" fontId="51" fillId="0" borderId="0" xfId="2" applyNumberFormat="1" applyFont="1"/>
    <xf numFmtId="165" fontId="52" fillId="0" borderId="0" xfId="2" applyNumberFormat="1" applyFont="1"/>
    <xf numFmtId="0" fontId="52" fillId="0" borderId="0" xfId="0" applyFont="1"/>
    <xf numFmtId="0" fontId="53" fillId="0" borderId="0" xfId="0" quotePrefix="1" applyFont="1" applyAlignment="1">
      <alignment horizontal="left"/>
    </xf>
    <xf numFmtId="165" fontId="101" fillId="0" borderId="0" xfId="2" applyNumberFormat="1" applyFont="1"/>
    <xf numFmtId="0" fontId="101" fillId="0" borderId="0" xfId="0" applyFont="1"/>
    <xf numFmtId="0" fontId="92" fillId="0" borderId="0" xfId="0" applyFont="1"/>
    <xf numFmtId="165" fontId="9" fillId="0" borderId="0" xfId="2" applyNumberFormat="1" applyFont="1"/>
    <xf numFmtId="44" fontId="9" fillId="0" borderId="0" xfId="0" applyNumberFormat="1" applyFont="1"/>
    <xf numFmtId="44" fontId="1" fillId="0" borderId="0" xfId="0" applyNumberFormat="1" applyFont="1"/>
    <xf numFmtId="166" fontId="1" fillId="0" borderId="0" xfId="1" applyNumberFormat="1" applyFont="1" applyBorder="1"/>
    <xf numFmtId="165" fontId="53" fillId="0" borderId="0" xfId="2" applyNumberFormat="1" applyFont="1"/>
    <xf numFmtId="7" fontId="51" fillId="0" borderId="0" xfId="0" applyNumberFormat="1" applyFont="1"/>
    <xf numFmtId="42" fontId="59" fillId="0" borderId="0" xfId="0" applyNumberFormat="1" applyFont="1"/>
    <xf numFmtId="0" fontId="59" fillId="0" borderId="14" xfId="0" applyFont="1" applyBorder="1" applyAlignment="1">
      <alignment horizontal="left" indent="1"/>
    </xf>
    <xf numFmtId="166" fontId="59" fillId="0" borderId="17" xfId="1" applyNumberFormat="1" applyFont="1" applyBorder="1"/>
    <xf numFmtId="166" fontId="59" fillId="0" borderId="15" xfId="1" applyNumberFormat="1" applyFont="1" applyBorder="1"/>
    <xf numFmtId="164" fontId="70" fillId="0" borderId="0" xfId="3" applyNumberFormat="1" applyFont="1" applyAlignment="1">
      <alignment horizontal="right"/>
    </xf>
    <xf numFmtId="37" fontId="52" fillId="0" borderId="0" xfId="0" applyNumberFormat="1" applyFont="1"/>
    <xf numFmtId="37" fontId="101" fillId="0" borderId="0" xfId="0" applyNumberFormat="1" applyFont="1"/>
    <xf numFmtId="165" fontId="52" fillId="0" borderId="0" xfId="2" applyNumberFormat="1" applyFont="1" applyBorder="1"/>
    <xf numFmtId="165" fontId="101" fillId="0" borderId="0" xfId="2" applyNumberFormat="1" applyFont="1" applyBorder="1"/>
    <xf numFmtId="41" fontId="78" fillId="0" borderId="6" xfId="0" applyNumberFormat="1" applyFont="1" applyBorder="1"/>
    <xf numFmtId="0" fontId="74" fillId="0" borderId="0" xfId="0" applyFont="1" applyAlignment="1">
      <alignment horizontal="center" vertical="center"/>
    </xf>
    <xf numFmtId="165" fontId="53" fillId="0" borderId="0" xfId="0" applyNumberFormat="1" applyFont="1"/>
    <xf numFmtId="10" fontId="51" fillId="0" borderId="0" xfId="0" applyNumberFormat="1" applyFont="1"/>
    <xf numFmtId="10" fontId="51" fillId="0" borderId="0" xfId="3" applyNumberFormat="1" applyFont="1"/>
    <xf numFmtId="168" fontId="51" fillId="0" borderId="0" xfId="2" applyNumberFormat="1" applyFont="1"/>
    <xf numFmtId="204" fontId="51" fillId="0" borderId="0" xfId="0" applyNumberFormat="1" applyFont="1"/>
    <xf numFmtId="41" fontId="62" fillId="0" borderId="17" xfId="0" applyNumberFormat="1" applyFont="1" applyBorder="1" applyAlignment="1">
      <alignment horizontal="right"/>
    </xf>
    <xf numFmtId="0" fontId="63" fillId="0" borderId="35" xfId="0" applyFont="1" applyBorder="1" applyAlignment="1">
      <alignment horizontal="left" indent="1"/>
    </xf>
    <xf numFmtId="205" fontId="95" fillId="0" borderId="39" xfId="0" applyNumberFormat="1" applyFont="1" applyBorder="1" applyAlignment="1">
      <alignment horizontal="right"/>
    </xf>
    <xf numFmtId="205" fontId="63" fillId="0" borderId="0" xfId="0" applyNumberFormat="1" applyFont="1"/>
    <xf numFmtId="205" fontId="78" fillId="0" borderId="6" xfId="1" applyNumberFormat="1" applyFont="1" applyBorder="1"/>
    <xf numFmtId="205" fontId="78" fillId="0" borderId="0" xfId="1" applyNumberFormat="1" applyFont="1" applyBorder="1"/>
    <xf numFmtId="165" fontId="101" fillId="0" borderId="0" xfId="2" applyNumberFormat="1" applyFont="1" applyFill="1" applyBorder="1"/>
    <xf numFmtId="41" fontId="59" fillId="0" borderId="16" xfId="0" applyNumberFormat="1" applyFont="1" applyBorder="1" applyAlignment="1">
      <alignment horizontal="center"/>
    </xf>
    <xf numFmtId="166" fontId="59" fillId="0" borderId="6" xfId="1" applyNumberFormat="1" applyFont="1" applyBorder="1"/>
    <xf numFmtId="42" fontId="9" fillId="0" borderId="0" xfId="0" applyNumberFormat="1" applyFont="1"/>
    <xf numFmtId="0" fontId="67" fillId="0" borderId="0" xfId="0" applyFont="1" applyAlignment="1">
      <alignment wrapText="1"/>
    </xf>
    <xf numFmtId="0" fontId="59" fillId="0" borderId="0" xfId="0" applyFont="1" applyAlignment="1">
      <alignment wrapText="1"/>
    </xf>
    <xf numFmtId="0" fontId="72" fillId="0" borderId="25" xfId="0" applyFont="1" applyBorder="1"/>
    <xf numFmtId="0" fontId="60" fillId="0" borderId="25" xfId="0" applyFont="1" applyBorder="1"/>
    <xf numFmtId="0" fontId="84" fillId="0" borderId="25" xfId="0" applyFont="1" applyBorder="1"/>
    <xf numFmtId="0" fontId="72" fillId="0" borderId="0" xfId="0" applyFont="1"/>
    <xf numFmtId="6" fontId="59" fillId="0" borderId="0" xfId="0" applyNumberFormat="1" applyFont="1"/>
    <xf numFmtId="6" fontId="59" fillId="0" borderId="0" xfId="0" applyNumberFormat="1" applyFont="1" applyAlignment="1">
      <alignment horizontal="right"/>
    </xf>
    <xf numFmtId="6" fontId="70" fillId="0" borderId="0" xfId="0" applyNumberFormat="1" applyFont="1" applyAlignment="1">
      <alignment horizontal="right"/>
    </xf>
    <xf numFmtId="165" fontId="51" fillId="0" borderId="0" xfId="2" applyNumberFormat="1" applyFont="1" applyFill="1"/>
    <xf numFmtId="169" fontId="59" fillId="0" borderId="0" xfId="0" applyNumberFormat="1" applyFont="1"/>
    <xf numFmtId="10" fontId="71" fillId="0" borderId="0" xfId="0" applyNumberFormat="1" applyFont="1"/>
    <xf numFmtId="6" fontId="70" fillId="0" borderId="0" xfId="0" applyNumberFormat="1" applyFont="1"/>
    <xf numFmtId="0" fontId="70" fillId="0" borderId="0" xfId="0" applyFont="1" applyAlignment="1">
      <alignment horizontal="right"/>
    </xf>
    <xf numFmtId="165" fontId="59" fillId="0" borderId="0" xfId="2" applyNumberFormat="1" applyFont="1" applyFill="1"/>
    <xf numFmtId="165" fontId="59" fillId="0" borderId="0" xfId="0" quotePrefix="1" applyNumberFormat="1" applyFont="1"/>
    <xf numFmtId="1" fontId="59" fillId="0" borderId="0" xfId="0" applyNumberFormat="1" applyFont="1"/>
    <xf numFmtId="0" fontId="79" fillId="0" borderId="25" xfId="0" applyFont="1" applyBorder="1" applyAlignment="1">
      <alignment vertical="center"/>
    </xf>
    <xf numFmtId="0" fontId="59" fillId="0" borderId="25" xfId="0" applyFont="1" applyBorder="1"/>
    <xf numFmtId="0" fontId="68" fillId="0" borderId="6" xfId="0" applyFont="1" applyBorder="1" applyAlignment="1">
      <alignment horizontal="center" vertical="center" wrapText="1"/>
    </xf>
    <xf numFmtId="0" fontId="67" fillId="0" borderId="0" xfId="0" applyFont="1" applyAlignment="1">
      <alignment horizontal="left" wrapText="1"/>
    </xf>
    <xf numFmtId="0" fontId="67" fillId="0" borderId="0" xfId="0" applyFont="1" applyAlignment="1">
      <alignment horizontal="center" wrapText="1"/>
    </xf>
    <xf numFmtId="0" fontId="59" fillId="0" borderId="0" xfId="0" applyFont="1" applyAlignment="1">
      <alignment horizontal="center" wrapText="1"/>
    </xf>
    <xf numFmtId="0" fontId="67" fillId="0" borderId="0" xfId="0" applyFont="1" applyAlignment="1">
      <alignment vertical="center"/>
    </xf>
    <xf numFmtId="0" fontId="59" fillId="0" borderId="0" xfId="0" applyFont="1" applyAlignment="1">
      <alignment horizontal="center" vertical="top" wrapText="1"/>
    </xf>
    <xf numFmtId="0" fontId="67" fillId="0" borderId="0" xfId="0" applyFont="1" applyAlignment="1">
      <alignment horizontal="center" vertical="center"/>
    </xf>
    <xf numFmtId="0" fontId="81" fillId="0" borderId="0" xfId="0" applyFont="1" applyAlignment="1">
      <alignment vertical="top"/>
    </xf>
    <xf numFmtId="0" fontId="82" fillId="0" borderId="0" xfId="0" applyFont="1" applyAlignment="1">
      <alignment horizontal="left" vertical="center"/>
    </xf>
    <xf numFmtId="0" fontId="67" fillId="0" borderId="0" xfId="0" quotePrefix="1" applyFont="1" applyAlignment="1">
      <alignment horizontal="center" wrapText="1"/>
    </xf>
    <xf numFmtId="0" fontId="63" fillId="0" borderId="12" xfId="0" applyFont="1" applyBorder="1" applyAlignment="1">
      <alignment horizontal="center" vertical="center" wrapText="1"/>
    </xf>
    <xf numFmtId="0" fontId="63" fillId="0" borderId="15" xfId="0" applyFont="1" applyBorder="1" applyAlignment="1">
      <alignment horizontal="center" vertical="center" wrapText="1"/>
    </xf>
    <xf numFmtId="0" fontId="94" fillId="0" borderId="35" xfId="0" applyFont="1" applyBorder="1" applyAlignment="1">
      <alignment horizontal="center"/>
    </xf>
    <xf numFmtId="0" fontId="94" fillId="0" borderId="0" xfId="0" applyFont="1" applyAlignment="1">
      <alignment horizontal="center"/>
    </xf>
    <xf numFmtId="0" fontId="94" fillId="0" borderId="39" xfId="0" applyFont="1" applyBorder="1" applyAlignment="1">
      <alignment horizontal="center"/>
    </xf>
    <xf numFmtId="0" fontId="63" fillId="0" borderId="17" xfId="0" applyFont="1" applyBorder="1" applyAlignment="1">
      <alignment horizontal="center" vertical="center" wrapText="1"/>
    </xf>
    <xf numFmtId="0" fontId="63" fillId="0" borderId="8" xfId="0" applyFont="1" applyBorder="1" applyAlignment="1">
      <alignment horizontal="center" wrapText="1"/>
    </xf>
    <xf numFmtId="0" fontId="63" fillId="0" borderId="9" xfId="0" applyFont="1" applyBorder="1" applyAlignment="1">
      <alignment horizontal="center" wrapText="1"/>
    </xf>
    <xf numFmtId="0" fontId="63" fillId="0" borderId="42" xfId="0" applyFont="1" applyBorder="1" applyAlignment="1">
      <alignment horizontal="center" wrapText="1"/>
    </xf>
    <xf numFmtId="0" fontId="60" fillId="0" borderId="35" xfId="0" applyFont="1" applyBorder="1" applyAlignment="1">
      <alignment horizontal="center"/>
    </xf>
    <xf numFmtId="0" fontId="60" fillId="0" borderId="0" xfId="0" applyFont="1" applyAlignment="1">
      <alignment horizontal="center"/>
    </xf>
    <xf numFmtId="0" fontId="60" fillId="0" borderId="39" xfId="0" applyFont="1" applyBorder="1" applyAlignment="1">
      <alignment horizontal="center"/>
    </xf>
    <xf numFmtId="0" fontId="59" fillId="0" borderId="12"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5" xfId="0" applyFont="1" applyBorder="1" applyAlignment="1">
      <alignment horizontal="center" vertical="center" wrapText="1"/>
    </xf>
    <xf numFmtId="0" fontId="59" fillId="0" borderId="8" xfId="0" applyFont="1" applyBorder="1" applyAlignment="1">
      <alignment horizontal="center" wrapText="1"/>
    </xf>
    <xf numFmtId="0" fontId="59" fillId="0" borderId="9" xfId="0" applyFont="1" applyBorder="1" applyAlignment="1">
      <alignment horizontal="center" wrapText="1"/>
    </xf>
    <xf numFmtId="0" fontId="59" fillId="0" borderId="42" xfId="0" applyFont="1" applyBorder="1" applyAlignment="1">
      <alignment horizontal="center" wrapText="1"/>
    </xf>
    <xf numFmtId="0" fontId="60" fillId="0" borderId="4" xfId="0" applyFont="1" applyBorder="1" applyAlignment="1">
      <alignment horizontal="center"/>
    </xf>
    <xf numFmtId="0" fontId="60" fillId="0" borderId="5" xfId="0" applyFont="1" applyBorder="1" applyAlignment="1">
      <alignment horizontal="center"/>
    </xf>
    <xf numFmtId="0" fontId="59" fillId="0" borderId="7" xfId="0" applyFont="1" applyBorder="1" applyAlignment="1">
      <alignment horizontal="center" vertical="center" wrapText="1"/>
    </xf>
    <xf numFmtId="0" fontId="59" fillId="0" borderId="11" xfId="0" applyFont="1" applyBorder="1" applyAlignment="1">
      <alignment horizontal="center" vertical="center" wrapText="1"/>
    </xf>
    <xf numFmtId="0" fontId="59" fillId="0" borderId="14" xfId="0" applyFont="1" applyBorder="1" applyAlignment="1">
      <alignment horizontal="center" vertical="center" wrapText="1"/>
    </xf>
    <xf numFmtId="0" fontId="59" fillId="0" borderId="10" xfId="0" applyFont="1" applyBorder="1" applyAlignment="1">
      <alignment horizontal="center" wrapText="1"/>
    </xf>
    <xf numFmtId="0" fontId="59" fillId="0" borderId="13" xfId="0" applyFont="1" applyBorder="1" applyAlignment="1">
      <alignment horizontal="center" vertical="center" wrapText="1"/>
    </xf>
    <xf numFmtId="0" fontId="59" fillId="0" borderId="16" xfId="0" applyFont="1" applyBorder="1" applyAlignment="1">
      <alignment horizontal="center" vertical="center" wrapText="1"/>
    </xf>
    <xf numFmtId="0" fontId="59" fillId="0" borderId="43" xfId="0" applyFont="1" applyBorder="1" applyAlignment="1">
      <alignment horizontal="center"/>
    </xf>
    <xf numFmtId="0" fontId="59" fillId="0" borderId="18" xfId="0" applyFont="1" applyBorder="1" applyAlignment="1">
      <alignment horizontal="center" vertical="center" wrapText="1"/>
    </xf>
    <xf numFmtId="0" fontId="59" fillId="0" borderId="0" xfId="0" applyFont="1" applyAlignment="1">
      <alignment horizontal="center"/>
    </xf>
    <xf numFmtId="0" fontId="59" fillId="0" borderId="5" xfId="0" applyFont="1" applyBorder="1" applyAlignment="1">
      <alignment horizontal="center"/>
    </xf>
    <xf numFmtId="0" fontId="82" fillId="0" borderId="0" xfId="0" applyFont="1" applyAlignment="1">
      <alignment vertical="top" wrapText="1"/>
    </xf>
    <xf numFmtId="0" fontId="63" fillId="0" borderId="0" xfId="0" applyFont="1" applyAlignment="1">
      <alignment vertical="top" wrapText="1"/>
    </xf>
    <xf numFmtId="0" fontId="97" fillId="0" borderId="0" xfId="0" applyFont="1" applyAlignment="1">
      <alignment vertical="top" wrapText="1"/>
    </xf>
    <xf numFmtId="0" fontId="98" fillId="0" borderId="0" xfId="0" applyFont="1" applyAlignment="1">
      <alignment vertical="top" wrapText="1"/>
    </xf>
    <xf numFmtId="0" fontId="67" fillId="0" borderId="0" xfId="0" applyFont="1" applyAlignment="1">
      <alignment vertical="top" wrapText="1"/>
    </xf>
    <xf numFmtId="0" fontId="59" fillId="0" borderId="0" xfId="0" applyFont="1" applyAlignment="1">
      <alignment vertical="top" wrapText="1"/>
    </xf>
    <xf numFmtId="0" fontId="71" fillId="0" borderId="0" xfId="0" applyFont="1" applyAlignment="1">
      <alignment horizontal="center"/>
    </xf>
    <xf numFmtId="0" fontId="71" fillId="0" borderId="6" xfId="0" applyFont="1" applyBorder="1" applyAlignment="1">
      <alignment horizontal="center"/>
    </xf>
    <xf numFmtId="164" fontId="71" fillId="0" borderId="6" xfId="3" applyNumberFormat="1" applyFont="1" applyFill="1" applyBorder="1" applyAlignment="1">
      <alignment horizontal="center"/>
    </xf>
    <xf numFmtId="164" fontId="71" fillId="0" borderId="0" xfId="3" applyNumberFormat="1" applyFont="1" applyAlignment="1">
      <alignment horizontal="center"/>
    </xf>
    <xf numFmtId="164" fontId="60" fillId="0" borderId="0" xfId="3" applyNumberFormat="1" applyFont="1" applyAlignment="1">
      <alignment horizontal="center"/>
    </xf>
    <xf numFmtId="164" fontId="71" fillId="0" borderId="6" xfId="3" applyNumberFormat="1" applyFont="1" applyBorder="1" applyAlignment="1">
      <alignment horizontal="center"/>
    </xf>
    <xf numFmtId="0" fontId="59" fillId="0" borderId="0" xfId="0" applyFont="1" applyAlignment="1">
      <alignment horizontal="left"/>
    </xf>
    <xf numFmtId="0" fontId="53" fillId="0" borderId="0" xfId="0" applyFont="1" applyAlignment="1">
      <alignment horizontal="left"/>
    </xf>
    <xf numFmtId="0" fontId="73" fillId="0" borderId="0" xfId="0" applyFont="1" applyAlignment="1">
      <alignment horizontal="center"/>
    </xf>
    <xf numFmtId="0" fontId="53" fillId="0" borderId="6" xfId="0" applyFont="1" applyBorder="1" applyAlignment="1">
      <alignment horizontal="center"/>
    </xf>
    <xf numFmtId="0" fontId="53" fillId="0" borderId="0" xfId="0" quotePrefix="1" applyFont="1" applyAlignment="1">
      <alignment horizontal="center"/>
    </xf>
    <xf numFmtId="0" fontId="48" fillId="0" borderId="0" xfId="0" applyFont="1" applyAlignment="1">
      <alignment horizontal="center"/>
    </xf>
    <xf numFmtId="0" fontId="48" fillId="0" borderId="6" xfId="0" applyFont="1" applyBorder="1" applyAlignment="1">
      <alignment horizontal="center"/>
    </xf>
    <xf numFmtId="0" fontId="48" fillId="0" borderId="0" xfId="0" quotePrefix="1" applyFont="1" applyAlignment="1">
      <alignment horizontal="center"/>
    </xf>
    <xf numFmtId="0" fontId="48" fillId="0" borderId="0" xfId="0" applyFont="1" applyAlignment="1">
      <alignment horizontal="center" wrapText="1"/>
    </xf>
    <xf numFmtId="0" fontId="63" fillId="0" borderId="0" xfId="0" applyFont="1" applyAlignment="1">
      <alignment horizontal="center" wrapText="1"/>
    </xf>
    <xf numFmtId="0" fontId="85" fillId="0" borderId="0" xfId="0" applyFont="1" applyAlignment="1">
      <alignment horizontal="left" indent="25"/>
    </xf>
    <xf numFmtId="0" fontId="85" fillId="0" borderId="0" xfId="0" applyFont="1" applyAlignment="1">
      <alignment horizontal="center"/>
    </xf>
    <xf numFmtId="0" fontId="85" fillId="0" borderId="0" xfId="0" applyFont="1" applyAlignment="1">
      <alignment horizontal="left" indent="1"/>
    </xf>
    <xf numFmtId="0" fontId="78" fillId="0" borderId="0" xfId="0" applyFont="1" applyAlignment="1">
      <alignment vertical="top" wrapText="1"/>
    </xf>
    <xf numFmtId="0" fontId="82" fillId="0" borderId="0" xfId="0" applyFont="1" applyAlignment="1">
      <alignment horizontal="left" vertical="top" wrapText="1"/>
    </xf>
    <xf numFmtId="0" fontId="67" fillId="0" borderId="0" xfId="0" applyFont="1" applyAlignment="1">
      <alignment horizontal="center" vertical="top" wrapText="1"/>
    </xf>
    <xf numFmtId="0" fontId="59" fillId="0" borderId="0" xfId="0" applyFont="1" applyAlignment="1">
      <alignment horizontal="center" vertical="top" wrapText="1"/>
    </xf>
    <xf numFmtId="0" fontId="82" fillId="0" borderId="0" xfId="0" applyFont="1" applyAlignment="1">
      <alignment horizontal="left" vertical="center"/>
    </xf>
    <xf numFmtId="0" fontId="67" fillId="0" borderId="0" xfId="0" applyFont="1" applyAlignment="1">
      <alignment horizontal="left" vertical="top" wrapText="1"/>
    </xf>
    <xf numFmtId="0" fontId="68" fillId="0" borderId="0" xfId="0" applyFont="1" applyAlignment="1">
      <alignment horizontal="left" vertical="center" wrapText="1"/>
    </xf>
    <xf numFmtId="0" fontId="67" fillId="0" borderId="0" xfId="0" applyFont="1" applyAlignment="1">
      <alignment horizontal="left" wrapText="1"/>
    </xf>
    <xf numFmtId="0" fontId="106" fillId="0" borderId="0" xfId="0" applyFont="1"/>
    <xf numFmtId="0" fontId="107" fillId="0" borderId="0" xfId="0" applyFont="1" applyAlignment="1">
      <alignment horizontal="center"/>
    </xf>
    <xf numFmtId="0" fontId="106" fillId="0" borderId="0" xfId="0" applyFont="1" applyAlignment="1">
      <alignment vertical="center"/>
    </xf>
    <xf numFmtId="0" fontId="108" fillId="0" borderId="0" xfId="0" applyFont="1" applyAlignment="1">
      <alignment horizontal="center" vertical="center"/>
    </xf>
    <xf numFmtId="0" fontId="108" fillId="0" borderId="6" xfId="0" applyFont="1" applyBorder="1" applyAlignment="1">
      <alignment horizontal="center" vertical="center"/>
    </xf>
    <xf numFmtId="0" fontId="106" fillId="0" borderId="0" xfId="0" applyFont="1" applyAlignment="1">
      <alignment vertical="center" wrapText="1"/>
    </xf>
    <xf numFmtId="0" fontId="108" fillId="0" borderId="9" xfId="0" applyFont="1" applyBorder="1" applyAlignment="1">
      <alignment horizontal="center" vertical="center" wrapText="1"/>
    </xf>
    <xf numFmtId="0" fontId="108" fillId="0" borderId="0" xfId="0" applyFont="1" applyAlignment="1">
      <alignment horizontal="center" vertical="center" wrapText="1"/>
    </xf>
    <xf numFmtId="0" fontId="106" fillId="0" borderId="0" xfId="0" applyFont="1" applyAlignment="1">
      <alignment vertical="center" wrapText="1"/>
    </xf>
    <xf numFmtId="0" fontId="109" fillId="0" borderId="0" xfId="0" applyFont="1" applyAlignment="1">
      <alignment horizontal="center" vertical="center" wrapText="1"/>
    </xf>
    <xf numFmtId="0" fontId="108" fillId="0" borderId="0" xfId="0" applyFont="1" applyAlignment="1">
      <alignment horizontal="center" vertical="center" wrapText="1"/>
    </xf>
    <xf numFmtId="0" fontId="106" fillId="0" borderId="0" xfId="0" applyFont="1" applyAlignment="1">
      <alignment wrapText="1"/>
    </xf>
    <xf numFmtId="165" fontId="106" fillId="0" borderId="0" xfId="2" applyNumberFormat="1" applyFont="1" applyBorder="1"/>
    <xf numFmtId="165" fontId="106" fillId="0" borderId="0" xfId="0" applyNumberFormat="1" applyFont="1"/>
    <xf numFmtId="0" fontId="106" fillId="0" borderId="0" xfId="0" applyFont="1" applyAlignment="1">
      <alignment wrapText="1"/>
    </xf>
    <xf numFmtId="166" fontId="106" fillId="0" borderId="0" xfId="1" applyNumberFormat="1" applyFont="1" applyFill="1" applyBorder="1" applyAlignment="1">
      <alignment horizontal="right" vertical="center"/>
    </xf>
    <xf numFmtId="166" fontId="106" fillId="0" borderId="0" xfId="1" applyNumberFormat="1" applyFont="1" applyFill="1" applyBorder="1" applyAlignment="1">
      <alignment vertical="center" wrapText="1"/>
    </xf>
    <xf numFmtId="37" fontId="106" fillId="0" borderId="6" xfId="0" applyNumberFormat="1" applyFont="1" applyBorder="1"/>
    <xf numFmtId="37" fontId="106" fillId="0" borderId="0" xfId="0" applyNumberFormat="1" applyFont="1"/>
    <xf numFmtId="166" fontId="106" fillId="0" borderId="6" xfId="1" applyNumberFormat="1" applyFont="1" applyFill="1" applyBorder="1" applyAlignment="1">
      <alignment horizontal="right" vertical="center"/>
    </xf>
    <xf numFmtId="165" fontId="110" fillId="0" borderId="0" xfId="2" applyNumberFormat="1" applyFont="1" applyBorder="1"/>
    <xf numFmtId="165" fontId="106" fillId="0" borderId="0" xfId="2" applyNumberFormat="1" applyFont="1" applyFill="1" applyBorder="1" applyAlignment="1">
      <alignment horizontal="right" vertical="center" wrapText="1"/>
    </xf>
    <xf numFmtId="3" fontId="111" fillId="0" borderId="0" xfId="0" applyNumberFormat="1" applyFont="1" applyAlignment="1">
      <alignment vertical="center" wrapText="1"/>
    </xf>
    <xf numFmtId="0" fontId="111" fillId="0" borderId="0" xfId="0" applyFont="1" applyAlignment="1">
      <alignment vertical="center" wrapText="1"/>
    </xf>
    <xf numFmtId="165" fontId="106" fillId="0" borderId="0" xfId="2" applyNumberFormat="1" applyFont="1" applyFill="1" applyAlignment="1">
      <alignment horizontal="right" vertical="center" wrapText="1"/>
    </xf>
    <xf numFmtId="166" fontId="106" fillId="0" borderId="0" xfId="1" applyNumberFormat="1" applyFont="1" applyFill="1"/>
  </cellXfs>
  <cellStyles count="535">
    <cellStyle name="20% - Accent1 2" xfId="25" xr:uid="{D95099CD-5A9B-4457-9D8D-54B982C88D02}"/>
    <cellStyle name="20% - Accent1 3" xfId="136" xr:uid="{A2992A88-FCC7-4727-8B68-49F43D7AA020}"/>
    <cellStyle name="20% - Accent1 3 2" xfId="504" xr:uid="{D293343F-53DC-4001-B02D-9B63CBE25708}"/>
    <cellStyle name="20% - Accent1 3 3" xfId="260" xr:uid="{57A67FBF-C0C3-4D2B-A2FF-8594181FEA42}"/>
    <cellStyle name="20% - Accent2 2" xfId="26" xr:uid="{862D23A8-FDC7-46AD-BACD-47B4DB749967}"/>
    <cellStyle name="20% - Accent2 3" xfId="115" xr:uid="{90E41BC0-EAC0-47AC-9852-E84563451C87}"/>
    <cellStyle name="20% - Accent2 3 2" xfId="485" xr:uid="{F7784212-E667-4D01-8B12-88DA8ABED1AB}"/>
    <cellStyle name="20% - Accent2 3 3" xfId="261" xr:uid="{E4007D90-BBB3-4DCB-8413-8515B664C84F}"/>
    <cellStyle name="20% - Accent3 2" xfId="27" xr:uid="{17B46CC7-B38F-450A-9689-B89D90113335}"/>
    <cellStyle name="20% - Accent3 3" xfId="123" xr:uid="{FCA0B5D2-1123-49EE-8F44-050BB0D63955}"/>
    <cellStyle name="20% - Accent3 3 2" xfId="493" xr:uid="{DDAA1746-33CF-43D0-94E0-FF9390A262C0}"/>
    <cellStyle name="20% - Accent3 3 3" xfId="262" xr:uid="{A6160FB9-CDB8-4DCD-9E9C-FFCAF8227831}"/>
    <cellStyle name="20% - Accent4 2" xfId="28" xr:uid="{10584BEF-6BA9-4879-80B6-95F7BE257222}"/>
    <cellStyle name="20% - Accent4 3" xfId="137" xr:uid="{73F3D99A-B15C-4E44-860C-67E20A563762}"/>
    <cellStyle name="20% - Accent4 3 2" xfId="505" xr:uid="{395A23F8-51F6-4111-9EFF-EEABEF2BC876}"/>
    <cellStyle name="20% - Accent4 3 3" xfId="263" xr:uid="{514ABCD1-58B1-47E5-9D85-BA91CC962C67}"/>
    <cellStyle name="20% - Accent5 2" xfId="29" xr:uid="{2E952442-70E9-4C0F-8E17-FBCEE674DEDB}"/>
    <cellStyle name="20% - Accent5 3" xfId="120" xr:uid="{7A565E0B-B05A-4141-B827-6C6A4EF0A2BD}"/>
    <cellStyle name="20% - Accent5 3 2" xfId="490" xr:uid="{4D0676C5-7183-481C-8386-6AE508955FBE}"/>
    <cellStyle name="20% - Accent5 3 3" xfId="264" xr:uid="{355E8FD8-EDFC-41DC-9A4E-6249FAC27730}"/>
    <cellStyle name="20% - Accent6 2" xfId="30" xr:uid="{729C9C4B-4A75-414E-9F43-B51C11A28ED1}"/>
    <cellStyle name="20% - Accent6 3" xfId="157" xr:uid="{3642C7A9-3DA4-454A-BFE7-415ED90706D6}"/>
    <cellStyle name="20% - Accent6 3 2" xfId="524" xr:uid="{4E62B1C9-61F0-4A6F-AE1C-ED786719EF3A}"/>
    <cellStyle name="20% - Accent6 3 3" xfId="265" xr:uid="{DF098A1E-844D-4720-B584-52F8A8D67428}"/>
    <cellStyle name="40% - Accent1 2" xfId="31" xr:uid="{3E1A814C-0BB0-4C28-A4C1-58405D7D8FE5}"/>
    <cellStyle name="40% - Accent1 3" xfId="122" xr:uid="{9CC9CE06-B77F-4786-942F-4CE239F8CC37}"/>
    <cellStyle name="40% - Accent1 3 2" xfId="492" xr:uid="{F56D1E5A-1CD1-405F-9B78-AB874F4D85A8}"/>
    <cellStyle name="40% - Accent1 3 3" xfId="266" xr:uid="{E1F42B64-53CE-4CD4-BCCD-6F0EBEAA2B74}"/>
    <cellStyle name="40% - Accent2 2" xfId="32" xr:uid="{7FC362FC-6289-4EC0-A896-9372B89B8DEC}"/>
    <cellStyle name="40% - Accent2 3" xfId="119" xr:uid="{B47955FD-FC6F-4E0F-845F-0C3FD24B5302}"/>
    <cellStyle name="40% - Accent2 3 2" xfId="489" xr:uid="{734210F1-27E9-484D-9E35-6409DCFE53AF}"/>
    <cellStyle name="40% - Accent2 3 3" xfId="267" xr:uid="{5AE382D4-05A6-4ABE-ACE7-509647C32B5B}"/>
    <cellStyle name="40% - Accent3 2" xfId="33" xr:uid="{BB787FA1-65FC-4C03-8AC6-51DFED56546C}"/>
    <cellStyle name="40% - Accent3 3" xfId="141" xr:uid="{05638A09-40C7-486D-9A61-0D5ECA7B2A9C}"/>
    <cellStyle name="40% - Accent3 3 2" xfId="508" xr:uid="{9B9C235D-1E9E-4A91-BF9B-5BB5DDF017AE}"/>
    <cellStyle name="40% - Accent3 3 3" xfId="268" xr:uid="{F65B7124-449B-4056-8475-B0987A365201}"/>
    <cellStyle name="40% - Accent4 2" xfId="34" xr:uid="{DB886B2E-665B-4C6C-801A-8FB4E61A0371}"/>
    <cellStyle name="40% - Accent4 3" xfId="156" xr:uid="{4298CCF0-EFCA-4FCC-BB64-6B2ABF35C39D}"/>
    <cellStyle name="40% - Accent4 3 2" xfId="523" xr:uid="{96FDF9C7-4DE9-4634-B7C8-8200D3423E32}"/>
    <cellStyle name="40% - Accent4 3 3" xfId="269" xr:uid="{5F83497F-3BB4-4EB5-AE94-2D4EE0E778AB}"/>
    <cellStyle name="40% - Accent5 2" xfId="35" xr:uid="{3BB58F15-D367-4056-89F3-375205B6796F}"/>
    <cellStyle name="40% - Accent5 3" xfId="124" xr:uid="{5536C06C-AA58-4682-93A2-7B7BBFFB6221}"/>
    <cellStyle name="40% - Accent5 3 2" xfId="494" xr:uid="{880DA9B9-9C09-439B-A406-352886DB8093}"/>
    <cellStyle name="40% - Accent5 3 3" xfId="270" xr:uid="{430EB7C1-2F37-4D0C-BF83-24E21DD50A27}"/>
    <cellStyle name="40% - Accent6 2" xfId="36" xr:uid="{1CEA477B-3ADD-4CDC-A4B8-4498204208A6}"/>
    <cellStyle name="40% - Accent6 3" xfId="114" xr:uid="{2D520377-A4E9-4528-AA03-A494CA34B2DF}"/>
    <cellStyle name="40% - Accent6 3 2" xfId="484" xr:uid="{BD75240C-D168-4288-A5A0-663450FB8EC2}"/>
    <cellStyle name="40% - Accent6 3 3" xfId="271" xr:uid="{EEA7333B-A92C-495A-9588-35CEB1ED8D81}"/>
    <cellStyle name="60% - Accent1 2" xfId="37" xr:uid="{98AB7112-FEBB-4E9C-BF75-B6F95D22B15D}"/>
    <cellStyle name="60% - Accent1 3" xfId="146" xr:uid="{A664A8D5-4943-4862-9311-F38D37FCC771}"/>
    <cellStyle name="60% - Accent1 3 2" xfId="513" xr:uid="{D67FC4DC-D58C-4739-A921-76F2DF5D5BDB}"/>
    <cellStyle name="60% - Accent1 3 3" xfId="272" xr:uid="{D2632CA8-8E33-4160-A04C-6678E8E0F502}"/>
    <cellStyle name="60% - Accent2 2" xfId="38" xr:uid="{E4ECE85D-E2A5-465E-AA26-9172165B508D}"/>
    <cellStyle name="60% - Accent2 3" xfId="145" xr:uid="{12D11475-9E75-4BFD-BFB5-CE4A1D2A8639}"/>
    <cellStyle name="60% - Accent2 3 2" xfId="512" xr:uid="{174D2EFD-BB2A-4CE2-95C2-389BB2373DEB}"/>
    <cellStyle name="60% - Accent2 3 3" xfId="273" xr:uid="{801A4B45-48BF-408F-831F-28F34673AAB2}"/>
    <cellStyle name="60% - Accent3 2" xfId="39" xr:uid="{621CC1F2-3754-4647-B198-DF77F7CCB99D}"/>
    <cellStyle name="60% - Accent3 3" xfId="155" xr:uid="{BFEFF49A-62F2-4D96-A124-CEFC07B69BE3}"/>
    <cellStyle name="60% - Accent3 3 2" xfId="522" xr:uid="{CCF5AD65-A046-45B2-9B8B-B495FBCFEF76}"/>
    <cellStyle name="60% - Accent3 3 3" xfId="274" xr:uid="{08332350-7B7B-4BF0-81EB-4729E0C22B39}"/>
    <cellStyle name="60% - Accent4 2" xfId="40" xr:uid="{0000053D-E364-44B0-AE23-2DF282A02CF5}"/>
    <cellStyle name="60% - Accent4 3" xfId="158" xr:uid="{577B0CC9-BD72-420D-A1B7-7999645988C4}"/>
    <cellStyle name="60% - Accent4 3 2" xfId="525" xr:uid="{18AAA3EE-E703-46EA-9E1A-94518D63205F}"/>
    <cellStyle name="60% - Accent4 3 3" xfId="275" xr:uid="{31445E4B-8D7D-43A7-BDE2-5BF7CA65ED15}"/>
    <cellStyle name="60% - Accent5 2" xfId="41" xr:uid="{D43D9B06-A4EB-4FCE-A29D-412E44A087A1}"/>
    <cellStyle name="60% - Accent5 3" xfId="142" xr:uid="{E7AF0098-D863-44CE-A58D-D49FBD917A4E}"/>
    <cellStyle name="60% - Accent5 3 2" xfId="509" xr:uid="{18012B14-9532-44BC-8DB5-12A0A0F691AF}"/>
    <cellStyle name="60% - Accent5 3 3" xfId="276" xr:uid="{65043C25-B9E9-45A2-826F-CCBCDD7A7739}"/>
    <cellStyle name="60% - Accent6 2" xfId="42" xr:uid="{BB6E4CBD-EBE0-484E-883A-3FFB15849EDA}"/>
    <cellStyle name="60% - Accent6 3" xfId="154" xr:uid="{A641C5A5-7F2A-45A7-8719-4B7B10CE5268}"/>
    <cellStyle name="60% - Accent6 3 2" xfId="521" xr:uid="{11D02A25-DBD3-4F9C-A3EE-8C842444D1A8}"/>
    <cellStyle name="60% - Accent6 3 3" xfId="277" xr:uid="{083A9C70-6FD1-4E13-897F-1CB826CF09EE}"/>
    <cellStyle name="Accent1 2" xfId="43" xr:uid="{AFB924AB-6AF1-4246-9F0A-291B0F2D57DB}"/>
    <cellStyle name="Accent1 3" xfId="149" xr:uid="{62511D29-C341-45E1-B62E-F75FCD8716BE}"/>
    <cellStyle name="Accent1 3 2" xfId="516" xr:uid="{5FF4C32D-35F9-481F-A9C0-C0E6789A6002}"/>
    <cellStyle name="Accent1 3 3" xfId="278" xr:uid="{AA50A44A-DFDA-4A75-B33B-C374C3DB9DD8}"/>
    <cellStyle name="Accent2 2" xfId="44" xr:uid="{FE40ADD8-32EE-4704-BCC8-7A4CCE3DACB7}"/>
    <cellStyle name="Accent2 3" xfId="153" xr:uid="{A17C834E-143F-4E80-B7C0-4DF3129F9091}"/>
    <cellStyle name="Accent2 3 2" xfId="520" xr:uid="{24DD0425-5043-4700-8A87-34AF9BF2BFBE}"/>
    <cellStyle name="Accent2 3 3" xfId="279" xr:uid="{E3501922-FE66-43A3-ADAC-6DCFA906A505}"/>
    <cellStyle name="Accent3 2" xfId="45" xr:uid="{DBDD1BA8-2676-445E-A54C-727D1A9A09C1}"/>
    <cellStyle name="Accent3 3" xfId="147" xr:uid="{9E6BCD6D-DC80-42E3-82D5-28714D302E83}"/>
    <cellStyle name="Accent3 3 2" xfId="514" xr:uid="{C365F98F-9BBA-42EA-BBF7-AF526E8AA282}"/>
    <cellStyle name="Accent3 3 3" xfId="280" xr:uid="{D4A1C87C-8797-48B9-B9C8-DB2F9844F9ED}"/>
    <cellStyle name="Accent4 2" xfId="46" xr:uid="{081B435D-441B-44F5-8F03-2E3B8A58EC08}"/>
    <cellStyle name="Accent4 3" xfId="118" xr:uid="{14E5012F-4C18-4E95-8B2D-BCD7714800B5}"/>
    <cellStyle name="Accent4 3 2" xfId="488" xr:uid="{3BAD6638-4EC1-4DA4-AFA6-B073F127787D}"/>
    <cellStyle name="Accent4 3 3" xfId="281" xr:uid="{A3BDDB8D-F165-4B29-B8C8-B6CDA47D5570}"/>
    <cellStyle name="Accent5 2" xfId="47" xr:uid="{1B5F04AB-BD67-41BE-B5BF-52267CACFBB9}"/>
    <cellStyle name="Accent5 3" xfId="151" xr:uid="{AB01B473-AA1B-4752-8D8A-AE86652C2779}"/>
    <cellStyle name="Accent5 3 2" xfId="518" xr:uid="{B7A666C5-5636-42ED-BAE5-F1996E158AA6}"/>
    <cellStyle name="Accent5 3 3" xfId="282" xr:uid="{3441E35C-16F5-41F3-8808-00817A0256C5}"/>
    <cellStyle name="Accent6 2" xfId="48" xr:uid="{80678296-7A7E-4B76-8CAC-D4F88DEA59E3}"/>
    <cellStyle name="Accent6 3" xfId="117" xr:uid="{5214FC74-B86C-4006-862F-6DFDF35552DF}"/>
    <cellStyle name="Accent6 3 2" xfId="487" xr:uid="{27C7D7B5-E0C9-4B87-9AFD-0395EF50471C}"/>
    <cellStyle name="Accent6 3 3" xfId="283" xr:uid="{B9445E58-6F2A-414F-A522-D0EE623982F0}"/>
    <cellStyle name="Bad 2" xfId="49" xr:uid="{E2EA00B6-05F1-4B94-BB05-4686E96E0C55}"/>
    <cellStyle name="Bad 3" xfId="138" xr:uid="{36CC32A1-8275-46E9-89F1-4BE220ED6643}"/>
    <cellStyle name="Bad 3 2" xfId="506" xr:uid="{7B059D9A-2C48-4DD2-B91B-70E875ECD8B1}"/>
    <cellStyle name="Bad 3 3" xfId="284" xr:uid="{15DD38FD-954E-4300-B4D9-6F168CC4EB41}"/>
    <cellStyle name="Blank" xfId="160" xr:uid="{747CCCB4-99B1-4997-9C84-ED317992B579}"/>
    <cellStyle name="Calculation 2" xfId="50" xr:uid="{AFB2F139-0901-4DF5-B49E-C9004C4BF6CF}"/>
    <cellStyle name="Calculation 2 10" xfId="285" xr:uid="{CDC00720-7802-484F-8B32-60F6E91C8D20}"/>
    <cellStyle name="Calculation 2 2" xfId="286" xr:uid="{ECA7E84C-3096-44EE-977C-EC670727CC32}"/>
    <cellStyle name="Calculation 2 2 2" xfId="287" xr:uid="{2226DF86-756F-4995-87AA-A6702D1D23ED}"/>
    <cellStyle name="Calculation 2 2 3" xfId="288" xr:uid="{E7171355-674E-44C2-83C0-D715D9FB06C9}"/>
    <cellStyle name="Calculation 2 2 4" xfId="289" xr:uid="{954C196C-27CB-4A6F-B4BA-7C61FD0C0B15}"/>
    <cellStyle name="Calculation 2 3" xfId="290" xr:uid="{16773179-91A5-411E-AC53-630623388CA6}"/>
    <cellStyle name="Calculation 2 3 2" xfId="291" xr:uid="{A0C19E87-7707-4537-B273-F111C71EC7B1}"/>
    <cellStyle name="Calculation 2 4" xfId="292" xr:uid="{F6434FA2-0355-49CC-9DCC-91D0D2F7408A}"/>
    <cellStyle name="Calculation 2 5" xfId="293" xr:uid="{853BBADF-3B5E-4C70-852A-23A60C962797}"/>
    <cellStyle name="Calculation 2 6" xfId="294" xr:uid="{647875DD-EE83-4C50-A642-2E798C30AC9F}"/>
    <cellStyle name="Calculation 2 7" xfId="295" xr:uid="{C9B1E921-A4AE-4A92-9FC0-65FFC0C56066}"/>
    <cellStyle name="Calculation 2 8" xfId="296" xr:uid="{7A56C462-9A3C-4ED3-B36F-279BA5A41444}"/>
    <cellStyle name="Calculation 2 9" xfId="297" xr:uid="{C271F9C7-B304-4063-9A34-8345FD0104BE}"/>
    <cellStyle name="Calculation 3" xfId="148" xr:uid="{49449D83-2AB0-4962-B6B9-45014BA8A2DE}"/>
    <cellStyle name="Calculation 3 10" xfId="299" xr:uid="{5FA09B7C-79F4-482A-AC94-507E91242C98}"/>
    <cellStyle name="Calculation 3 11" xfId="515" xr:uid="{AD1D2743-38CA-439A-8545-2A7C3265D126}"/>
    <cellStyle name="Calculation 3 12" xfId="298" xr:uid="{3F6DA240-7ADB-45BA-A5C1-4A1D26F39593}"/>
    <cellStyle name="Calculation 3 2" xfId="300" xr:uid="{F185C562-31EF-49E7-94E8-17C6D627FC28}"/>
    <cellStyle name="Calculation 3 2 2" xfId="301" xr:uid="{5DF92106-F3A9-41DC-8742-B48D886B8389}"/>
    <cellStyle name="Calculation 3 2 3" xfId="302" xr:uid="{17380192-4D39-4590-948A-F671D55547E1}"/>
    <cellStyle name="Calculation 3 2 4" xfId="303" xr:uid="{D73A97D8-A6B5-410E-B9A6-98CCF6868FF8}"/>
    <cellStyle name="Calculation 3 3" xfId="304" xr:uid="{326DC1ED-FC8A-4679-991F-85975060D191}"/>
    <cellStyle name="Calculation 3 3 2" xfId="305" xr:uid="{F5857EE0-680D-46E5-86DE-9F597FCDCA97}"/>
    <cellStyle name="Calculation 3 4" xfId="306" xr:uid="{3FFCDC63-2898-4FF2-A2A0-4DBA3D6F8A54}"/>
    <cellStyle name="Calculation 3 5" xfId="307" xr:uid="{53CE6539-AD01-4A45-87A5-2E991FB4D1D2}"/>
    <cellStyle name="Calculation 3 6" xfId="308" xr:uid="{66F5F423-2F14-4E9C-9A72-58972FBF9BBD}"/>
    <cellStyle name="Calculation 3 7" xfId="309" xr:uid="{24C67E6E-AB5D-4189-B954-3E719FFC5381}"/>
    <cellStyle name="Calculation 3 8" xfId="310" xr:uid="{FD3EF5C2-CF52-4FCA-AE00-7C0E6DC2BE44}"/>
    <cellStyle name="Calculation 3 9" xfId="311" xr:uid="{A3196AFA-4786-46B2-AD98-1B7517B87944}"/>
    <cellStyle name="Centered Heading" xfId="161" xr:uid="{9F695546-6304-4418-ABDE-431BED701190}"/>
    <cellStyle name="Centered Heading 2" xfId="203" xr:uid="{DCBA0E8A-9970-4AEC-AE02-E4FC1F024303}"/>
    <cellStyle name="Check Cell 2" xfId="51" xr:uid="{DDE0B24E-A6F1-4423-89BC-FCB5356C69A2}"/>
    <cellStyle name="Check Cell 3" xfId="121" xr:uid="{BD8E6C7A-3C14-40FC-ADC1-318C36409ACD}"/>
    <cellStyle name="Check Cell 3 2" xfId="491" xr:uid="{7C1B1276-F263-4684-A2A7-58A6ABD17446}"/>
    <cellStyle name="Check Cell 3 3" xfId="312" xr:uid="{151364B8-3B7C-4897-8F66-28A68E955547}"/>
    <cellStyle name="Comma" xfId="1" builtinId="3"/>
    <cellStyle name="Comma 0.0" xfId="163" xr:uid="{1D99F47A-F16E-4845-9C2A-36D10D2F553C}"/>
    <cellStyle name="Comma 0.0 2" xfId="205" xr:uid="{1CC74A01-EFE6-4429-94CC-6550B9732F76}"/>
    <cellStyle name="Comma 0.00" xfId="164" xr:uid="{660E7087-E38B-4C52-9B34-E0C7E87ECDF5}"/>
    <cellStyle name="Comma 0.00 2" xfId="206" xr:uid="{BD239D09-7328-4E07-AE69-6022FBD0ABA9}"/>
    <cellStyle name="Comma 0.000" xfId="165" xr:uid="{6CD3A3DB-9612-4354-9607-E1E6262CEEF1}"/>
    <cellStyle name="Comma 0.000 2" xfId="207" xr:uid="{DA8C246E-799D-4F09-9670-6E0CB6EAA826}"/>
    <cellStyle name="Comma 0.0000" xfId="166" xr:uid="{DACD46DD-0A0F-4615-990D-2D1ACA196FB3}"/>
    <cellStyle name="Comma 0.0000 2" xfId="208" xr:uid="{926DC0AE-A751-44BA-B4B3-C01828F5C07B}"/>
    <cellStyle name="Comma 2" xfId="5" xr:uid="{98A230BB-7726-41B7-AE10-DA30CA65D649}"/>
    <cellStyle name="Comma 2 2" xfId="17" xr:uid="{2BE4EE49-CE33-447E-857E-97C1D2FB889B}"/>
    <cellStyle name="Comma 2 2 2" xfId="140" xr:uid="{7D2912A3-26E7-4A27-8A4C-18436A41DED5}"/>
    <cellStyle name="Comma 2 2 3" xfId="313" xr:uid="{6835A70B-E96E-47A6-9DDD-17962629AEE5}"/>
    <cellStyle name="Comma 2 3" xfId="162" xr:uid="{42605FC6-08CA-4796-A1CA-C4094FDE7253}"/>
    <cellStyle name="Comma 2 3 2" xfId="243" xr:uid="{A4CEB1F1-D551-415A-88CA-A8E2C83F78A9}"/>
    <cellStyle name="Comma 2 3 2 2" xfId="316" xr:uid="{AD3141BE-F6EF-4407-90F7-DDCF010E4E14}"/>
    <cellStyle name="Comma 2 3 2 3" xfId="529" xr:uid="{6F21B9DC-C3B2-4640-B0EF-5DD49A306ED3}"/>
    <cellStyle name="Comma 2 3 2 4" xfId="315" xr:uid="{C9DC12FF-6EC0-4BEE-B78D-ABAF10C9ACDC}"/>
    <cellStyle name="Comma 2 3 3" xfId="241" xr:uid="{99B4FB8C-4DF6-4235-9DFC-54290B22442B}"/>
    <cellStyle name="Comma 2 3 4" xfId="527" xr:uid="{FF407BD3-9900-498A-8716-B378E8BCEB7D}"/>
    <cellStyle name="Comma 2 3 5" xfId="314" xr:uid="{40243BDB-08FF-413A-8C89-6DDED93ECEE7}"/>
    <cellStyle name="Comma 2 4" xfId="317" xr:uid="{16D7DD95-BBD5-41BA-9245-02A9267FCD1F}"/>
    <cellStyle name="Comma 2 4 2" xfId="318" xr:uid="{897332BB-2515-40AA-88E5-94616DB10AD0}"/>
    <cellStyle name="Comma 3" xfId="7" xr:uid="{A3649476-5838-4BF5-9475-A2C9942BF22A}"/>
    <cellStyle name="Comma 3 10" xfId="257" xr:uid="{51D00EB4-AF86-40B8-A777-FEF96A12E36A}"/>
    <cellStyle name="Comma 3 2" xfId="71" xr:uid="{07C9A3D9-1CD6-4067-8040-010E15760C03}"/>
    <cellStyle name="Comma 3 2 2" xfId="75" xr:uid="{EDABB64C-F061-4C8F-BEDA-AEC20FE6F479}"/>
    <cellStyle name="Comma 3 2 2 2" xfId="101" xr:uid="{B1FD7339-D76E-41C6-990B-226AA7D76DD9}"/>
    <cellStyle name="Comma 3 2 2 3" xfId="89" xr:uid="{F722024A-7978-44DA-ACA1-91F757BCD813}"/>
    <cellStyle name="Comma 3 2 3" xfId="79" xr:uid="{054A1F76-1538-4C89-91C1-8366F4742D2B}"/>
    <cellStyle name="Comma 3 2 3 2" xfId="102" xr:uid="{EA801208-DFC0-4059-94F5-D26EBE067F2D}"/>
    <cellStyle name="Comma 3 2 3 3" xfId="94" xr:uid="{149ABEA3-D991-41A3-B42D-2B0563C2B4D2}"/>
    <cellStyle name="Comma 3 2 4" xfId="98" xr:uid="{E88F532A-30B5-4898-9F23-FD5114B8E9DD}"/>
    <cellStyle name="Comma 3 2 5" xfId="84" xr:uid="{747202C5-DB9F-4264-8212-39B45576E59F}"/>
    <cellStyle name="Comma 3 3" xfId="74" xr:uid="{9F9BACA6-78AE-4707-9043-A1701E92AF58}"/>
    <cellStyle name="Comma 3 3 2" xfId="103" xr:uid="{5CFE0A4A-9EDD-4BCD-B0E1-3B25CCD68E37}"/>
    <cellStyle name="Comma 3 3 3" xfId="88" xr:uid="{0AD82E51-8B3A-43ED-AC0E-A5CD46C0531F}"/>
    <cellStyle name="Comma 3 4" xfId="78" xr:uid="{25C436BC-FB9A-4EC9-B8CC-71E1341AE623}"/>
    <cellStyle name="Comma 3 4 2" xfId="104" xr:uid="{EFE3A2ED-AF38-46CE-BE9C-DD70831968F2}"/>
    <cellStyle name="Comma 3 4 3" xfId="93" xr:uid="{8CC344C7-8602-4D05-B672-AD5BEFEC25A0}"/>
    <cellStyle name="Comma 3 5" xfId="97" xr:uid="{5F006C22-39B9-44F3-AAD2-13803C65599A}"/>
    <cellStyle name="Comma 3 6" xfId="83" xr:uid="{036D7CCB-04FF-4CE4-BB00-179FF5B99E19}"/>
    <cellStyle name="Comma 3 7" xfId="72" xr:uid="{2BA757A8-C7FE-47D9-AD06-D052985B6D61}"/>
    <cellStyle name="Comma 3 8" xfId="52" xr:uid="{800A2974-A77C-498E-A70F-0CFF86D140F6}"/>
    <cellStyle name="Comma 3 9" xfId="204" xr:uid="{AEB2679F-5408-40D1-957D-2B6658021DAB}"/>
    <cellStyle name="Comma 3 9 2" xfId="246" xr:uid="{1B16F7FD-A2FF-4727-B036-B743AF6C56B3}"/>
    <cellStyle name="Comma 3 9 3" xfId="254" xr:uid="{1E034145-5BE2-4D30-9037-98C17635FF02}"/>
    <cellStyle name="Comma 4" xfId="248" xr:uid="{C2C859B6-3E29-489F-A1B5-24B033465DEF}"/>
    <cellStyle name="Comma 4 2" xfId="320" xr:uid="{4D13B72B-6441-4249-B1B9-6399423C0E49}"/>
    <cellStyle name="Comma 4 3" xfId="531" xr:uid="{A4972499-1D1F-4378-9639-F657454A38DA}"/>
    <cellStyle name="Comma 4 4" xfId="319" xr:uid="{5851891A-0B9A-4075-98F1-FA95073ADE18}"/>
    <cellStyle name="Comma 5" xfId="259" xr:uid="{515C4547-154E-460C-BE39-00FF5C258B0B}"/>
    <cellStyle name="Comma 5 2" xfId="321" xr:uid="{1373E5A6-DD8A-4ECC-A2E2-246A87584D31}"/>
    <cellStyle name="Comma 6" xfId="249" xr:uid="{A296D26C-32E0-4D02-B896-3FF4B510B35C}"/>
    <cellStyle name="Comma 6 2" xfId="322" xr:uid="{599F7C9C-E91F-44A7-9310-FA7C1376F6C8}"/>
    <cellStyle name="Comma 7" xfId="323" xr:uid="{807A2344-364C-4654-AE15-E4C0C05E459A}"/>
    <cellStyle name="Company Name" xfId="167" xr:uid="{BA12C536-CE06-4297-A702-DAB9FAA782A6}"/>
    <cellStyle name="Currency" xfId="2" builtinId="4"/>
    <cellStyle name="Currency 0.0" xfId="169" xr:uid="{D1A04D99-9D88-49FD-97C5-28BCD801B699}"/>
    <cellStyle name="Currency 0.0 2" xfId="210" xr:uid="{B17D4031-4240-4D51-95B6-124A506AE370}"/>
    <cellStyle name="Currency 0.00" xfId="170" xr:uid="{12430B25-FCE2-4B4D-A1B8-E032691D2FD1}"/>
    <cellStyle name="Currency 0.00 2" xfId="211" xr:uid="{312233E0-E42E-4E07-9645-C68F32C984C4}"/>
    <cellStyle name="Currency 0.000" xfId="171" xr:uid="{5D0D9262-1C3D-4339-92C5-2DD4C2E35638}"/>
    <cellStyle name="Currency 0.000 2" xfId="212" xr:uid="{30783134-EBFE-414D-B9F8-3EA4CD4820FC}"/>
    <cellStyle name="Currency 0.0000" xfId="172" xr:uid="{F778942D-9058-4215-8DF5-19DAD89A29FE}"/>
    <cellStyle name="Currency 0.0000 2" xfId="213" xr:uid="{62DD6C0D-CF3D-4977-836F-8B3B54F29CFE}"/>
    <cellStyle name="Currency 2" xfId="8" xr:uid="{5D16347C-EF96-4BC8-92A1-7C2BBCB2C1CA}"/>
    <cellStyle name="Currency 2 2" xfId="54" xr:uid="{430C2529-9E0B-4495-88D5-2E329976422C}"/>
    <cellStyle name="Currency 2 3" xfId="168" xr:uid="{89CF8E45-BCD7-40F1-9664-6830A8E67589}"/>
    <cellStyle name="Currency 2 3 2" xfId="245" xr:uid="{C9DB140A-7D12-45BB-91F8-2FF8C07E2883}"/>
    <cellStyle name="Currency 2 3 3" xfId="242" xr:uid="{E90CF044-2E72-4C7A-8630-A733B6762B0C}"/>
    <cellStyle name="Currency 2 3 4" xfId="528" xr:uid="{361A395A-5562-4953-B071-7894819126C8}"/>
    <cellStyle name="Currency 3" xfId="53" xr:uid="{C7FE19C4-8C82-4B2D-A96A-E0E0F92BFD6E}"/>
    <cellStyle name="Currency 3 2" xfId="209" xr:uid="{5B8F4247-7BF5-4A78-B78A-E2390434C9FD}"/>
    <cellStyle name="Currency 3 2 2" xfId="247" xr:uid="{418686D9-089A-41BF-BA96-764B6ADCB0F3}"/>
    <cellStyle name="Currency 3 2 3" xfId="255" xr:uid="{29B9687E-A71F-4751-9E80-D3C82BA6E903}"/>
    <cellStyle name="Currency 4" xfId="250" xr:uid="{944106AA-6093-4D5B-8505-3F7B19DFD1B6}"/>
    <cellStyle name="Date" xfId="173" xr:uid="{72AE4E68-085E-4F61-90C2-7746ED02CD9C}"/>
    <cellStyle name="Date 2" xfId="214" xr:uid="{30E76E72-C45B-40BE-A93C-20912416F3F1}"/>
    <cellStyle name="Explanatory Text 2" xfId="55" xr:uid="{2D9129EB-EE31-438A-A5FB-4335296A0074}"/>
    <cellStyle name="Explanatory Text 3" xfId="135" xr:uid="{BF23F34A-86A8-4C48-9949-739FE145D0E2}"/>
    <cellStyle name="Explanatory Text 3 2" xfId="503" xr:uid="{C9ED2DDD-73A1-4A1F-B708-45AD68B16FBC}"/>
    <cellStyle name="Explanatory Text 3 3" xfId="324" xr:uid="{79DBC4CF-A3D9-4CAC-A180-A2737839546F}"/>
    <cellStyle name="Format Number Column" xfId="534" xr:uid="{B674223E-CDB2-4014-A7C9-D1D8E2A1802F}"/>
    <cellStyle name="fundint" xfId="325" xr:uid="{0C2C5FD4-178E-4336-86C4-25B771BF70BA}"/>
    <cellStyle name="Good 2" xfId="56" xr:uid="{BEE0FFA3-542F-41D8-8995-24204535D043}"/>
    <cellStyle name="Good 3" xfId="116" xr:uid="{3E3ED504-9004-4B16-B807-E44FD28BA5B0}"/>
    <cellStyle name="Good 3 2" xfId="486" xr:uid="{C33FED0B-E4D8-4E10-A2C5-DE1943CCFADB}"/>
    <cellStyle name="Good 3 3" xfId="326" xr:uid="{4454FF79-5FC1-40F1-B66A-E6391C3E7E03}"/>
    <cellStyle name="Heading 1 2" xfId="57" xr:uid="{E8F8EC96-5B87-40C6-A483-A163D57EE872}"/>
    <cellStyle name="Heading 1 3" xfId="152" xr:uid="{05C4D59C-CDEC-4D87-B3DF-0ED03188844B}"/>
    <cellStyle name="Heading 1 3 2" xfId="519" xr:uid="{153A665F-A8F7-43B5-8F43-4A56A13AC831}"/>
    <cellStyle name="Heading 1 3 3" xfId="327" xr:uid="{127C5713-33BE-430C-BE6F-CA43BCCD4FE2}"/>
    <cellStyle name="Heading 2 2" xfId="58" xr:uid="{516E30C5-FEA7-403E-8B9C-BFA9536D96CB}"/>
    <cellStyle name="Heading 2 3" xfId="134" xr:uid="{C53804AC-9D62-49B9-951F-BF2AC123C0BB}"/>
    <cellStyle name="Heading 2 3 2" xfId="502" xr:uid="{4FD0D4F8-D241-4F42-9F44-ACD17C8AB69A}"/>
    <cellStyle name="Heading 2 3 3" xfId="328" xr:uid="{8A2645A2-791C-42B5-B685-C76050335810}"/>
    <cellStyle name="Heading 3 2" xfId="59" xr:uid="{7949CC3B-6AD4-40A5-AA15-4EFE30AB67BA}"/>
    <cellStyle name="Heading 3 3" xfId="125" xr:uid="{70F66D5C-8B2F-40E9-B322-C9941F143B66}"/>
    <cellStyle name="Heading 3 3 2" xfId="495" xr:uid="{9E965D2C-B6FD-43E6-ADF1-151C0AD53422}"/>
    <cellStyle name="Heading 3 3 3" xfId="329" xr:uid="{9628AD6C-0F8A-4F8C-A97C-61F845C5E3DC}"/>
    <cellStyle name="Heading 4 2" xfId="60" xr:uid="{6DD14710-64A3-488E-845D-F853C888B214}"/>
    <cellStyle name="Heading 4 3" xfId="139" xr:uid="{21F5DEA9-AA20-437E-BD33-43307A8F5A9B}"/>
    <cellStyle name="Heading 4 3 2" xfId="507" xr:uid="{05BD4EFC-BFB9-45D7-8ED8-168356DD943D}"/>
    <cellStyle name="Heading 4 3 3" xfId="330" xr:uid="{379C0E4C-5D90-499F-AC50-22286C3278F1}"/>
    <cellStyle name="Heading No Underline" xfId="174" xr:uid="{08C17EBC-88A8-4F4B-ADB0-7186424B9867}"/>
    <cellStyle name="Heading With Underline" xfId="175" xr:uid="{CF145AF1-56A5-4805-A8C5-15B979466D31}"/>
    <cellStyle name="HNU" xfId="176" xr:uid="{0C8FBA63-2B9D-425F-981F-1EEEF60466E1}"/>
    <cellStyle name="HNU 2" xfId="215" xr:uid="{AED415DC-3D31-4BC3-B1D1-3ADEFDE62687}"/>
    <cellStyle name="Hyperlink 2" xfId="331" xr:uid="{8AB241A2-8D87-441F-BE23-347AF0D5DDCE}"/>
    <cellStyle name="Input 2" xfId="61" xr:uid="{9CC95A63-55BD-429A-9F52-919A3C726358}"/>
    <cellStyle name="Input 2 10" xfId="332" xr:uid="{D5185CCD-5B8F-4935-A7C5-2276AC6DF294}"/>
    <cellStyle name="Input 2 2" xfId="333" xr:uid="{9BD1A5E0-D47A-4430-BFA9-C12028174010}"/>
    <cellStyle name="Input 2 2 2" xfId="334" xr:uid="{F107120F-2608-46D8-B204-A7E2BAA0E53B}"/>
    <cellStyle name="Input 2 2 3" xfId="335" xr:uid="{FA620571-823A-48E3-BBE6-2C0D0689341A}"/>
    <cellStyle name="Input 2 2 4" xfId="336" xr:uid="{2DB4FCFD-9EA6-48D0-A2BB-DC7F96675EAA}"/>
    <cellStyle name="Input 2 3" xfId="337" xr:uid="{AF081CBF-6F76-4532-8BDA-B2B297C770F0}"/>
    <cellStyle name="Input 2 3 2" xfId="338" xr:uid="{2E9E2807-C907-459B-9FF6-9C6F6EE4D944}"/>
    <cellStyle name="Input 2 4" xfId="339" xr:uid="{4E4D7BB1-E209-4DF1-B806-B3FCBF929932}"/>
    <cellStyle name="Input 2 5" xfId="340" xr:uid="{7E912A49-17BE-45AD-B358-9B02D8DE98DB}"/>
    <cellStyle name="Input 2 6" xfId="341" xr:uid="{EF35E477-7063-430B-B415-92406BA3AD89}"/>
    <cellStyle name="Input 2 7" xfId="342" xr:uid="{8DA4E289-6DA5-45E6-89A1-C53F0DB033B0}"/>
    <cellStyle name="Input 2 8" xfId="343" xr:uid="{7843337F-FF4C-43C6-A2FC-FB13C20EEA63}"/>
    <cellStyle name="Input 2 9" xfId="344" xr:uid="{069EA521-8651-4B12-98CB-FC173D5D31CE}"/>
    <cellStyle name="Input 3" xfId="144" xr:uid="{FCFC8804-DDDF-4A3A-8EA9-00825D3B76D7}"/>
    <cellStyle name="Input 3 10" xfId="346" xr:uid="{40B370AA-DA59-4284-B5ED-C754BE657959}"/>
    <cellStyle name="Input 3 11" xfId="511" xr:uid="{FA8F5B5C-17F0-43CE-A99F-C836D9EEBBF7}"/>
    <cellStyle name="Input 3 12" xfId="345" xr:uid="{BC4E70CA-216E-4F35-A3B5-E388DCF1B400}"/>
    <cellStyle name="Input 3 2" xfId="347" xr:uid="{A1AA1DD9-2086-4221-9956-A86AD043A60C}"/>
    <cellStyle name="Input 3 2 2" xfId="348" xr:uid="{68B7D2B2-584E-49BC-830F-12E6296DE08A}"/>
    <cellStyle name="Input 3 2 3" xfId="349" xr:uid="{57346FF0-0E86-4A13-911C-7143136B6078}"/>
    <cellStyle name="Input 3 2 4" xfId="350" xr:uid="{4D961E12-333C-4343-B469-70191D301A28}"/>
    <cellStyle name="Input 3 3" xfId="351" xr:uid="{A773A518-89C0-4DF9-BF5D-E171D4FA429E}"/>
    <cellStyle name="Input 3 3 2" xfId="352" xr:uid="{75A43608-5AB7-4F8C-AC0B-D7D0EDA3225E}"/>
    <cellStyle name="Input 3 4" xfId="353" xr:uid="{245B5448-DF13-4860-B58B-A1C2E16F7096}"/>
    <cellStyle name="Input 3 5" xfId="354" xr:uid="{D3B8A30C-287B-452C-974C-3A249AA9F8F2}"/>
    <cellStyle name="Input 3 6" xfId="355" xr:uid="{BD642925-B01F-4D89-BE2F-F2BB380E98AD}"/>
    <cellStyle name="Input 3 7" xfId="356" xr:uid="{8162AD2C-C8C8-4B00-B109-931129EB9717}"/>
    <cellStyle name="Input 3 8" xfId="357" xr:uid="{5617279C-6C5A-4D3C-8634-3BE5A71A183C}"/>
    <cellStyle name="Input 3 9" xfId="358" xr:uid="{08DEA903-C312-45BF-ACCC-B58C9AC9BF09}"/>
    <cellStyle name="Linked Cell 2" xfId="62" xr:uid="{25720F23-2C71-4433-8270-1E2FCD470739}"/>
    <cellStyle name="Linked Cell 3" xfId="126" xr:uid="{9D153440-7CEA-49EF-8488-94407D47B6F2}"/>
    <cellStyle name="Linked Cell 3 2" xfId="496" xr:uid="{533D5B1D-BD59-45B7-8B47-3191AE111C31}"/>
    <cellStyle name="Linked Cell 3 3" xfId="359" xr:uid="{2BF930ED-65FE-46EE-8BD8-FBE3064E69B6}"/>
    <cellStyle name="Neutral 2" xfId="63" xr:uid="{D623E60D-096F-49EB-8B65-0676EA0A6734}"/>
    <cellStyle name="Neutral 3" xfId="127" xr:uid="{2DFF1382-94DF-4F48-95B7-1F489FD7FAF3}"/>
    <cellStyle name="Neutral 3 2" xfId="497" xr:uid="{05878A06-F889-4EF7-AA0A-75E45F9D34BF}"/>
    <cellStyle name="Neutral 3 3" xfId="360" xr:uid="{25067E06-2737-4532-B73A-F64BC9F50D45}"/>
    <cellStyle name="Normal" xfId="0" builtinId="0"/>
    <cellStyle name="Normal 10" xfId="361" xr:uid="{679391A5-ADB8-47B3-9B36-79CB8D97F393}"/>
    <cellStyle name="Normal 11" xfId="362" xr:uid="{27793A05-1D59-4C89-81F2-0C327D7CC39B}"/>
    <cellStyle name="Normal 12" xfId="363" xr:uid="{CC046FDE-9E9E-4B3E-83A2-F5855D2EB9EA}"/>
    <cellStyle name="Normal 13" xfId="364" xr:uid="{18296453-38AE-4B7A-B0DA-54A676E180CF}"/>
    <cellStyle name="Normal 13 2" xfId="365" xr:uid="{1538E3D0-CEFD-48A3-AE45-E5E68CEE5E45}"/>
    <cellStyle name="Normal 14" xfId="366" xr:uid="{5095A6C4-46DE-4535-915A-AB04E30ED86D}"/>
    <cellStyle name="Normal 14 2" xfId="367" xr:uid="{67892E0B-C4F8-45F2-BD80-181DA8CFE866}"/>
    <cellStyle name="Normal 14 3" xfId="368" xr:uid="{75F23968-CFB6-4041-A787-98FE978E1ED2}"/>
    <cellStyle name="Normal 15" xfId="369" xr:uid="{583DC78F-34AC-4F84-B9C3-FCC710DBE607}"/>
    <cellStyle name="Normal 15 2" xfId="370" xr:uid="{FA854B41-E302-4ED1-B689-DA9D73FC7D54}"/>
    <cellStyle name="Normal 16" xfId="371" xr:uid="{C613BC28-2000-49FC-A118-9A05FAE2D190}"/>
    <cellStyle name="Normal 17" xfId="372" xr:uid="{CE3ED58D-1DB1-4F9F-AADA-62AFEDF6C24F}"/>
    <cellStyle name="Normal 18" xfId="373" xr:uid="{F14F5532-E24D-4911-BEE9-C480B40D4268}"/>
    <cellStyle name="Normal 19" xfId="374" xr:uid="{8D2D66A8-8199-482E-96B8-E60D56E3CC91}"/>
    <cellStyle name="Normal 2" xfId="4" xr:uid="{D3811D2A-1688-4754-8528-D9C81E6866AE}"/>
    <cellStyle name="Normal 2 2" xfId="10" xr:uid="{D715E4C0-5285-4F7E-9B1B-0CA4FE25C435}"/>
    <cellStyle name="Normal 2 2 2" xfId="15" xr:uid="{4BEEF1A6-0850-4534-9537-6942FCEB1E4E}"/>
    <cellStyle name="Normal 2 2 3" xfId="128" xr:uid="{E0820C52-57FC-45C9-876C-C862CD9A3FD5}"/>
    <cellStyle name="Normal 2 2 3 2" xfId="498" xr:uid="{F03F3F4D-605E-4E35-9C31-90CD95ECC519}"/>
    <cellStyle name="Normal 2 2 3 3" xfId="375" xr:uid="{19663450-A6C0-4AB7-B33A-9218545A67CC}"/>
    <cellStyle name="Normal 2 3" xfId="159" xr:uid="{AF50FFE3-5A3F-49A4-B6C3-00C1B5A8D9A2}"/>
    <cellStyle name="Normal 2 3 2" xfId="244" xr:uid="{B5C43D35-AB6A-431A-B777-507381F775FE}"/>
    <cellStyle name="Normal 2 3 2 2" xfId="530" xr:uid="{283946C3-6CA3-43FF-BBAD-6AD25D5EA0C6}"/>
    <cellStyle name="Normal 2 3 2 3" xfId="377" xr:uid="{AE330192-E180-41D3-9073-18155595A801}"/>
    <cellStyle name="Normal 2 3 3" xfId="240" xr:uid="{079E9432-5FF2-42CE-9B98-98FD7426444F}"/>
    <cellStyle name="Normal 2 3 4" xfId="526" xr:uid="{EA81D3BC-0783-450A-A29B-C986EFFD52D7}"/>
    <cellStyle name="Normal 2 3 5" xfId="376" xr:uid="{0E1CC110-EB7E-4147-B1EF-6D36EA9065F0}"/>
    <cellStyle name="Normal 2 4" xfId="378" xr:uid="{4E237549-8834-4373-8B3C-C938BC8E6A1A}"/>
    <cellStyle name="Normal 3" xfId="11" xr:uid="{3EBBAFA2-820D-4E20-B055-2B304C466DB4}"/>
    <cellStyle name="Normal 3 2" xfId="20" xr:uid="{77618DE6-5C59-456C-85B0-F23AAC3CD1BD}"/>
    <cellStyle name="Normal 3 2 2" xfId="76" xr:uid="{180A636F-FB30-4DE1-8E72-160AA892B2A2}"/>
    <cellStyle name="Normal 3 2 2 2" xfId="105" xr:uid="{410DC015-774E-46F9-B5E0-7C2DAF4F460B}"/>
    <cellStyle name="Normal 3 2 2 3" xfId="90" xr:uid="{66EAD223-8398-4734-BFB4-101C88CD6125}"/>
    <cellStyle name="Normal 3 2 3" xfId="80" xr:uid="{4D030462-2A87-45DD-AAE4-E78C2CCD51FD}"/>
    <cellStyle name="Normal 3 2 3 2" xfId="106" xr:uid="{1956C30A-D06E-4B87-85D3-EF6233F17A63}"/>
    <cellStyle name="Normal 3 2 3 3" xfId="95" xr:uid="{ABBADBA8-F131-4936-93D1-C36831EA5CDD}"/>
    <cellStyle name="Normal 3 2 4" xfId="99" xr:uid="{8FD4FB37-C4E0-42DD-B9DE-0FC505814809}"/>
    <cellStyle name="Normal 3 2 5" xfId="85" xr:uid="{71977D8A-3364-4291-B286-7F03DF4B4AD5}"/>
    <cellStyle name="Normal 3 3" xfId="21" xr:uid="{BDBA05F7-2DE3-4F3C-9389-12D1B71B575E}"/>
    <cellStyle name="Normal 3 3 2" xfId="107" xr:uid="{5B6D6FB9-222C-480D-8DCF-876D0CBA5631}"/>
    <cellStyle name="Normal 3 3 3" xfId="87" xr:uid="{2D89DC31-E736-495C-AD99-43A95E159E5F}"/>
    <cellStyle name="Normal 3 4" xfId="22" xr:uid="{5665B056-72BE-474E-8726-278CD30FF570}"/>
    <cellStyle name="Normal 3 4 2" xfId="108" xr:uid="{5539C8DE-50EA-42FE-B59A-0560A2AE32CD}"/>
    <cellStyle name="Normal 3 4 3" xfId="92" xr:uid="{1778ABEA-C7C4-4AE7-B675-242145637B80}"/>
    <cellStyle name="Normal 3 5" xfId="23" xr:uid="{89995862-3E95-45FD-A595-48339FAEE1B9}"/>
    <cellStyle name="Normal 3 6" xfId="64" xr:uid="{67C09511-B71B-45B0-8D7D-0C3C86DC3C4A}"/>
    <cellStyle name="Normal 3 6 2" xfId="82" xr:uid="{930788CC-DBD1-486D-8D63-8FAE4277D405}"/>
    <cellStyle name="Normal 3 7" xfId="16" xr:uid="{B1E195B6-4B12-46BE-85DD-498564DCCB4E}"/>
    <cellStyle name="Normal 3 8" xfId="202" xr:uid="{81D00147-2821-4230-A123-F1ABC415B172}"/>
    <cellStyle name="Normal 3_Cash Flows - TPV -Tier1&amp;2" xfId="73" xr:uid="{C4CD3AF2-DC21-4E04-B517-EB8621C5C8B9}"/>
    <cellStyle name="Normal 4" xfId="12" xr:uid="{2855991B-DBAE-401A-94FE-D35086CA8D0E}"/>
    <cellStyle name="Normal 4 2" xfId="77" xr:uid="{6146381E-CD5D-477A-BC95-696C339AE5A6}"/>
    <cellStyle name="Normal 4 2 2" xfId="109" xr:uid="{2CC3595D-81D7-40FD-92B1-F4D63561209D}"/>
    <cellStyle name="Normal 4 2 3" xfId="91" xr:uid="{3610440A-A6FE-4EC6-9318-DA8B5C6B4F1F}"/>
    <cellStyle name="Normal 4 3" xfId="81" xr:uid="{DDF3F7C8-A443-45C9-A827-D51186A6C038}"/>
    <cellStyle name="Normal 4 3 2" xfId="110" xr:uid="{974B83F6-5432-4EB3-BA03-91327F4EDC9D}"/>
    <cellStyle name="Normal 4 3 3" xfId="96" xr:uid="{6869305E-3421-40D7-A11F-B80F1D521095}"/>
    <cellStyle name="Normal 4 4" xfId="100" xr:uid="{1EA93B0E-668C-4577-B704-78EEB08978EC}"/>
    <cellStyle name="Normal 4 5" xfId="86" xr:uid="{B8F4C8F2-226C-454A-B1C2-8BE7939CC56B}"/>
    <cellStyle name="Normal 4 6" xfId="18" xr:uid="{C2B85779-6707-4483-9FDC-BE810C7C50E6}"/>
    <cellStyle name="Normal 4 7" xfId="129" xr:uid="{15EF47F2-A1BF-4D04-AF22-1E975D786736}"/>
    <cellStyle name="Normal 5" xfId="13" xr:uid="{DD4BDF29-CDB8-41C7-A0FC-C1773BCEFF97}"/>
    <cellStyle name="Normal 5 2" xfId="14" xr:uid="{DEDC9500-C7F2-48CB-8662-F10A897BC860}"/>
    <cellStyle name="Normal 5 2 2" xfId="379" xr:uid="{CFE81BF1-0F23-4199-BC3F-D412D90D73DE}"/>
    <cellStyle name="Normal 5 3" xfId="24" xr:uid="{FCDD1501-F1E2-4DC1-A457-6B384339BB5C}"/>
    <cellStyle name="Normal 5 4" xfId="380" xr:uid="{55493C4D-FC04-4758-8CC3-C971108175F2}"/>
    <cellStyle name="Normal 6" xfId="6" xr:uid="{C5793A01-3795-418C-A038-847347A10D53}"/>
    <cellStyle name="Normal 6 2" xfId="111" xr:uid="{199B88E2-C668-4034-A884-7FBCD763E578}"/>
    <cellStyle name="Normal 6 2 2" xfId="113" xr:uid="{3EFE124E-25EA-4AFA-99CB-73029BC6699F}"/>
    <cellStyle name="Normal 6 2 2 2" xfId="382" xr:uid="{599DBC32-2B8A-444E-9B5B-DADA7DB10FDE}"/>
    <cellStyle name="Normal 6 2 2 3" xfId="483" xr:uid="{F2601C90-8C2D-465E-BDFF-64F211E69F72}"/>
    <cellStyle name="Normal 6 2 2 4" xfId="381" xr:uid="{760340CA-1C08-4CBD-AB5F-BD51DC547D95}"/>
    <cellStyle name="Normal 6 2 3" xfId="112" xr:uid="{F1E29951-7BF3-4FA4-959A-FBA65953A364}"/>
    <cellStyle name="Normal 6 3" xfId="383" xr:uid="{66A7000A-D3A3-4214-8CFB-D0D32F5F9E60}"/>
    <cellStyle name="Normal 6 3 2" xfId="384" xr:uid="{6C775E52-5032-415E-B831-683C6C287B72}"/>
    <cellStyle name="Normal 7" xfId="385" xr:uid="{BEE5DF8F-65B3-4E16-8727-6B153A9F9635}"/>
    <cellStyle name="Normal 7 2" xfId="386" xr:uid="{11A3B5CF-D948-4848-9F0E-2BE4F41EAD52}"/>
    <cellStyle name="Normal 7 3" xfId="387" xr:uid="{5EBBA340-B03E-48D0-B1C8-AB78218C0E6C}"/>
    <cellStyle name="Normal 7 3 2" xfId="388" xr:uid="{C664923A-FAF4-48E0-BE0F-1CED39D0D27B}"/>
    <cellStyle name="Normal 8" xfId="389" xr:uid="{36FC3D2B-56A0-406E-98AC-E1F3D56724C6}"/>
    <cellStyle name="Normal 8 2" xfId="390" xr:uid="{2DD60B45-8109-4679-ABDF-B1FEDD9EC7A2}"/>
    <cellStyle name="Normal 8 3" xfId="391" xr:uid="{257AFECC-97F5-448D-8D9D-28CA94B991ED}"/>
    <cellStyle name="Normal 8 4" xfId="392" xr:uid="{64DA1135-37A7-4B8B-BD04-29066A44552C}"/>
    <cellStyle name="Normal 9" xfId="393" xr:uid="{EB6F5147-2A59-453E-9ED9-34BA10203347}"/>
    <cellStyle name="Normal 9 2" xfId="394" xr:uid="{F406394D-295B-452D-BAE2-07E4381664CC}"/>
    <cellStyle name="Normal 9 3" xfId="395" xr:uid="{A94F9E3C-A2C5-428F-8295-BB5B22AB0D3E}"/>
    <cellStyle name="Normal 9 4" xfId="396" xr:uid="{4A32211A-3D42-4B79-BD85-E2E7C2BE1B41}"/>
    <cellStyle name="Normal Bold" xfId="177" xr:uid="{0643541A-BE09-44EC-A31D-0C934B09FAE2}"/>
    <cellStyle name="Normal Bold 2" xfId="216" xr:uid="{D9A8BD30-71B1-42E8-B9D2-BE3F946A46F5}"/>
    <cellStyle name="Normal Bold Italic" xfId="178" xr:uid="{19EB0368-05C7-4F94-96B4-E4BBB1C54FBD}"/>
    <cellStyle name="Normal Bold Italic 2" xfId="217" xr:uid="{3F4BF2C0-0031-462F-8136-8C2965092554}"/>
    <cellStyle name="Normal Italic" xfId="179" xr:uid="{596C0C26-B954-48B5-879F-C4831A2CB393}"/>
    <cellStyle name="Normal Italic 2" xfId="218" xr:uid="{CA949B2F-2195-4E90-8631-492C39B9BF20}"/>
    <cellStyle name="Note 2" xfId="65" xr:uid="{515473B9-9F14-414B-AA15-003EC44EF7AA}"/>
    <cellStyle name="Note 2 10" xfId="397" xr:uid="{C37CB6EA-BFF1-45D9-AD6E-80C898658DD8}"/>
    <cellStyle name="Note 2 2" xfId="398" xr:uid="{7648461B-DFA1-4878-A033-D96E84A83BA2}"/>
    <cellStyle name="Note 2 2 2" xfId="399" xr:uid="{4DE176C0-597F-4C2C-86A0-E26AEA31E4F6}"/>
    <cellStyle name="Note 2 2 3" xfId="400" xr:uid="{7AF643C5-7B0A-4E63-BD84-A69B821EF446}"/>
    <cellStyle name="Note 2 2 4" xfId="401" xr:uid="{5EE96346-BD15-4EA6-B923-D3E4DC47694D}"/>
    <cellStyle name="Note 2 3" xfId="402" xr:uid="{51428827-E353-49DA-8146-D4DB650137E4}"/>
    <cellStyle name="Note 2 3 2" xfId="403" xr:uid="{13F2CFB6-4924-4CC7-8058-617A4B5DF961}"/>
    <cellStyle name="Note 2 4" xfId="404" xr:uid="{5A7862FD-4552-478D-AB72-6D9F10DD703C}"/>
    <cellStyle name="Note 2 5" xfId="405" xr:uid="{9F558C1F-15C5-4BE2-94D7-AEADAD2DF509}"/>
    <cellStyle name="Note 2 6" xfId="406" xr:uid="{5E6FA563-82B6-431D-ABE8-5C25E3ED93C7}"/>
    <cellStyle name="Note 2 7" xfId="407" xr:uid="{D059D558-C674-4ADC-A896-89D01F3D4C12}"/>
    <cellStyle name="Note 2 8" xfId="408" xr:uid="{9014DC34-E039-4E07-A5C8-B8C7F3EB8327}"/>
    <cellStyle name="Note 2 9" xfId="409" xr:uid="{08A5E7A8-DD58-4178-AF75-E94E8E19B636}"/>
    <cellStyle name="Note 3" xfId="130" xr:uid="{3731FB46-B576-4086-86F3-A9FFFEA5DA0F}"/>
    <cellStyle name="Note 3 10" xfId="411" xr:uid="{4F8F735E-4BD7-472D-B50B-7DACEEEA529F}"/>
    <cellStyle name="Note 3 11" xfId="499" xr:uid="{5C5D53EF-F72D-407B-9750-09AA6E207F68}"/>
    <cellStyle name="Note 3 12" xfId="410" xr:uid="{AF739117-4F83-4B05-A83D-8589CACB2597}"/>
    <cellStyle name="Note 3 2" xfId="412" xr:uid="{F8E78767-50AA-4158-8327-9544FF959587}"/>
    <cellStyle name="Note 3 2 2" xfId="413" xr:uid="{58C98853-D746-4ED1-AB96-EC28A13C31F8}"/>
    <cellStyle name="Note 3 2 3" xfId="414" xr:uid="{52B43744-0333-4DC5-9331-D8CA6A5B828C}"/>
    <cellStyle name="Note 3 2 4" xfId="415" xr:uid="{62A72975-DBEB-49C0-B87F-7F400BC93E72}"/>
    <cellStyle name="Note 3 3" xfId="416" xr:uid="{86941685-F88A-47E0-BECC-18DB920B0146}"/>
    <cellStyle name="Note 3 3 2" xfId="417" xr:uid="{56B97488-9A09-4264-891C-601D34CA9F55}"/>
    <cellStyle name="Note 3 4" xfId="418" xr:uid="{F343DF22-133C-4A4C-9D4C-9B5DB9D3E19A}"/>
    <cellStyle name="Note 3 5" xfId="419" xr:uid="{CD8D2AF2-05AB-4442-8664-B0FA59D366F1}"/>
    <cellStyle name="Note 3 6" xfId="420" xr:uid="{8C88A01E-AB18-435C-953E-3943D27034C5}"/>
    <cellStyle name="Note 3 7" xfId="421" xr:uid="{B5587834-A0A2-4618-8E6F-EAA6BDBE4339}"/>
    <cellStyle name="Note 3 8" xfId="422" xr:uid="{A1E9238E-EF5B-4268-9C6F-2F02AFD77AD4}"/>
    <cellStyle name="Note 3 9" xfId="423" xr:uid="{4C3AF163-02D5-4C22-B84A-F35BBD8CF9C5}"/>
    <cellStyle name="Output 2" xfId="66" xr:uid="{62776620-961F-4EDA-A50E-E15E7E59B780}"/>
    <cellStyle name="Output 2 10" xfId="424" xr:uid="{8B719FF6-E4BB-4E4E-AA9C-29E2D4DE8AAA}"/>
    <cellStyle name="Output 2 2" xfId="425" xr:uid="{D7C0D69E-C00A-41A3-A06F-41D46530971F}"/>
    <cellStyle name="Output 2 2 2" xfId="426" xr:uid="{4FA13855-2B50-49F2-AD9A-4F2356348583}"/>
    <cellStyle name="Output 2 2 3" xfId="427" xr:uid="{101E572D-8E44-4766-BD1C-5B1A4119BD43}"/>
    <cellStyle name="Output 2 2 4" xfId="428" xr:uid="{B34600ED-044E-470E-AB57-2CD048818196}"/>
    <cellStyle name="Output 2 3" xfId="429" xr:uid="{0472CCDB-06A7-41A9-B864-C159451B350A}"/>
    <cellStyle name="Output 2 3 2" xfId="430" xr:uid="{992F2F9F-4DEE-4611-B6B7-4C4D875DEEE7}"/>
    <cellStyle name="Output 2 4" xfId="431" xr:uid="{AA89D35C-496F-40EB-8E13-B79C09EA2B99}"/>
    <cellStyle name="Output 2 5" xfId="432" xr:uid="{D0587C2E-FCD2-4D53-8EFA-ED9A40DE1320}"/>
    <cellStyle name="Output 2 6" xfId="433" xr:uid="{E5AC027F-4A30-430B-B6B3-0C9F09DC4E08}"/>
    <cellStyle name="Output 2 7" xfId="434" xr:uid="{A76CB9A4-6899-404D-95D4-9F36B089874B}"/>
    <cellStyle name="Output 2 8" xfId="435" xr:uid="{4334DDD3-E967-4D5B-AE82-316E58D0A2E4}"/>
    <cellStyle name="Output 2 9" xfId="436" xr:uid="{D4B997D1-F04B-4A7E-BE8A-54EB20287819}"/>
    <cellStyle name="Output 3" xfId="131" xr:uid="{53AE0BCD-E101-4E09-82DB-0767ECBE69D1}"/>
    <cellStyle name="Output 3 10" xfId="438" xr:uid="{2313CE80-D6E3-4484-AF87-B553B9DB49A3}"/>
    <cellStyle name="Output 3 11" xfId="500" xr:uid="{2D490EA6-4FD8-4FD8-BD03-E658AEC5B4E5}"/>
    <cellStyle name="Output 3 12" xfId="437" xr:uid="{AE0F7D12-7859-4EC6-90A0-B0E038929903}"/>
    <cellStyle name="Output 3 2" xfId="439" xr:uid="{853F1DBE-2AA6-4B04-BA18-A6ACD56BF56A}"/>
    <cellStyle name="Output 3 2 2" xfId="440" xr:uid="{D57AD9EB-D6D9-436B-BBB4-8CD085F67CCB}"/>
    <cellStyle name="Output 3 2 3" xfId="441" xr:uid="{D2D28A0A-A9EA-49E9-8673-CB2710926282}"/>
    <cellStyle name="Output 3 2 4" xfId="442" xr:uid="{68F9348A-7E78-4E5C-B19A-D7A5DCBE14C8}"/>
    <cellStyle name="Output 3 3" xfId="443" xr:uid="{48617BD5-6A0B-4D3A-9274-1D39E168C614}"/>
    <cellStyle name="Output 3 3 2" xfId="444" xr:uid="{34E20B11-F6E3-4537-8953-11FCEDBB3844}"/>
    <cellStyle name="Output 3 4" xfId="445" xr:uid="{599C0AE7-823F-438B-A5CA-81CE7F7537F1}"/>
    <cellStyle name="Output 3 5" xfId="446" xr:uid="{9DA51399-0F18-41E2-87D7-DA13239341F9}"/>
    <cellStyle name="Output 3 6" xfId="447" xr:uid="{13EA5F20-EA41-4E00-BB3C-7D2626817546}"/>
    <cellStyle name="Output 3 7" xfId="448" xr:uid="{A43A6CB8-4F74-455B-9232-2CCD03E7ADAC}"/>
    <cellStyle name="Output 3 8" xfId="449" xr:uid="{A9DA6C4E-E7EF-4EBF-A801-8EA0811B4247}"/>
    <cellStyle name="Output 3 9" xfId="450" xr:uid="{B8074433-EB49-43E9-942D-41B4E7E137B3}"/>
    <cellStyle name="ParentCO" xfId="180" xr:uid="{42FDC00B-7E98-48EE-94E4-D433FA3E30C0}"/>
    <cellStyle name="Percent" xfId="3" builtinId="5"/>
    <cellStyle name="Percent %" xfId="182" xr:uid="{0F69783B-521A-4CA0-B7C2-CB730C12161A}"/>
    <cellStyle name="Percent % 2" xfId="220" xr:uid="{1F15DD53-7F21-4B77-A40A-5B38464AA4C6}"/>
    <cellStyle name="Percent % Long Underline" xfId="183" xr:uid="{9AD6B1AB-E971-4472-82F3-386A0D7D78B6}"/>
    <cellStyle name="Percent % Long Underline 2" xfId="221" xr:uid="{1131D47A-5FAE-4615-BD64-088260783120}"/>
    <cellStyle name="Percent 0.0%" xfId="184" xr:uid="{94F3DF77-9034-4317-A59C-7B9F89051563}"/>
    <cellStyle name="Percent 0.0% 2" xfId="222" xr:uid="{0E87259F-C4D4-45B4-8F4D-C13FA2ED529A}"/>
    <cellStyle name="Percent 0.0% Long Underline" xfId="185" xr:uid="{CE18B869-1150-4C79-85BC-E639D9F5EB96}"/>
    <cellStyle name="Percent 0.0% Long Underline 2" xfId="223" xr:uid="{43657A78-D70C-4390-BAD8-A81483FE32FD}"/>
    <cellStyle name="Percent 0.00%" xfId="186" xr:uid="{61E6D01A-3A04-4670-B3E0-DF036A0A1FAB}"/>
    <cellStyle name="Percent 0.00% 2" xfId="224" xr:uid="{1D54829E-B0A8-4E6E-880E-1D62B30651A8}"/>
    <cellStyle name="Percent 0.00% Long Underline" xfId="187" xr:uid="{F1B75DAE-84ED-4E3A-8463-C0A6742EA65F}"/>
    <cellStyle name="Percent 0.00% Long Underline 2" xfId="225" xr:uid="{4D23AB16-8573-47A4-AB7E-8BDA9F1B73E5}"/>
    <cellStyle name="Percent 0.000%" xfId="188" xr:uid="{D288F820-150A-47B0-886B-23825C921CF3}"/>
    <cellStyle name="Percent 0.000% 2" xfId="226" xr:uid="{E52DEDEC-BAB3-491F-92E3-2F1F536CCF44}"/>
    <cellStyle name="Percent 0.000% Long Underline" xfId="189" xr:uid="{E90F2D81-F8B6-469D-9FEE-40DE97AEB946}"/>
    <cellStyle name="Percent 0.000% Long Underline 2" xfId="227" xr:uid="{0AD4EBD8-D6BE-44D2-BB09-7C9CCDDDBF44}"/>
    <cellStyle name="Percent 0.0000%" xfId="190" xr:uid="{BB4D3AA3-7EEA-46D9-AAD9-F659A3C4B46F}"/>
    <cellStyle name="Percent 0.0000% 2" xfId="228" xr:uid="{FFFBC9A7-573B-45BF-9750-61FC092BCB8D}"/>
    <cellStyle name="Percent 0.0000% Long Underline" xfId="191" xr:uid="{1115949C-5FE6-4D06-AB20-DD90C00A62B9}"/>
    <cellStyle name="Percent 0.0000% Long Underline 2" xfId="229" xr:uid="{4D1D83B8-1748-49C9-9AD2-7029C37B7C1A}"/>
    <cellStyle name="Percent 2" xfId="9" xr:uid="{51E7E39C-D933-4699-A9AE-874D30FCFB27}"/>
    <cellStyle name="Percent 2 2" xfId="19" xr:uid="{94C6BE45-DF45-4145-A6DD-B037F9F5AE2C}"/>
    <cellStyle name="Percent 2 3" xfId="133" xr:uid="{587ED9C9-56BF-42E1-9BB5-5487CACE3424}"/>
    <cellStyle name="Percent 2 3 2" xfId="251" xr:uid="{B8473291-81DC-49EA-B8C3-8CC7EB6AD852}"/>
    <cellStyle name="Percent 2 3 3" xfId="501" xr:uid="{47766D7C-BBF8-463F-B423-3C79F9ED2DF9}"/>
    <cellStyle name="Percent 2 4" xfId="181" xr:uid="{AD380CBC-3BE1-4B0C-B957-DC0D31704184}"/>
    <cellStyle name="Percent 3" xfId="67" xr:uid="{685224DA-B21B-449B-BFF4-3179DF98D906}"/>
    <cellStyle name="Percent 3 2" xfId="219" xr:uid="{E2983422-94DF-4D93-9855-A45FD443FF4E}"/>
    <cellStyle name="Percent 3 2 2" xfId="252" xr:uid="{8E268885-CC51-4E8C-AC80-4596E19D9701}"/>
    <cellStyle name="Percent 3 2 3" xfId="256" xr:uid="{9A49F19B-023B-4E19-963F-7BB6EAFCFBD3}"/>
    <cellStyle name="Percent 3 2 4" xfId="532" xr:uid="{2F7550B9-D863-4CC1-ABC2-76A04D129CAD}"/>
    <cellStyle name="Percent 3 2 5" xfId="451" xr:uid="{640B1A92-83A6-4D94-9962-5248F6E8E079}"/>
    <cellStyle name="Percent 4" xfId="132" xr:uid="{D3621ECD-82D4-4782-8179-7AF6D06249DB}"/>
    <cellStyle name="Percent 4 2" xfId="253" xr:uid="{4FE9CFFD-6929-47E5-A171-554B509D587A}"/>
    <cellStyle name="Percent 4 2 2" xfId="533" xr:uid="{593C01D0-D227-47B9-ACC5-CBCB0CBD4F49}"/>
    <cellStyle name="Percent 4 2 3" xfId="452" xr:uid="{BDFD3AC8-7D0A-4496-8BB3-6E8A6E15F8A0}"/>
    <cellStyle name="Percent 5" xfId="258" xr:uid="{89606DBE-9614-49A3-93C2-6CC6BC3B35FB}"/>
    <cellStyle name="Percent 5 2" xfId="453" xr:uid="{267C7932-1892-4D50-AD23-A50DDE7BCA8F}"/>
    <cellStyle name="Percent 6" xfId="454" xr:uid="{F656F43A-6F5B-4B2A-ABDC-BDEFB13796C7}"/>
    <cellStyle name="Title 2" xfId="68" xr:uid="{9CB5B986-A523-4C78-B5EE-D1C2DD35C1A7}"/>
    <cellStyle name="Total 2" xfId="69" xr:uid="{02C79946-B3ED-4577-B730-BDF3633B9C40}"/>
    <cellStyle name="Total 2 10" xfId="455" xr:uid="{95089182-499C-480D-AC63-0DF695D25266}"/>
    <cellStyle name="Total 2 2" xfId="456" xr:uid="{6184E950-110E-4DDB-B46E-3F8B0F5DC1A5}"/>
    <cellStyle name="Total 2 2 2" xfId="457" xr:uid="{5A76096F-710E-488D-92DD-D7F7F51B1BF6}"/>
    <cellStyle name="Total 2 2 3" xfId="458" xr:uid="{5D735813-0D2F-46FD-8161-882E1AF17D6B}"/>
    <cellStyle name="Total 2 2 4" xfId="459" xr:uid="{56B4CFE9-E171-49C5-BC9E-BF217E98BBF2}"/>
    <cellStyle name="Total 2 3" xfId="460" xr:uid="{287311A0-E1F2-48AB-B3DA-D31749215CB3}"/>
    <cellStyle name="Total 2 3 2" xfId="461" xr:uid="{49CAB210-1146-4709-89B2-BB281EB283F4}"/>
    <cellStyle name="Total 2 4" xfId="462" xr:uid="{A1727905-8E83-4460-8731-DFCDA7AB4B3E}"/>
    <cellStyle name="Total 2 5" xfId="463" xr:uid="{72659FC6-9D48-46EE-BF31-C1A4FB277DF1}"/>
    <cellStyle name="Total 2 6" xfId="464" xr:uid="{0445CC82-AA54-4979-8C5C-38E863B4EB1B}"/>
    <cellStyle name="Total 2 7" xfId="465" xr:uid="{C57E0F63-9A80-476B-ACBE-60128722FC16}"/>
    <cellStyle name="Total 2 8" xfId="466" xr:uid="{C3763235-2F6E-406E-900B-37CF30948C59}"/>
    <cellStyle name="Total 2 9" xfId="467" xr:uid="{47B86786-F4F7-4381-ABF1-B630890122AC}"/>
    <cellStyle name="Total 3" xfId="150" xr:uid="{CAB86C81-20C3-4D55-B1F0-3C062B3D9209}"/>
    <cellStyle name="Total 3 10" xfId="469" xr:uid="{D3DD8EC1-988E-432C-A6DF-055D11C9787E}"/>
    <cellStyle name="Total 3 11" xfId="517" xr:uid="{62D94387-6B3E-4D65-A79C-5A4A871CF78E}"/>
    <cellStyle name="Total 3 12" xfId="468" xr:uid="{9A79D0FB-A7B5-47E0-995F-7941189ED451}"/>
    <cellStyle name="Total 3 2" xfId="470" xr:uid="{63925DEC-2561-451D-974D-B529147D9717}"/>
    <cellStyle name="Total 3 2 2" xfId="471" xr:uid="{17A52A03-2DFC-47F3-AAEB-26E5DD5BC779}"/>
    <cellStyle name="Total 3 2 3" xfId="472" xr:uid="{00632E67-97C1-4D30-9967-1F6C075FB8F5}"/>
    <cellStyle name="Total 3 2 4" xfId="473" xr:uid="{1A4AE819-B186-4147-B491-0FDFA1749064}"/>
    <cellStyle name="Total 3 3" xfId="474" xr:uid="{61600930-2A6E-4651-B444-D12AFE0B1ECA}"/>
    <cellStyle name="Total 3 3 2" xfId="475" xr:uid="{66FC1E57-9593-48F6-A5EE-4BAD9629FE76}"/>
    <cellStyle name="Total 3 4" xfId="476" xr:uid="{AF8FC972-6E4B-45C6-96D4-6AD0E0635A23}"/>
    <cellStyle name="Total 3 5" xfId="477" xr:uid="{CBCE2C58-BC46-4409-857D-E55656B8335C}"/>
    <cellStyle name="Total 3 6" xfId="478" xr:uid="{786C1102-7B6C-4864-947E-57445E875C5D}"/>
    <cellStyle name="Total 3 7" xfId="479" xr:uid="{4BD0F171-618A-4E5A-A97C-068AE79B02E4}"/>
    <cellStyle name="Total 3 8" xfId="480" xr:uid="{9BFA1768-6D97-4CCE-957E-47C99AC898AF}"/>
    <cellStyle name="Total 3 9" xfId="481" xr:uid="{D4C521B3-6195-4608-AF35-1DBBF12D3A2C}"/>
    <cellStyle name="Warning Text 2" xfId="70" xr:uid="{B09F3A6B-39A2-4DB1-9573-9C4B833760CA}"/>
    <cellStyle name="Warning Text 3" xfId="143" xr:uid="{3C8036F4-13C6-4526-84E8-F551822D416B}"/>
    <cellStyle name="Warning Text 3 2" xfId="510" xr:uid="{7DD345A9-5CC7-4E87-AE65-C849F0AD28CC}"/>
    <cellStyle name="Warning Text 3 3" xfId="482" xr:uid="{D13CB875-F556-4E1C-A9BC-6CA248ED1508}"/>
    <cellStyle name="XComma" xfId="192" xr:uid="{C3385AEC-8881-4F11-BC7B-7C97E8936D04}"/>
    <cellStyle name="XComma 0.0" xfId="193" xr:uid="{BD22B9A1-3ECC-4C55-9E05-03560832037A}"/>
    <cellStyle name="XComma 0.0 2" xfId="231" xr:uid="{4878F1B5-77BE-4A4E-8464-283E0B8F8FB1}"/>
    <cellStyle name="XComma 0.00" xfId="194" xr:uid="{CA173729-D01A-4A8A-A1B8-136E3971F151}"/>
    <cellStyle name="XComma 0.00 2" xfId="232" xr:uid="{7816F1D8-87B4-455C-A17F-5E9EE6633162}"/>
    <cellStyle name="XComma 0.000" xfId="195" xr:uid="{F25984D7-118F-42A5-A2E2-BF000FD4BFB9}"/>
    <cellStyle name="XComma 0.000 2" xfId="233" xr:uid="{D2C738A7-9DCC-45B9-9340-D52A42BD1ED5}"/>
    <cellStyle name="XComma 0.0000" xfId="196" xr:uid="{6CC510F9-470B-460C-A4E6-11153EE5E166}"/>
    <cellStyle name="XComma 0.0000 2" xfId="234" xr:uid="{A35EAC59-99CD-4E97-9983-771773B3F2F3}"/>
    <cellStyle name="XComma 2" xfId="230" xr:uid="{B390B9C5-5E10-4AD9-81EA-20DDCD3C5002}"/>
    <cellStyle name="XCurrency" xfId="197" xr:uid="{B7011888-906F-4A35-BA7F-8412421CDA04}"/>
    <cellStyle name="XCurrency 0.0" xfId="198" xr:uid="{286AB472-45D3-4D73-8540-8A0627BFC84A}"/>
    <cellStyle name="XCurrency 0.0 2" xfId="236" xr:uid="{47BC6BA1-344E-4CE6-B3A6-A115CB8847CD}"/>
    <cellStyle name="XCurrency 0.00" xfId="199" xr:uid="{7AB45036-4740-4C6E-B4E8-F9B70D358891}"/>
    <cellStyle name="XCurrency 0.00 2" xfId="237" xr:uid="{EB04DD99-520A-49E0-87C3-786DBF273FE0}"/>
    <cellStyle name="XCurrency 0.000" xfId="200" xr:uid="{F104A996-DE6F-431B-A662-83F3E936ADA0}"/>
    <cellStyle name="XCurrency 0.000 2" xfId="238" xr:uid="{B006B114-B485-4382-BE65-FE4178982701}"/>
    <cellStyle name="XCurrency 0.0000" xfId="201" xr:uid="{E44999B1-BE70-40C2-88F1-D447D15410FD}"/>
    <cellStyle name="XCurrency 0.0000 2" xfId="239" xr:uid="{C5CDA592-09C4-4FB3-A913-1347D6361776}"/>
    <cellStyle name="XCurrency 2" xfId="235" xr:uid="{3F47BC47-32D6-4F91-A10F-A5F7598D25A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7.xml"/><Relationship Id="rId21" Type="http://schemas.openxmlformats.org/officeDocument/2006/relationships/externalLink" Target="externalLinks/externalLink2.xml"/><Relationship Id="rId34" Type="http://schemas.openxmlformats.org/officeDocument/2006/relationships/externalLink" Target="externalLinks/externalLink15.xml"/><Relationship Id="rId42" Type="http://schemas.openxmlformats.org/officeDocument/2006/relationships/externalLink" Target="externalLinks/externalLink23.xml"/><Relationship Id="rId47" Type="http://schemas.openxmlformats.org/officeDocument/2006/relationships/externalLink" Target="externalLinks/externalLink28.xml"/><Relationship Id="rId50" Type="http://schemas.openxmlformats.org/officeDocument/2006/relationships/externalLink" Target="externalLinks/externalLink31.xml"/><Relationship Id="rId55" Type="http://schemas.openxmlformats.org/officeDocument/2006/relationships/externalLink" Target="externalLinks/externalLink36.xml"/><Relationship Id="rId63" Type="http://schemas.openxmlformats.org/officeDocument/2006/relationships/externalLink" Target="externalLinks/externalLink4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0.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externalLink" Target="externalLinks/externalLink18.xml"/><Relationship Id="rId40" Type="http://schemas.openxmlformats.org/officeDocument/2006/relationships/externalLink" Target="externalLinks/externalLink21.xml"/><Relationship Id="rId45" Type="http://schemas.openxmlformats.org/officeDocument/2006/relationships/externalLink" Target="externalLinks/externalLink26.xml"/><Relationship Id="rId53" Type="http://schemas.openxmlformats.org/officeDocument/2006/relationships/externalLink" Target="externalLinks/externalLink34.xml"/><Relationship Id="rId58" Type="http://schemas.openxmlformats.org/officeDocument/2006/relationships/externalLink" Target="externalLinks/externalLink39.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4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externalLink" Target="externalLinks/externalLink16.xml"/><Relationship Id="rId43" Type="http://schemas.openxmlformats.org/officeDocument/2006/relationships/externalLink" Target="externalLinks/externalLink24.xml"/><Relationship Id="rId48" Type="http://schemas.openxmlformats.org/officeDocument/2006/relationships/externalLink" Target="externalLinks/externalLink29.xml"/><Relationship Id="rId56" Type="http://schemas.openxmlformats.org/officeDocument/2006/relationships/externalLink" Target="externalLinks/externalLink37.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3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38" Type="http://schemas.openxmlformats.org/officeDocument/2006/relationships/externalLink" Target="externalLinks/externalLink19.xml"/><Relationship Id="rId46" Type="http://schemas.openxmlformats.org/officeDocument/2006/relationships/externalLink" Target="externalLinks/externalLink27.xml"/><Relationship Id="rId59" Type="http://schemas.openxmlformats.org/officeDocument/2006/relationships/externalLink" Target="externalLinks/externalLink40.xml"/><Relationship Id="rId67" Type="http://schemas.openxmlformats.org/officeDocument/2006/relationships/calcChain" Target="calcChain.xml"/><Relationship Id="rId20" Type="http://schemas.openxmlformats.org/officeDocument/2006/relationships/externalLink" Target="externalLinks/externalLink1.xml"/><Relationship Id="rId41" Type="http://schemas.openxmlformats.org/officeDocument/2006/relationships/externalLink" Target="externalLinks/externalLink22.xml"/><Relationship Id="rId54" Type="http://schemas.openxmlformats.org/officeDocument/2006/relationships/externalLink" Target="externalLinks/externalLink35.xml"/><Relationship Id="rId62" Type="http://schemas.openxmlformats.org/officeDocument/2006/relationships/externalLink" Target="externalLinks/externalLink4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externalLink" Target="externalLinks/externalLink17.xml"/><Relationship Id="rId49" Type="http://schemas.openxmlformats.org/officeDocument/2006/relationships/externalLink" Target="externalLinks/externalLink30.xml"/><Relationship Id="rId57" Type="http://schemas.openxmlformats.org/officeDocument/2006/relationships/externalLink" Target="externalLinks/externalLink38.xml"/><Relationship Id="rId10" Type="http://schemas.openxmlformats.org/officeDocument/2006/relationships/worksheet" Target="worksheets/sheet10.xml"/><Relationship Id="rId31" Type="http://schemas.openxmlformats.org/officeDocument/2006/relationships/externalLink" Target="externalLinks/externalLink12.xml"/><Relationship Id="rId44" Type="http://schemas.openxmlformats.org/officeDocument/2006/relationships/externalLink" Target="externalLinks/externalLink25.xml"/><Relationship Id="rId52" Type="http://schemas.openxmlformats.org/officeDocument/2006/relationships/externalLink" Target="externalLinks/externalLink33.xml"/><Relationship Id="rId60" Type="http://schemas.openxmlformats.org/officeDocument/2006/relationships/externalLink" Target="externalLinks/externalLink41.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20.xml"/></Relationships>
</file>

<file path=xl/drawings/drawing1.xml><?xml version="1.0" encoding="utf-8"?>
<xdr:wsDr xmlns:xdr="http://schemas.openxmlformats.org/drawingml/2006/spreadsheetDrawing" xmlns:a="http://schemas.openxmlformats.org/drawingml/2006/main">
  <xdr:twoCellAnchor>
    <xdr:from>
      <xdr:col>2</xdr:col>
      <xdr:colOff>17145</xdr:colOff>
      <xdr:row>25</xdr:row>
      <xdr:rowOff>168276</xdr:rowOff>
    </xdr:from>
    <xdr:to>
      <xdr:col>2</xdr:col>
      <xdr:colOff>1238250</xdr:colOff>
      <xdr:row>25</xdr:row>
      <xdr:rowOff>171450</xdr:rowOff>
    </xdr:to>
    <xdr:cxnSp macro="">
      <xdr:nvCxnSpPr>
        <xdr:cNvPr id="2" name="Line 636">
          <a:extLst>
            <a:ext uri="{FF2B5EF4-FFF2-40B4-BE49-F238E27FC236}">
              <a16:creationId xmlns:a16="http://schemas.microsoft.com/office/drawing/2014/main" id="{A4A58264-6C97-4759-9FF1-1A7707C4C9B5}"/>
            </a:ext>
          </a:extLst>
        </xdr:cNvPr>
        <xdr:cNvCxnSpPr>
          <a:cxnSpLocks noChangeShapeType="1"/>
        </xdr:cNvCxnSpPr>
      </xdr:nvCxnSpPr>
      <xdr:spPr bwMode="auto">
        <a:xfrm>
          <a:off x="874395" y="4425951"/>
          <a:ext cx="1221105" cy="3174"/>
        </a:xfrm>
        <a:prstGeom prst="line">
          <a:avLst/>
        </a:prstGeom>
        <a:noFill/>
        <a:ln w="6350">
          <a:solidFill>
            <a:srgbClr val="231F20"/>
          </a:solidFill>
          <a:round/>
          <a:headEnd/>
          <a:tailEn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GASB%2067%2068\FY%202019\NYCERS\NYCERS-GASB6768%20FY19%20results%20-%20Copy.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Y:\PROJECTS\Recurring\10-City%20ACFR\FY%202022\Backup%20Worksheets\COMP%20FY2022.xlsx" TargetMode="External"/><Relationship Id="rId1" Type="http://schemas.openxmlformats.org/officeDocument/2006/relationships/externalLinkPath" Target="file:///Y:\PROJECTS\Recurring\10-City%20ACFR\FY%202022\Backup%20Worksheets\COMP%20FY2022.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Y:\PROJECTS\Recurring\10-City%20ACFR\FY%202022\Pension%20Note%20Tables%202022.xlsx" TargetMode="External"/><Relationship Id="rId1" Type="http://schemas.openxmlformats.org/officeDocument/2006/relationships/externalLinkPath" Target="file:///Y:\PROJECTS\Recurring\10-City%20ACFR\FY%202022\Pension%20Note%20Tables%202022.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Y:\GASB%2067_68\2023\POLICE\Sensitivity\TOTAL%20&amp;%20VSF%20NPL%20@%206%25,7%25%20&amp;%208%25%20POLICE%202023.xlsx" TargetMode="External"/><Relationship Id="rId1" Type="http://schemas.openxmlformats.org/officeDocument/2006/relationships/externalLinkPath" Target="file:///Y:\GASB%2067_68\2023\POLICE\Sensitivity\TOTAL%20&amp;%20VSF%20NPL%20@%206%25,7%25%20&amp;%208%25%20POLICE%202023.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Y:\GASB%2067_68\2023\FIRE\Sensitivity\TOTAL%20&amp;%20VSF%20NPL%20@%206%25,7%25%20&amp;%208%25%20FIRE%202023.xlsx" TargetMode="External"/><Relationship Id="rId1" Type="http://schemas.openxmlformats.org/officeDocument/2006/relationships/externalLinkPath" Target="file:///Y:\GASB%2067_68\2023\FIRE\Sensitivity\TOTAL%20&amp;%20VSF%20NPL%20@%206%25,7%25%20&amp;%208%25%20FIRE%202023.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Y:\GASB%2067_68\2023\BERS\CL\BERS-GASB6768%20FY2023%20CL.xlsx" TargetMode="External"/><Relationship Id="rId1" Type="http://schemas.openxmlformats.org/officeDocument/2006/relationships/externalLinkPath" Target="file:///Y:\GASB%2067_68\2023\BERS\CL\BERS-GASB6768%20FY2023%20CL.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Y:\GASB%2067_68\2023\NYCERS\NYCERS%20Sensitivity%202023.xlsx" TargetMode="External"/><Relationship Id="rId1" Type="http://schemas.openxmlformats.org/officeDocument/2006/relationships/externalLinkPath" Target="file:///Y:\GASB%2067_68\2023\NYCERS\NYCERS%20Sensitivity%202023.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Y:\GASB%2067_68\2023\NPL%20@%206%25,7%25%20&amp;%20%208%25%20for%20FY2023.xlsx" TargetMode="External"/><Relationship Id="rId1" Type="http://schemas.openxmlformats.org/officeDocument/2006/relationships/externalLinkPath" Target="file:///Y:\GASB%2067_68\2023\NPL%20@%206%25,7%25%20&amp;%20%208%25%20for%20FY2023.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Y:\GASB%2067_68\2022\NYCERS\NYCERS-GASB6768%20FY22.xlsm" TargetMode="External"/><Relationship Id="rId1" Type="http://schemas.openxmlformats.org/officeDocument/2006/relationships/externalLinkPath" Target="file:///Y:\GASB%2067_68\2022\NYCERS\NYCERS-GASB6768%20FY22.xlsm"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Y:\GASB%2067_68\2022\TRS\TRS%20GASB%206768%20FY%202022.xlsm" TargetMode="External"/><Relationship Id="rId1" Type="http://schemas.openxmlformats.org/officeDocument/2006/relationships/externalLinkPath" Target="file:///Y:\GASB%2067_68\2022\TRS\TRS%20GASB%206768%20FY%202022.xlsm"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Y:\GASB%2067_68\2022\BERS\BERS-GASB6768%20FY2022%20MH%20v2b.xlsx" TargetMode="External"/><Relationship Id="rId1" Type="http://schemas.openxmlformats.org/officeDocument/2006/relationships/externalLinkPath" Target="file:///Y:\GASB%2067_68\2022\BERS\BERS-GASB6768%20FY2022%20MH%20v2b.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Y:\GASB%2067_68\2023\NYCERS\NYCERS-GASB6768%20FY23.xlsm" TargetMode="External"/><Relationship Id="rId1" Type="http://schemas.openxmlformats.org/officeDocument/2006/relationships/externalLinkPath" Target="file:///Y:\GASB%2067_68\2023\NYCERS\NYCERS-GASB6768%20FY23.xlsm"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Y:\GASB%2067_68\2022\POLICE\POLICE-GASB6768%20-%20FY%202022.xlsx" TargetMode="External"/><Relationship Id="rId1" Type="http://schemas.openxmlformats.org/officeDocument/2006/relationships/externalLinkPath" Target="file:///Y:\GASB%2067_68\2022\POLICE\POLICE-GASB6768%20-%20FY%202022.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Y:\GASB%2067_68\2022\FIRE\FIRE-GASB6768%20-%20FY%202022.xlsx" TargetMode="External"/><Relationship Id="rId1" Type="http://schemas.openxmlformats.org/officeDocument/2006/relationships/externalLinkPath" Target="file:///Y:\GASB%2067_68\2022\FIRE\FIRE-GASB6768%20-%20FY%202022.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actuary.nycnet\ASD\Valuations\PROJECTS\Recurring\10-City%20ACFR\FY%202023\Pension_Deferred_Flows_100223.xlsx" TargetMode="External"/><Relationship Id="rId1" Type="http://schemas.openxmlformats.org/officeDocument/2006/relationships/externalLinkPath" Target="file:///Y:\PROJECTS\Recurring\10-City%20ACFR\FY%202023\Pension_Deferred_Flows_100223.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Y:\PROJECTS\Recurring\10-City%20ACFR\FY%202023\Backup%20Worksheets\Table%2013%20-%20Total%20Inflows%20&amp;%20Outflows%20FY23.xlsx" TargetMode="External"/><Relationship Id="rId1" Type="http://schemas.openxmlformats.org/officeDocument/2006/relationships/externalLinkPath" Target="file:///Y:\PROJECTS\Recurring\10-City%20ACFR\FY%202023\Backup%20Worksheets\Table%2013%20-%20Total%20Inflows%20&amp;%20Outflows%20FY23.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Y:\GASB%2067_68\2021\POLICE\POLICE-GASB6768%20-%20FY%202021.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Y:\GASB%2067_68\2021\NYCERS\NYCERS-GASB6768%20FY21%20after%20Macro.xlsm" TargetMode="External"/><Relationship Id="rId1" Type="http://schemas.openxmlformats.org/officeDocument/2006/relationships/externalLinkPath" Target="file:///Y:\GASB%2067_68\2021\NYCERS\NYCERS-GASB6768%20FY21%20after%20Macro.xlsm"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Y:\PENSION%20VAL\June%202022%20Vals\NYCERS\Worksheets\NYCERS%20Preliminary%20FY24%20Contribution_Baseline.xlsx" TargetMode="External"/><Relationship Id="rId1" Type="http://schemas.openxmlformats.org/officeDocument/2006/relationships/externalLinkPath" Target="file:///Y:\PENSION%20VAL\June%202022%20Vals\NYCERS\Worksheets\NYCERS%20Preliminary%20FY24%20Contribution_Baseline.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Y:\PENSION%20VAL\June%202021%20Vals\NYCERS\Worksheets\NYCERS%20Preliminary%20FY23%20Contribution_Layer%203%20-%20Chapter%2056.xlsx" TargetMode="External"/><Relationship Id="rId1" Type="http://schemas.openxmlformats.org/officeDocument/2006/relationships/externalLinkPath" Target="file:///Y:\PENSION%20VAL\June%202021%20Vals\NYCERS\Worksheets\NYCERS%20Preliminary%20FY23%20Contribution_Layer%203%20-%20Chapter%2056.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Y:\PENSION%20VAL\June%202020%20Vals\NYCERS\Worksheets\NYCERS%20Preliminary%20FY22%20Contributions%20-%20Revised%20Prelim%20-%20Layer%203.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Y:\GASB%2067_68\2021\TRS\TRS%20GASB%206768%20FY%202021%20-%20Craig%20updates.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Y:\GASB%2067_68\2023\TRS\TRS%20GASB%206768%20FY%202023.xlsm" TargetMode="External"/><Relationship Id="rId1" Type="http://schemas.openxmlformats.org/officeDocument/2006/relationships/externalLinkPath" Target="file:///Y:\GASB%2067_68\2023\TRS\TRS%20GASB%206768%20FY%202023.xlsm"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file:///Y:\PENSION%20VAL\June%202022%20Vals\TRS\Worksheets\TrsPenExp22%20Updated%20Preliminary_2023_08_21%20(to%20reflect%20correct%20Amort%20Bases).xlsx" TargetMode="External"/><Relationship Id="rId1" Type="http://schemas.openxmlformats.org/officeDocument/2006/relationships/externalLinkPath" Target="file:///Y:\PENSION%20VAL\June%202022%20Vals\TRS\Worksheets\TrsPenExp22%20Updated%20Preliminary_2023_08_21%20(to%20reflect%20correct%20Amort%20Base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ctuary.nycnet\ASD\PENSION%20VAL\June%202021%20Vals\TRS\Worksheets\TrsPenExp21%20Updated%20Preliminary.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Y:\PENSION%20VAL\June%202020%20Vals\TRS\Worksheets\TrsPenExp20%20Updated%20Prelim%20-%20with%20fixed%20original%20amt%20for%206.30.19%20assumpt%20change.xlsx" TargetMode="External"/><Relationship Id="rId1" Type="http://schemas.openxmlformats.org/officeDocument/2006/relationships/externalLinkPath" Target="file:///Y:\PENSION%20VAL\June%202020%20Vals\TRS\Worksheets\TrsPenExp20%20Updated%20Prelim%20-%20with%20fixed%20original%20amt%20for%206.30.19%20assumpt%20change.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Y:\GASB%2067_68\2021\BERS\BERS-GASB6768%20FY2021%20MH%20v3.xlsx" TargetMode="External"/></Relationships>
</file>

<file path=xl/externalLinks/_rels/externalLink34.xml.rels><?xml version="1.0" encoding="UTF-8" standalone="yes"?>
<Relationships xmlns="http://schemas.openxmlformats.org/package/2006/relationships"><Relationship Id="rId2" Type="http://schemas.openxmlformats.org/officeDocument/2006/relationships/externalLinkPath" Target="file:///Y:\PENSION%20VAL\June%202022%20Vals\BERS\Worksheets\BERS%20ALL%20LAYERS%202022%20Preliminary%20v5.xlsx" TargetMode="External"/><Relationship Id="rId1" Type="http://schemas.openxmlformats.org/officeDocument/2006/relationships/externalLinkPath" Target="file:///Y:\PENSION%20VAL\June%202022%20Vals\BERS\Worksheets\BERS%20ALL%20LAYERS%202022%20Preliminary%20v5.xlsx" TargetMode="External"/></Relationships>
</file>

<file path=xl/externalLinks/_rels/externalLink35.xml.rels><?xml version="1.0" encoding="UTF-8" standalone="yes"?>
<Relationships xmlns="http://schemas.openxmlformats.org/package/2006/relationships"><Relationship Id="rId2" Type="http://schemas.openxmlformats.org/officeDocument/2006/relationships/externalLinkPath" Target="file:///Y:\PENSION%20VAL\June%202021%20Vals\BERS\Worksheets\BERS%20ALL%20LAYERS%202021%20Preliminary%20v8e.xlsx" TargetMode="External"/><Relationship Id="rId1" Type="http://schemas.openxmlformats.org/officeDocument/2006/relationships/externalLinkPath" Target="file:///Y:\PENSION%20VAL\June%202021%20Vals\BERS\Worksheets\BERS%20ALL%20LAYERS%202021%20Preliminary%20v8e.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Y:\PENSION%20VAL\June%202020%20Vals\BERS\Worksheets\CL\BERS%20ALL%20LAYERS%202020%20Updated%20Preliminary%20v11%20CL%20Check.xlsx" TargetMode="External"/></Relationships>
</file>

<file path=xl/externalLinks/_rels/externalLink37.xml.rels><?xml version="1.0" encoding="UTF-8" standalone="yes"?>
<Relationships xmlns="http://schemas.openxmlformats.org/package/2006/relationships"><Relationship Id="rId2" Type="http://schemas.openxmlformats.org/officeDocument/2006/relationships/externalLinkPath" Target="file:///Y:\PENSION%20VAL\June%202021%20Vals\TRS\Worksheets\TrsPenExp21%20Final.xlsx" TargetMode="External"/><Relationship Id="rId1" Type="http://schemas.openxmlformats.org/officeDocument/2006/relationships/externalLinkPath" Target="file:///Y:\PENSION%20VAL\June%202021%20Vals\TRS\Worksheets\TrsPenExp21%20Final.xlsx" TargetMode="External"/></Relationships>
</file>

<file path=xl/externalLinks/_rels/externalLink38.xml.rels><?xml version="1.0" encoding="UTF-8" standalone="yes"?>
<Relationships xmlns="http://schemas.openxmlformats.org/package/2006/relationships"><Relationship Id="rId2" Type="http://schemas.openxmlformats.org/officeDocument/2006/relationships/externalLinkPath" Target="file:///Y:\PENSION%20VAL\June%202020%20Vals\TRS\Worksheets\TrsPenExp20%20Final.xlsx" TargetMode="External"/><Relationship Id="rId1" Type="http://schemas.openxmlformats.org/officeDocument/2006/relationships/externalLinkPath" Target="file:///Y:\PENSION%20VAL\June%202020%20Vals\TRS\Worksheets\TrsPenExp20%20Final.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Y:\PENSION%20VAL\June%202019%20Vals\TRS\Worksheets\TrsPenExp19%20Fin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Y:\GASB%2067_68\2023\BERS\MH\BERS-GASB6768%20FY2023%20MH%20v2.xlsx" TargetMode="External"/><Relationship Id="rId1" Type="http://schemas.openxmlformats.org/officeDocument/2006/relationships/externalLinkPath" Target="file:///Y:\GASB%2067_68\2023\BERS\MH\BERS-GASB6768%20FY2023%20MH%20v2.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Y:\PENSION%20VAL\June%202018%20Vals\TRS\Worksheets\TrsPenExp18%20Final.xlsx" TargetMode="External"/></Relationships>
</file>

<file path=xl/externalLinks/_rels/externalLink41.xml.rels><?xml version="1.0" encoding="UTF-8" standalone="yes"?>
<Relationships xmlns="http://schemas.openxmlformats.org/package/2006/relationships"><Relationship Id="rId2" Type="http://schemas.openxmlformats.org/officeDocument/2006/relationships/externalLinkPath" Target="file:///Y:\PENSION%20VAL\June%202021%20Vals\BERS\Worksheets\BERS%20ALL%20LAYERS%202021%20Preliminary%20v8f.xlsx" TargetMode="External"/><Relationship Id="rId1" Type="http://schemas.openxmlformats.org/officeDocument/2006/relationships/externalLinkPath" Target="file:///Y:\PENSION%20VAL\June%202021%20Vals\BERS\Worksheets\BERS%20ALL%20LAYERS%202021%20Preliminary%20v8f.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Y:\PENSION%20VAL\June%202020%20Vals\BERS\Worksheets\BERS%20ALL%20LAYERS%202020%20Fina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Y:\PENSION%20VAL\June%202019%20Vals\BERS\Worksheets\BERS%20ALL%20LAYERS%202019%20FINAL%20v5.xlsx" TargetMode="External"/></Relationships>
</file>

<file path=xl/externalLinks/_rels/externalLink44.xml.rels><?xml version="1.0" encoding="UTF-8" standalone="yes"?>
<Relationships xmlns="http://schemas.openxmlformats.org/package/2006/relationships"><Relationship Id="rId2" Type="http://schemas.openxmlformats.org/officeDocument/2006/relationships/externalLinkPath" Target="file:///Y:\GASB%2067_68\2021\FIRE\FIRE-GASB6768%20-%20FY%202021%20results%2013b%20updated.xlsx" TargetMode="External"/><Relationship Id="rId1" Type="http://schemas.openxmlformats.org/officeDocument/2006/relationships/externalLinkPath" Target="file:///Y:\GASB%2067_68\2021\FIRE\FIRE-GASB6768%20-%20FY%202021%20results%2013b%20updated.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Y:\GASB%2067_68\2023\POLICE\POLICE-GASB6768%20-%20FY%202023.xlsx" TargetMode="External"/><Relationship Id="rId1" Type="http://schemas.openxmlformats.org/officeDocument/2006/relationships/externalLinkPath" Target="file:///Y:\GASB%2067_68\2023\POLICE\POLICE-GASB6768%20-%20FY%202023.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Y:\GASB%2067_68\2023\FIRE\FIRE-GASB6768%20-%20FY%202023.xlsx" TargetMode="External"/><Relationship Id="rId1" Type="http://schemas.openxmlformats.org/officeDocument/2006/relationships/externalLinkPath" Target="file:///Y:\GASB%2067_68\2023\FIRE\FIRE-GASB6768%20-%20FY%202023.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Y:\PROJECTS\Recurring\09-SKIM%20Calculations\FY%202023\POLICE\POLICE%20FY23%20SKIM%20Worksheet.xlsx" TargetMode="External"/><Relationship Id="rId1" Type="http://schemas.openxmlformats.org/officeDocument/2006/relationships/externalLinkPath" Target="file:///Y:\PROJECTS\Recurring\09-SKIM%20Calculations\FY%202023\POLICE\POLICE%20FY23%20SKIM%20Worksheet.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Y:\PROJECTS\Recurring\09-SKIM%20Calculations\FY%202023\FIRE\FIRE%20FY23%20SKIM%20Worksheet.xlsx" TargetMode="External"/><Relationship Id="rId1" Type="http://schemas.openxmlformats.org/officeDocument/2006/relationships/externalLinkPath" Target="file:///Y:\PROJECTS\Recurring\09-SKIM%20Calculations\FY%202023\FIRE\FIRE%20FY23%20SKIM%20Worksheet.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Y:\PROJECTS\Recurring\10-City%20ACFR\FY%202023\Backup%20Worksheets\COMP%20FY2023.xlsx" TargetMode="External"/><Relationship Id="rId1" Type="http://schemas.openxmlformats.org/officeDocument/2006/relationships/externalLinkPath" Target="file:///Y:\PROJECTS\Recurring\10-City%20ACFR\FY%202023\Backup%20Worksheets\COMP%20FY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Page"/>
      <sheetName val="Cover Page (Old)"/>
      <sheetName val="Cover Page"/>
      <sheetName val="Cover Page(Old)"/>
      <sheetName val="1b. Asset Gain-Loss 6-30-2014"/>
      <sheetName val="1a. FiduNetPos-NYCERS"/>
      <sheetName val="1b. FiduNetPos-VSF TY"/>
      <sheetName val="1c. FiduNetPos-VSF LY DNU"/>
      <sheetName val="2a. ChgsNetFidPos-NYCERS"/>
      <sheetName val="2b. ChgsNetFidPos-VSF TY"/>
      <sheetName val="2c. ChgsNetFidPos-VSF LY DNU"/>
      <sheetName val="3. MV Assets"/>
      <sheetName val="4. L-T RoR"/>
      <sheetName val="5a. Asset Gain-Loss LY"/>
      <sheetName val="5b. Asset Gain-Loss TY"/>
      <sheetName val="6. EA-AAL-NC"/>
      <sheetName val="7a. EmpAllocations 6-30-LY"/>
      <sheetName val="7b. NPL-Changes @6-30-LY DNU"/>
      <sheetName val="7b.NPL-Chg Obligors @6-30-LY DN"/>
      <sheetName val="7b.NPL-Chg Obligors @6-30-L (2)"/>
      <sheetName val="7b.NPL-Chg Obligors @6-30-L (3)"/>
      <sheetName val="7c. EmpAllocations 6-30-TY"/>
      <sheetName val="7e. NPL-Changes @6-30-TY DNU"/>
      <sheetName val="7d.NPL-Chg Obligors @6-30-TY DN"/>
      <sheetName val="7d.NPL-Chg Obligors @6-30-T (2)"/>
      <sheetName val="7d.NPL-Chg Obligors @6-30-T (3)"/>
      <sheetName val="8. Sch_Cha_NPL_Ratios"/>
      <sheetName val="9. SchedEmplrContrib"/>
      <sheetName val="10. Expected Future WorkLife"/>
      <sheetName val="11a. DefInflowOutflowExperience"/>
      <sheetName val="11b. DefInflowOutflowAssump"/>
      <sheetName val="11c. DefInflowOutflowEarnings"/>
      <sheetName val="12. ChangeProportion 2015"/>
      <sheetName val="12. ChangeProportion 2016"/>
      <sheetName val="12. ChangeProportion 2017"/>
      <sheetName val="12. ChangeProportion 2018"/>
      <sheetName val="12. ChangeProportion 2019"/>
      <sheetName val="13a.Pension Exp LY DNU"/>
      <sheetName val="13b.Pen Exp Obligors LY"/>
      <sheetName val="13c.Pension Exp TY DNU"/>
      <sheetName val="13d.Pen Exp Obligors TY"/>
      <sheetName val="14a. Defer History"/>
      <sheetName val="14b. Defer Total"/>
      <sheetName val="15a. SchPenAmtsbyEmpl 6-30-LY"/>
      <sheetName val="15b. SchPenAmtsbyEmpl 6-30-TY"/>
      <sheetName val="15c. SchCollPenAmts"/>
    </sheetNames>
    <sheetDataSet>
      <sheetData sheetId="0">
        <row r="2">
          <cell r="AI2">
            <v>12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4">
          <cell r="A14" t="str">
            <v>Transit Operating</v>
          </cell>
          <cell r="I14">
            <v>644284588</v>
          </cell>
          <cell r="K14">
            <v>0.17447465282399999</v>
          </cell>
        </row>
        <row r="15">
          <cell r="I15"/>
          <cell r="K15"/>
        </row>
        <row r="16">
          <cell r="A16" t="str">
            <v>Transit Non-Operating</v>
          </cell>
          <cell r="I16">
            <v>184203347</v>
          </cell>
          <cell r="K16">
            <v>4.9882948646E-2</v>
          </cell>
        </row>
        <row r="17">
          <cell r="I17"/>
          <cell r="K17"/>
        </row>
        <row r="18">
          <cell r="A18" t="str">
            <v>TA TP</v>
          </cell>
          <cell r="I18">
            <v>26231545</v>
          </cell>
          <cell r="K18">
            <v>7.1035995459999999E-3</v>
          </cell>
        </row>
        <row r="19">
          <cell r="I19"/>
          <cell r="K19"/>
        </row>
        <row r="20">
          <cell r="A20" t="str">
            <v>TA CP Engineers</v>
          </cell>
          <cell r="I20">
            <v>30841026</v>
          </cell>
          <cell r="K20">
            <v>8.3518640739999993E-3</v>
          </cell>
        </row>
        <row r="21">
          <cell r="I21"/>
          <cell r="K21"/>
        </row>
        <row r="22">
          <cell r="A22" t="str">
            <v>HA Regular</v>
          </cell>
          <cell r="I22">
            <v>153053407</v>
          </cell>
          <cell r="K22">
            <v>4.1447429516999999E-2</v>
          </cell>
        </row>
        <row r="23">
          <cell r="I23"/>
          <cell r="K23"/>
        </row>
        <row r="24">
          <cell r="A24" t="str">
            <v>HA HP</v>
          </cell>
          <cell r="I24">
            <v>10850338</v>
          </cell>
          <cell r="K24">
            <v>2.938311719E-3</v>
          </cell>
        </row>
        <row r="25">
          <cell r="I25"/>
          <cell r="K25"/>
        </row>
        <row r="26">
          <cell r="A26" t="str">
            <v>HHC</v>
          </cell>
          <cell r="I26">
            <v>515453890</v>
          </cell>
          <cell r="K26">
            <v>0.13958682262399999</v>
          </cell>
        </row>
        <row r="27">
          <cell r="I27"/>
          <cell r="K27"/>
        </row>
        <row r="28">
          <cell r="A28" t="str">
            <v>OTB</v>
          </cell>
          <cell r="I28">
            <v>23582312</v>
          </cell>
          <cell r="K28">
            <v>6.3861774370000002E-3</v>
          </cell>
        </row>
        <row r="29">
          <cell r="I29"/>
          <cell r="K29"/>
        </row>
        <row r="30">
          <cell r="A30" t="str">
            <v>HDC/REMIC</v>
          </cell>
          <cell r="I30">
            <v>2003454</v>
          </cell>
          <cell r="K30">
            <v>5.4254276400000001E-4</v>
          </cell>
        </row>
        <row r="31">
          <cell r="I31"/>
          <cell r="K31"/>
        </row>
        <row r="32">
          <cell r="A32" t="str">
            <v>COURTS</v>
          </cell>
          <cell r="I32">
            <v>1357011</v>
          </cell>
          <cell r="K32">
            <v>3.6748360500000001E-4</v>
          </cell>
        </row>
        <row r="33">
          <cell r="I33"/>
          <cell r="K33"/>
        </row>
        <row r="34">
          <cell r="A34" t="str">
            <v>SCA</v>
          </cell>
          <cell r="I34">
            <v>3017923</v>
          </cell>
          <cell r="K34">
            <v>8.1726472699999997E-4</v>
          </cell>
        </row>
        <row r="35">
          <cell r="I35"/>
          <cell r="K35"/>
        </row>
        <row r="36">
          <cell r="A36" t="str">
            <v>WFA</v>
          </cell>
          <cell r="I36">
            <v>78400</v>
          </cell>
          <cell r="K36">
            <v>2.1231010000000001E-5</v>
          </cell>
        </row>
        <row r="37">
          <cell r="I37"/>
          <cell r="K37"/>
        </row>
        <row r="38">
          <cell r="A38" t="str">
            <v>Senior College</v>
          </cell>
          <cell r="I38">
            <v>45285139</v>
          </cell>
          <cell r="K38">
            <v>1.2263383375000001E-2</v>
          </cell>
        </row>
        <row r="39">
          <cell r="I39"/>
          <cell r="K39"/>
        </row>
        <row r="40">
          <cell r="A40" t="str">
            <v>TBTA</v>
          </cell>
          <cell r="I40">
            <v>45114858</v>
          </cell>
          <cell r="K40">
            <v>1.2217270649E-2</v>
          </cell>
        </row>
        <row r="41">
          <cell r="I41"/>
          <cell r="K41"/>
        </row>
        <row r="42">
          <cell r="A42" t="str">
            <v>CITY Total</v>
          </cell>
          <cell r="I42">
            <v>2007354440</v>
          </cell>
          <cell r="K42">
            <v>0.54359901748299999</v>
          </cell>
        </row>
        <row r="43">
          <cell r="I43"/>
          <cell r="K43"/>
        </row>
        <row r="44">
          <cell r="I44">
            <v>3692711678</v>
          </cell>
          <cell r="K44">
            <v>1</v>
          </cell>
        </row>
      </sheetData>
      <sheetData sheetId="22"/>
      <sheetData sheetId="23"/>
      <sheetData sheetId="24"/>
      <sheetData sheetId="25"/>
      <sheetData sheetId="26"/>
      <sheetData sheetId="27"/>
      <sheetData sheetId="28"/>
      <sheetData sheetId="29"/>
      <sheetData sheetId="30"/>
      <sheetData sheetId="31"/>
      <sheetData sheetId="32"/>
      <sheetData sheetId="33">
        <row r="1">
          <cell r="V1">
            <v>2019</v>
          </cell>
        </row>
      </sheetData>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
    </sheetNames>
    <sheetDataSet>
      <sheetData sheetId="0">
        <row r="12">
          <cell r="U12">
            <v>3831464423</v>
          </cell>
        </row>
        <row r="13">
          <cell r="U13">
            <v>3303797557</v>
          </cell>
        </row>
        <row r="14">
          <cell r="U14">
            <v>262404099</v>
          </cell>
        </row>
        <row r="15">
          <cell r="U15">
            <v>2490134303</v>
          </cell>
        </row>
        <row r="16">
          <cell r="U16">
            <v>1446991622</v>
          </cell>
        </row>
        <row r="20">
          <cell r="U20">
            <v>2282670893</v>
          </cell>
        </row>
        <row r="21">
          <cell r="U21">
            <v>3200857940</v>
          </cell>
        </row>
        <row r="22">
          <cell r="U22">
            <v>262278898</v>
          </cell>
        </row>
        <row r="23">
          <cell r="U23">
            <v>2490134303</v>
          </cell>
        </row>
        <row r="24">
          <cell r="U24">
            <v>1446991622</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s>
    <sheetDataSet>
      <sheetData sheetId="0"/>
      <sheetData sheetId="1"/>
      <sheetData sheetId="2"/>
      <sheetData sheetId="3"/>
      <sheetData sheetId="4"/>
      <sheetData sheetId="5"/>
      <sheetData sheetId="6">
        <row r="24">
          <cell r="F24">
            <v>59303</v>
          </cell>
          <cell r="G24"/>
          <cell r="H24">
            <v>57266</v>
          </cell>
          <cell r="I24"/>
          <cell r="J24">
            <v>2037</v>
          </cell>
          <cell r="K24"/>
          <cell r="L24">
            <v>24871</v>
          </cell>
          <cell r="M24"/>
          <cell r="N24">
            <v>19892</v>
          </cell>
          <cell r="O24"/>
          <cell r="P24">
            <v>4979</v>
          </cell>
        </row>
      </sheetData>
      <sheetData sheetId="7"/>
      <sheetData sheetId="8"/>
      <sheetData sheetId="9">
        <row r="11">
          <cell r="D11">
            <v>17165</v>
          </cell>
          <cell r="F11">
            <v>10786</v>
          </cell>
          <cell r="H11">
            <v>5399</v>
          </cell>
        </row>
        <row r="12">
          <cell r="D12">
            <v>22925</v>
          </cell>
          <cell r="F12">
            <v>14253</v>
          </cell>
          <cell r="H12">
            <v>6968</v>
          </cell>
        </row>
        <row r="13">
          <cell r="D13">
            <v>837</v>
          </cell>
          <cell r="F13">
            <v>124</v>
          </cell>
          <cell r="H13">
            <v>-476</v>
          </cell>
        </row>
      </sheetData>
      <sheetData sheetId="10"/>
      <sheetData sheetId="11">
        <row r="12">
          <cell r="D12">
            <v>935551</v>
          </cell>
          <cell r="E12">
            <v>237079</v>
          </cell>
          <cell r="F12"/>
          <cell r="G12">
            <v>162806</v>
          </cell>
          <cell r="H12">
            <v>1905403</v>
          </cell>
          <cell r="I12"/>
          <cell r="J12">
            <v>74342</v>
          </cell>
          <cell r="K12">
            <v>74254</v>
          </cell>
          <cell r="L12"/>
          <cell r="M12">
            <v>717479</v>
          </cell>
          <cell r="N12">
            <v>168993</v>
          </cell>
          <cell r="P12">
            <v>236348</v>
          </cell>
          <cell r="Q12">
            <v>17304</v>
          </cell>
          <cell r="S12">
            <v>2126526</v>
          </cell>
          <cell r="T12">
            <v>2403033</v>
          </cell>
        </row>
        <row r="13">
          <cell r="D13">
            <v>1775</v>
          </cell>
          <cell r="E13">
            <v>345051</v>
          </cell>
          <cell r="F13"/>
          <cell r="H13">
            <v>640316</v>
          </cell>
          <cell r="I13"/>
          <cell r="K13">
            <v>102511</v>
          </cell>
          <cell r="L13"/>
          <cell r="M13">
            <v>81166</v>
          </cell>
          <cell r="N13">
            <v>70654</v>
          </cell>
          <cell r="P13">
            <v>224828</v>
          </cell>
          <cell r="S13">
            <v>307769</v>
          </cell>
          <cell r="T13">
            <v>1158532</v>
          </cell>
        </row>
        <row r="16">
          <cell r="D16">
            <v>1971329</v>
          </cell>
          <cell r="F16"/>
          <cell r="G16">
            <v>1372600</v>
          </cell>
          <cell r="I16"/>
          <cell r="J16">
            <v>81922</v>
          </cell>
          <cell r="L16"/>
          <cell r="M16">
            <v>1916064</v>
          </cell>
          <cell r="P16">
            <v>810543</v>
          </cell>
          <cell r="S16">
            <v>6152458</v>
          </cell>
          <cell r="T16">
            <v>0</v>
          </cell>
        </row>
        <row r="20">
          <cell r="D20">
            <v>607282</v>
          </cell>
          <cell r="E20">
            <v>68419</v>
          </cell>
          <cell r="F20"/>
          <cell r="G20">
            <v>-64200</v>
          </cell>
          <cell r="H20">
            <v>-360</v>
          </cell>
          <cell r="I20"/>
          <cell r="J20">
            <v>-166</v>
          </cell>
          <cell r="K20">
            <v>-12</v>
          </cell>
          <cell r="L20"/>
          <cell r="S20">
            <v>542916</v>
          </cell>
          <cell r="T20">
            <v>68047</v>
          </cell>
        </row>
      </sheetData>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PP"/>
      <sheetName val="POVSF"/>
      <sheetName val="PSOVSF"/>
      <sheetName val="TOTAL"/>
      <sheetName val="SummaryResults"/>
      <sheetName val="Proval Results"/>
    </sheetNames>
    <sheetDataSet>
      <sheetData sheetId="0"/>
      <sheetData sheetId="1"/>
      <sheetData sheetId="2"/>
      <sheetData sheetId="3">
        <row r="22">
          <cell r="F22">
            <v>16374999292</v>
          </cell>
          <cell r="G22">
            <v>9046782846</v>
          </cell>
          <cell r="H22">
            <v>2940244658</v>
          </cell>
        </row>
      </sheetData>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PP"/>
      <sheetName val="FFVSF"/>
      <sheetName val="FOVSF"/>
      <sheetName val="TOTAL"/>
      <sheetName val="SummaryResults"/>
      <sheetName val="Proval Results"/>
    </sheetNames>
    <sheetDataSet>
      <sheetData sheetId="0"/>
      <sheetData sheetId="1"/>
      <sheetData sheetId="2"/>
      <sheetData sheetId="3">
        <row r="22">
          <cell r="F22">
            <v>10272618821</v>
          </cell>
          <cell r="G22">
            <v>7263716844</v>
          </cell>
          <cell r="H22">
            <v>4733483922</v>
          </cell>
        </row>
      </sheetData>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1. FiduNetPos-BERS"/>
      <sheetName val="2. ChgsNetFidPos-BERS"/>
      <sheetName val="3. MV Assets"/>
      <sheetName val="4. LTROR"/>
      <sheetName val="5a. Asset Gain-Loss 6-30-LY"/>
      <sheetName val="5b. Asset Gain-Loss 6-30-TY"/>
      <sheetName val="6. EA-AAL-NC"/>
      <sheetName val="7a. EmpAllocations 6-30-LY"/>
      <sheetName val="7c. NPL-Changes@ 6-30-LY"/>
      <sheetName val="7b. NPL-Changes @ 6-30-LY"/>
      <sheetName val="7d. EmpAllocations 6-30-TY"/>
      <sheetName val="7e. NPL-Changes @ 6-30-TY"/>
      <sheetName val="7f. NPL-Changes @6-30-TY"/>
      <sheetName val="8. Sch_Cha_NPL_Ratios"/>
      <sheetName val="9. SchedEmplrContrib"/>
      <sheetName val="10. Expected Future WorkLife"/>
      <sheetName val="11a.DefInflowOutflow Experience"/>
      <sheetName val="11b.DefInflowOutflow AsspChg"/>
      <sheetName val="11c. DefInflowOutflow Earnings"/>
      <sheetName val="12. Chg in Proport Share 2015"/>
      <sheetName val="12. Chg in Proport Share 2016"/>
      <sheetName val="12. Chg in Proport Share 2017"/>
      <sheetName val="12. Chg in Proport Share 2018"/>
      <sheetName val="12. Chg in Proport Share 2019"/>
      <sheetName val="12. Chg in Proport Share 2020"/>
      <sheetName val="12. Chg in Proport Share 2021"/>
      <sheetName val="12. Chg in Proport Share 2022"/>
      <sheetName val="12. Chg in Proport Share CY"/>
      <sheetName val="13b. Pen Exp Obligors 6-30-LY"/>
      <sheetName val="13d. Pen Exp Obligors 6-30-TY"/>
      <sheetName val="14a. PE-DOR-DIR 6-30-2013"/>
      <sheetName val="14b. PE-DOR-DIR 6-30-2014"/>
      <sheetName val="14c. PE-DOR-DIR 6-30-2015"/>
      <sheetName val="14d. PE-DOR-DIR 6-30-2016"/>
      <sheetName val="14e. PE-DOR-DIR 6-30-2017"/>
      <sheetName val="14f. PE-Defer"/>
      <sheetName val="14g. PE-Defer Total"/>
      <sheetName val="15a. SchPenAmtsbyEmpl 6-30-LY"/>
      <sheetName val="15b. SchPenAmtsbyEmpl 6-30-TY"/>
      <sheetName val="15c. SchCollPenAmts"/>
      <sheetName val="Sensitivity"/>
      <sheetName val="13a. Pension Exp  6-30-LY"/>
      <sheetName val="13c. Pension Exp  6-30-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
          <cell r="G19">
            <v>6222501953</v>
          </cell>
        </row>
        <row r="32">
          <cell r="G32">
            <v>6149484000</v>
          </cell>
        </row>
        <row r="34">
          <cell r="G34">
            <v>73017953</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23">
          <cell r="I23">
            <v>279473781</v>
          </cell>
          <cell r="J23">
            <v>10015327</v>
          </cell>
        </row>
      </sheetData>
      <sheetData sheetId="31"/>
      <sheetData sheetId="32"/>
      <sheetData sheetId="33"/>
      <sheetData sheetId="34"/>
      <sheetData sheetId="35"/>
      <sheetData sheetId="36"/>
      <sheetData sheetId="37"/>
      <sheetData sheetId="38"/>
      <sheetData sheetId="39">
        <row r="23">
          <cell r="C23">
            <v>70387690</v>
          </cell>
        </row>
        <row r="25">
          <cell r="C25">
            <v>2600674</v>
          </cell>
        </row>
        <row r="29">
          <cell r="C29">
            <v>73017953</v>
          </cell>
        </row>
      </sheetData>
      <sheetData sheetId="40"/>
      <sheetData sheetId="41"/>
      <sheetData sheetId="42"/>
      <sheetData sheetId="4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6. EA-AAL-NC"/>
      <sheetName val="ForFinancialStatements"/>
      <sheetName val="6. EA-AAL-NC_QPP"/>
      <sheetName val="6. EA-AAL-NC_COVSF"/>
      <sheetName val="6. EA-AAL-NC_HPOVSF"/>
      <sheetName val="6. EA-AAL-NC_HPSOVSF"/>
      <sheetName val="6. EA-AAL-NC_TPOVSF"/>
      <sheetName val="6. EA-AAL-NC_TPSOVSF"/>
    </sheetNames>
    <sheetDataSet>
      <sheetData sheetId="0"/>
      <sheetData sheetId="1">
        <row r="19">
          <cell r="F19">
            <v>28911727838</v>
          </cell>
          <cell r="H19">
            <v>17842030911</v>
          </cell>
          <cell r="J19">
            <v>8499240316</v>
          </cell>
        </row>
      </sheetData>
      <sheetData sheetId="2"/>
      <sheetData sheetId="3"/>
      <sheetData sheetId="4"/>
      <sheetData sheetId="5"/>
      <sheetData sheetId="6"/>
      <sheetData sheetId="7"/>
      <sheetData sheetId="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YCERS"/>
      <sheetName val="TRS"/>
      <sheetName val="BERS"/>
      <sheetName val="POLICE"/>
      <sheetName val="FIRE"/>
    </sheetNames>
    <sheetDataSet>
      <sheetData sheetId="0"/>
      <sheetData sheetId="1">
        <row r="23">
          <cell r="H23">
            <v>22931876620</v>
          </cell>
          <cell r="K23">
            <v>13678909160</v>
          </cell>
          <cell r="N23">
            <v>5912851501</v>
          </cell>
        </row>
      </sheetData>
      <sheetData sheetId="2">
        <row r="24">
          <cell r="H24">
            <v>802435640</v>
          </cell>
          <cell r="K24">
            <v>73017953</v>
          </cell>
          <cell r="N24">
            <v>-541889963</v>
          </cell>
        </row>
      </sheetData>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Page"/>
      <sheetName val="Cover Page (Old)"/>
      <sheetName val="Cover Page"/>
      <sheetName val="Cover Page(Old)"/>
      <sheetName val="1b. Asset Gain-Loss 6-30-2014"/>
      <sheetName val="1a. FiduNetPos-NYCERS"/>
      <sheetName val="1b. FiduNetPos-VSF TY"/>
      <sheetName val="1c. FiduNetPos-VSF LY DNU"/>
      <sheetName val="2a. ChgsNetFidPos-NYCERS"/>
      <sheetName val="2b. ChgsNetFidPos-VSF TY"/>
      <sheetName val="2c. ChgsNetFidPos-VSF LY DNU"/>
      <sheetName val="3. MV Assets"/>
      <sheetName val="4. L-T RoR"/>
      <sheetName val="5a. Asset Gain-Loss LY"/>
      <sheetName val="5b. Asset Gain-Loss TY"/>
      <sheetName val="6. EA-AAL-NC"/>
      <sheetName val="7a. EmpAllocations 6-30-LY"/>
      <sheetName val="7b.NPL-Chg Obligors @6-30-LY DN"/>
      <sheetName val="7b.NPL-Chg Obligors @6-30-L (2)"/>
      <sheetName val="7b.NPL-Chg Obligors @6-30-L (3)"/>
      <sheetName val="7c. EmpAllocations 6-30-TY"/>
      <sheetName val="7e. NPL-Changes @6-30-TY DNU"/>
      <sheetName val="7d.NPL-Chg Obligors @6-30-TY DN"/>
      <sheetName val="7d.NPL-Chg Obligors @6-30-T (2)"/>
      <sheetName val="7d.NPL-Chg Obligors @6-30-T (3)"/>
      <sheetName val="8. Sch_Cha_NPL_Ratios"/>
      <sheetName val="9. SchedEmplrContrib"/>
      <sheetName val="10. Expected Future WorkLife"/>
      <sheetName val="11a. DefInflowOutflowExperience"/>
      <sheetName val="11b. DefInflowOutflowAssump"/>
      <sheetName val="11c. DefInflowOutflowEarnings"/>
      <sheetName val="12. ChangeProportion 2016 - DNU"/>
      <sheetName val="12. ChangeProportion 2017"/>
      <sheetName val="12. ChangeProportion 2018"/>
      <sheetName val="12. ChangeProportion 2019"/>
      <sheetName val="12. ChangeProportion 2020"/>
      <sheetName val="12. ChangeProportion 2021"/>
      <sheetName val="12. ChangeProportion 2022"/>
      <sheetName val="13a.Pension Exp LY DNU"/>
      <sheetName val="13a.Pen Exp Obligors LY"/>
      <sheetName val="13b.Pension Exp TY DNU"/>
      <sheetName val="13b.Pen Exp Obligors TY"/>
      <sheetName val="14a. Defer History"/>
      <sheetName val="14b. Defer Total"/>
      <sheetName val="15a. SchPenAmtsbyEmpl 6-30-LY"/>
      <sheetName val="15b. SchPenAmtsbyEmpl 6-30-TY"/>
      <sheetName val="15c. SchCollPenAmts (DN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6">
          <cell r="I16">
            <v>24227567</v>
          </cell>
        </row>
        <row r="22">
          <cell r="I22">
            <v>24238724</v>
          </cell>
        </row>
        <row r="28">
          <cell r="I28">
            <v>4006707</v>
          </cell>
        </row>
        <row r="36">
          <cell r="I36">
            <v>2230197895</v>
          </cell>
        </row>
      </sheetData>
      <sheetData sheetId="21"/>
      <sheetData sheetId="22"/>
      <sheetData sheetId="23"/>
      <sheetData sheetId="24">
        <row r="91">
          <cell r="K91">
            <v>10786362880</v>
          </cell>
        </row>
      </sheetData>
      <sheetData sheetId="25">
        <row r="19">
          <cell r="G19">
            <v>96693457373.179993</v>
          </cell>
        </row>
        <row r="33">
          <cell r="G33">
            <v>78588541000</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58">
          <cell r="K58">
            <v>1521145309</v>
          </cell>
        </row>
      </sheetData>
      <sheetData sheetId="42"/>
      <sheetData sheetId="43"/>
      <sheetData sheetId="44"/>
      <sheetData sheetId="45"/>
      <sheetData sheetId="4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s"/>
      <sheetName val="TempSheet"/>
      <sheetName val="Cover Page"/>
      <sheetName val="1. FiduNetPos-TRS"/>
      <sheetName val="2. ChgsNetFidPos-TRS"/>
      <sheetName val="3. MV Assets"/>
      <sheetName val="4. LTROR"/>
      <sheetName val="5a. Asset Gain-Loss 6-30-LY"/>
      <sheetName val="5b. Asset Gain-Loss 6-30-TY"/>
      <sheetName val="6. EA-AAL-NC"/>
      <sheetName val="7a. EmpAllocations 6-30-LY"/>
      <sheetName val="7x. NPL-Changes @ 6-30-LY"/>
      <sheetName val="7b. NPL-Changes @ 6-30-LY"/>
      <sheetName val="7c. EmpAllocations 6-30-TY"/>
      <sheetName val="7y. NPL-Changes @ 6-30-TY"/>
      <sheetName val="7d. NPL-Changes @ 6-30-TY"/>
      <sheetName val="8. Sch_Cha_NPL_Ratios"/>
      <sheetName val="9. SchedEmplrContrib"/>
      <sheetName val="10. Expected Future WorkLife"/>
      <sheetName val="11a.DefInflowOutflow Experience"/>
      <sheetName val="11b.DefInflowOutflow AsspChg"/>
      <sheetName val="11c. DefInflowOutflow Earnings"/>
      <sheetName val="12. Chg in Proport Share 2017"/>
      <sheetName val="12. Chg in Proport Share 2018"/>
      <sheetName val="12. Chg in Proport Share 2019"/>
      <sheetName val="12. Chg in Proport Share 2020"/>
      <sheetName val="12. Chg in Proport Share 2021"/>
      <sheetName val="12. Chg in Proport Share CY"/>
      <sheetName val="13x. Pension Exp 6-30-LY"/>
      <sheetName val="13a. Pen Exp Obligors 6-30-LY"/>
      <sheetName val="13y. Pension Exp 6-30-TY"/>
      <sheetName val="13b. Pen Exp Obligors 6-30-TY"/>
      <sheetName val="14a. PE-Defer"/>
      <sheetName val="14b. PE-Defer Total"/>
      <sheetName val="15a. SchPenAmtsbyEmpl 6-30-LY"/>
      <sheetName val="15b. SchPenAmtsbyEmpl 6-30-TY"/>
      <sheetName val="15c. SchCollPenAm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76">
          <cell r="H76">
            <v>14046596090</v>
          </cell>
          <cell r="J76">
            <v>206363489</v>
          </cell>
        </row>
      </sheetData>
      <sheetData sheetId="16">
        <row r="20">
          <cell r="H20">
            <v>78720762874</v>
          </cell>
        </row>
        <row r="34">
          <cell r="H34">
            <v>64009428000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23">
          <cell r="J23">
            <v>1735616626</v>
          </cell>
          <cell r="L23">
            <v>35400845</v>
          </cell>
        </row>
      </sheetData>
      <sheetData sheetId="32"/>
      <sheetData sheetId="33"/>
      <sheetData sheetId="34"/>
      <sheetData sheetId="35"/>
      <sheetData sheetId="36"/>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1. FiduNetPos-BERS"/>
      <sheetName val="2. ChgsNetFidPos-BERS"/>
      <sheetName val="3. MV Assets"/>
      <sheetName val="4. LTROR"/>
      <sheetName val="5a. Asset Gain-Loss 6-30-LY"/>
      <sheetName val="5b. Asset Gain-Loss 6-30-TY"/>
      <sheetName val="6. EA-AAL-NC"/>
      <sheetName val="7a. EmpAllocations 6-30-LY"/>
      <sheetName val="7b. NPL-Changes@ 6-30-LY"/>
      <sheetName val="7b. NPL-Changes @ 6-30-LY"/>
      <sheetName val="7c. EmpAllocations 6-30-TY"/>
      <sheetName val="7d. NPL-Changes @6-30-TY"/>
      <sheetName val="8. Sch_Cha_NPL_Ratios"/>
      <sheetName val="9. SchedEmplrContrib"/>
      <sheetName val="10. Expected Future WorkLife"/>
      <sheetName val="11a.DefInflowOutflow Experience"/>
      <sheetName val="11b.DefInflowOutflow AsspChg"/>
      <sheetName val="11c. DefInflowOutflow Earnings"/>
      <sheetName val="12. Chg in Proport Share 2015"/>
      <sheetName val="12. Chg in Proport Share 2016"/>
      <sheetName val="12. Chg in Proport Share 2017"/>
      <sheetName val="12. Chg in Proport Share 2018"/>
      <sheetName val="12. Chg in Proport Share 2019"/>
      <sheetName val="12. Chg in Proport Share 2020"/>
      <sheetName val="12. Chg in Proport Share 2021"/>
      <sheetName val="12. Chg in Proport Share CY"/>
      <sheetName val="13a. Pen Exp Obligors 6-30-LY"/>
      <sheetName val="13b. Pen Exp Obligors 6-30-TY"/>
      <sheetName val="14a. PE-DOR-DIR 6-30-2013"/>
      <sheetName val="14b. PE-DOR-DIR 6-30-2014"/>
      <sheetName val="14c. PE-DOR-DIR 6-30-2015"/>
      <sheetName val="14d. PE-DOR-DIR 6-30-2016"/>
      <sheetName val="14e. PE-DOR-DIR 6-30-2017"/>
      <sheetName val="14a. PE-Defer"/>
      <sheetName val="14b. PE-Defer Total"/>
      <sheetName val="15a. SchPenAmtsbyEmpl 6-30-LY"/>
      <sheetName val="15b. SchPenAmtsbyEmpl 6-30-TY"/>
      <sheetName val="LT ROR"/>
      <sheetName val="EAN from ProVal"/>
      <sheetName val="7d. NPL-Changes @ 6-30-TY (1)"/>
      <sheetName val="13a. Pension Exp  6-30-LY (1)"/>
      <sheetName val="13b. Pension Exp  6-30-TY (1)"/>
      <sheetName val="7c. EmpAllocations 6-30-LY2"/>
      <sheetName val="15c. SchCollPenAmts"/>
      <sheetName val="Sensitiv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9">
          <cell r="G19">
            <v>6000499805</v>
          </cell>
        </row>
        <row r="32">
          <cell r="G32">
            <v>5876084000</v>
          </cell>
        </row>
        <row r="34">
          <cell r="G34">
            <v>124415805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23">
          <cell r="I23">
            <v>226197265</v>
          </cell>
          <cell r="J23">
            <v>9193254</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Page"/>
      <sheetName val="Cover Page (Old)"/>
      <sheetName val="Cover Page"/>
      <sheetName val="Cover Page(Old)"/>
      <sheetName val="1b. Asset Gain-Loss 6-30-2014"/>
      <sheetName val="1a. FiduNetPos-NYCERS"/>
      <sheetName val="1b. FiduNetPos-VSF TY"/>
      <sheetName val="1c. FiduNetPos-VSF LY DNU"/>
      <sheetName val="2a. ChgsNetFidPos-NYCERS"/>
      <sheetName val="2b. ChgsNetFidPos-VSF TY"/>
      <sheetName val="2c. ChgsNetFidPos-VSF LY DNU"/>
      <sheetName val="3. MV Assets"/>
      <sheetName val="4. L-T RoR"/>
      <sheetName val="5a. Asset Gain-Loss LY"/>
      <sheetName val="5b. Asset Gain-Loss TY"/>
      <sheetName val="6. EA-AAL-NC"/>
      <sheetName val="7a. EmpAllocations 6-30-LY"/>
      <sheetName val="7b.NPL-Chg Obligors @6-30-LY DN"/>
      <sheetName val="7b.NPL-Chg Obligors @6-30-L (2)"/>
      <sheetName val="7b.NPL-Chg Obligors @6-30-L (3)"/>
      <sheetName val="7c. EmpAllocations 6-30-TY"/>
      <sheetName val="7e. NPL-Changes @6-30-TY DNU"/>
      <sheetName val="7d.NPL-Chg Obligors @6-30-TY DN"/>
      <sheetName val="7d.NPL-Chg Obligors @6-30-T (2)"/>
      <sheetName val="7d.NPL-Chg Obligors @6-30-T (3)"/>
      <sheetName val="8. Sch_Cha_NPL_Ratios"/>
      <sheetName val="9. SchedEmplrContrib"/>
      <sheetName val="10. Expected Future WorkLife"/>
      <sheetName val="11a. DefInflowOutflowExperience"/>
      <sheetName val="11b. DefInflowOutflowAssump"/>
      <sheetName val="11c. DefInflowOutflowEarnings"/>
      <sheetName val="12. ChangeProportion 2016 - DNU"/>
      <sheetName val="12. ChangeProportion 2017"/>
      <sheetName val="12. ChangeProportion 2018"/>
      <sheetName val="12. ChangeProportion 2019"/>
      <sheetName val="12. ChangeProportion 2020"/>
      <sheetName val="12. ChangeProportion 2021"/>
      <sheetName val="12. ChangeProportion 2022"/>
      <sheetName val="12. ChangeProportion 2023"/>
      <sheetName val="13a.Pension Exp LY DNU"/>
      <sheetName val="13a.Pen Exp Obligors LY"/>
      <sheetName val="13b.Pension Exp TY DNU"/>
      <sheetName val="13b.Pen Exp Obligors TY"/>
      <sheetName val="14a. Defer History"/>
      <sheetName val="14b. Defer Total"/>
      <sheetName val="15a. SchPenAmtsbyEmpl 6-30-LY"/>
      <sheetName val="15b. SchPenAmtsbyEmpl 6-30-TY"/>
      <sheetName val="15c. SchCollPenAmts (DNU)"/>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5">
          <cell r="H15">
            <v>6.9400000000000003E-2</v>
          </cell>
        </row>
        <row r="16">
          <cell r="H16">
            <v>7.17E-2</v>
          </cell>
        </row>
        <row r="17">
          <cell r="H17">
            <v>9.1400000000000009E-2</v>
          </cell>
        </row>
        <row r="18">
          <cell r="H18">
            <v>2.6577049180327859E-2</v>
          </cell>
        </row>
        <row r="21">
          <cell r="H21">
            <v>0.11070000000000001</v>
          </cell>
        </row>
        <row r="22">
          <cell r="H22">
            <v>7.0859999999999992E-2</v>
          </cell>
        </row>
        <row r="23">
          <cell r="H23">
            <v>6.3800000000000009E-2</v>
          </cell>
        </row>
        <row r="24">
          <cell r="H24">
            <v>8.5900000000000004E-2</v>
          </cell>
        </row>
      </sheetData>
      <sheetData sheetId="13"/>
      <sheetData sheetId="14"/>
      <sheetData sheetId="15"/>
      <sheetData sheetId="16"/>
      <sheetData sheetId="17"/>
      <sheetData sheetId="18"/>
      <sheetData sheetId="19"/>
      <sheetData sheetId="20">
        <row r="16">
          <cell r="H16">
            <v>23369965</v>
          </cell>
        </row>
        <row r="22">
          <cell r="H22">
            <v>21688015</v>
          </cell>
        </row>
        <row r="28">
          <cell r="H28">
            <v>2625127</v>
          </cell>
        </row>
        <row r="36">
          <cell r="H36">
            <v>1997140500</v>
          </cell>
        </row>
      </sheetData>
      <sheetData sheetId="21"/>
      <sheetData sheetId="22"/>
      <sheetData sheetId="23"/>
      <sheetData sheetId="24">
        <row r="91">
          <cell r="K91">
            <v>10554290597</v>
          </cell>
        </row>
      </sheetData>
      <sheetData sheetId="25">
        <row r="19">
          <cell r="G19">
            <v>100329541911.17999</v>
          </cell>
        </row>
        <row r="33">
          <cell r="G33">
            <v>82487511000</v>
          </cell>
        </row>
      </sheetData>
      <sheetData sheetId="26"/>
      <sheetData sheetId="27">
        <row r="11">
          <cell r="B11">
            <v>179596</v>
          </cell>
        </row>
        <row r="12">
          <cell r="B12">
            <v>36636</v>
          </cell>
        </row>
        <row r="13">
          <cell r="B13">
            <v>29080</v>
          </cell>
        </row>
        <row r="14">
          <cell r="B14">
            <v>166631</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58">
          <cell r="K58">
            <v>2097342770</v>
          </cell>
        </row>
      </sheetData>
      <sheetData sheetId="43"/>
      <sheetData sheetId="44"/>
      <sheetData sheetId="45"/>
      <sheetData sheetId="46">
        <row r="49">
          <cell r="C49">
            <v>10554290597</v>
          </cell>
        </row>
        <row r="51">
          <cell r="C51">
            <v>17842030911</v>
          </cell>
        </row>
      </sheetData>
      <sheetData sheetId="47"/>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Page"/>
      <sheetName val="Cover Page"/>
      <sheetName val="1a. FiduNetPos-POL"/>
      <sheetName val="1b. FiduNetPos-POVSF"/>
      <sheetName val="1c. FiduNetPos-PSOVSF"/>
      <sheetName val="2a. ChgsNetFidPos-POL"/>
      <sheetName val="2b. ChgsNetFidPos-POVSF"/>
      <sheetName val="2c. ChgsNetFidPos-PSOVSF"/>
      <sheetName val="3. MV Assets"/>
      <sheetName val="4. L-T RoR (2)"/>
      <sheetName val="5a. Asset Gain-Loss LY"/>
      <sheetName val="5b. Asset Gain-Loss TY"/>
      <sheetName val="6. EA-AAL-NC"/>
      <sheetName val="7aNPL-Chgs Summary@6-30-LY"/>
      <sheetName val="7bNPL-Chgs Summary@6-30-TY"/>
      <sheetName val="8. Sch_Cha_NPL_Ratios"/>
      <sheetName val="9. SchedEmplrContrib"/>
      <sheetName val="10. Expected Future WorkLife"/>
      <sheetName val="11a. DefExperience"/>
      <sheetName val="11b. DefAssumptions"/>
      <sheetName val="11c. DefInvestEarnings"/>
      <sheetName val="12a. Pension Expense LY"/>
      <sheetName val="12b. Pension Expense TY"/>
      <sheetName val="13a. Defer"/>
      <sheetName val="13b.Defer Total"/>
    </sheetNames>
    <sheetDataSet>
      <sheetData sheetId="0">
        <row r="7">
          <cell r="Z7">
            <v>4262625521</v>
          </cell>
        </row>
      </sheetData>
      <sheetData sheetId="1"/>
      <sheetData sheetId="2"/>
      <sheetData sheetId="3"/>
      <sheetData sheetId="4"/>
      <sheetData sheetId="5">
        <row r="13">
          <cell r="J13">
            <v>2490134</v>
          </cell>
        </row>
      </sheetData>
      <sheetData sheetId="6"/>
      <sheetData sheetId="7"/>
      <sheetData sheetId="8"/>
      <sheetData sheetId="9"/>
      <sheetData sheetId="10"/>
      <sheetData sheetId="11"/>
      <sheetData sheetId="12"/>
      <sheetData sheetId="13"/>
      <sheetData sheetId="14">
        <row r="11">
          <cell r="N11">
            <v>59303424994</v>
          </cell>
        </row>
        <row r="14">
          <cell r="N14">
            <v>1431720079</v>
          </cell>
        </row>
        <row r="15">
          <cell r="N15">
            <v>4120230291</v>
          </cell>
        </row>
        <row r="16">
          <cell r="N16">
            <v>0</v>
          </cell>
        </row>
        <row r="17">
          <cell r="N17">
            <v>473140931</v>
          </cell>
        </row>
        <row r="18">
          <cell r="N18">
            <v>0</v>
          </cell>
        </row>
        <row r="19">
          <cell r="N19">
            <v>-3813713000</v>
          </cell>
        </row>
        <row r="24">
          <cell r="N24">
            <v>61514803295</v>
          </cell>
        </row>
        <row r="29">
          <cell r="N29">
            <v>57265970000</v>
          </cell>
        </row>
        <row r="35">
          <cell r="N35">
            <v>2490134000</v>
          </cell>
        </row>
        <row r="36">
          <cell r="N36">
            <v>281185000</v>
          </cell>
        </row>
        <row r="37">
          <cell r="N37">
            <v>-4405904000</v>
          </cell>
        </row>
        <row r="38">
          <cell r="N38">
            <v>-3813713000</v>
          </cell>
        </row>
        <row r="39">
          <cell r="N39">
            <v>-24301000</v>
          </cell>
        </row>
        <row r="40">
          <cell r="N40">
            <v>5301000</v>
          </cell>
        </row>
      </sheetData>
      <sheetData sheetId="15">
        <row r="38">
          <cell r="G38">
            <v>4262625521</v>
          </cell>
        </row>
      </sheetData>
      <sheetData sheetId="16"/>
      <sheetData sheetId="17"/>
      <sheetData sheetId="18"/>
      <sheetData sheetId="19"/>
      <sheetData sheetId="20"/>
      <sheetData sheetId="21"/>
      <sheetData sheetId="22">
        <row r="21">
          <cell r="I21">
            <v>1266688939</v>
          </cell>
        </row>
      </sheetData>
      <sheetData sheetId="23"/>
      <sheetData sheetId="2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page"/>
      <sheetName val="Cover Page"/>
      <sheetName val="1a. FiduNetPos-FIRE"/>
      <sheetName val="1b. FiduNetPos-FFVSF"/>
      <sheetName val="1c. FiduNetPos-FOVSF"/>
      <sheetName val="2a. ChgsNetFidPos-FIRE"/>
      <sheetName val="2b. ChgsNetFidPos-FFVSF"/>
      <sheetName val="2c. ChgsNetFidPos-FOVSF"/>
      <sheetName val="3. MV Assets"/>
      <sheetName val="4. L-T RoR"/>
      <sheetName val="5a. Asset Gain-Loss LY"/>
      <sheetName val="5b. Asset Gain-Loss TY"/>
      <sheetName val="6. EA-AAL-NC"/>
      <sheetName val="7a(1)NPL-ChgsTotal @6-30-LY"/>
      <sheetName val="7a(2)NPL-ChgsQPP @6-30-LY"/>
      <sheetName val="7a(3)NPL-Chgs FFVSF @6-30-LY"/>
      <sheetName val="7a(4)NPL-Chgs FOVSF@ 6-30-LY"/>
      <sheetName val="7a(5)NPL-ChgsSummary@6-30-LY"/>
      <sheetName val="7b(1)NPL-ChgsTotal @6-30-TY"/>
      <sheetName val="7b(2)NPL-Chgs QPP @6-30-TY"/>
      <sheetName val="7b(3)NPL-Chgs FFVSF @6-30-TY"/>
      <sheetName val="7b(4)NPL-Chgs FOVSF@6-30-TY"/>
      <sheetName val="7b(5)NPL-Chgs Summary@6-30-TY"/>
      <sheetName val="8. Sch_Cha_NPL_Ratios"/>
      <sheetName val="9. SchedEmplrContrib"/>
      <sheetName val="10. Expected Future WorkLife"/>
      <sheetName val="11a. DefExperience"/>
      <sheetName val="11b. DefAssumptions"/>
      <sheetName val="11c. DefInvestEarnings"/>
      <sheetName val="12a. Pension Expense LY"/>
      <sheetName val="12b. Pension Expense TY"/>
      <sheetName val="13. Defer"/>
      <sheetName val="13. Defer Total"/>
      <sheetName val="Checks"/>
    </sheetNames>
    <sheetDataSet>
      <sheetData sheetId="0">
        <row r="7">
          <cell r="T7">
            <v>1401377517</v>
          </cell>
        </row>
      </sheetData>
      <sheetData sheetId="1"/>
      <sheetData sheetId="2"/>
      <sheetData sheetId="3"/>
      <sheetData sheetId="4"/>
      <sheetData sheetId="5">
        <row r="13">
          <cell r="J13">
            <v>1446992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1">
          <cell r="N11">
            <v>24870430949</v>
          </cell>
        </row>
        <row r="14">
          <cell r="N14">
            <v>586319415</v>
          </cell>
        </row>
        <row r="15">
          <cell r="N15">
            <v>1726200591</v>
          </cell>
        </row>
        <row r="16">
          <cell r="N16">
            <v>0</v>
          </cell>
        </row>
        <row r="17">
          <cell r="N17">
            <v>165148630</v>
          </cell>
        </row>
        <row r="18">
          <cell r="N18">
            <v>0</v>
          </cell>
        </row>
        <row r="22">
          <cell r="N22">
            <v>-1620806000</v>
          </cell>
        </row>
        <row r="32">
          <cell r="N32">
            <v>19891598000</v>
          </cell>
        </row>
        <row r="39">
          <cell r="N39">
            <v>1446992000</v>
          </cell>
        </row>
        <row r="40">
          <cell r="N40">
            <v>134469000</v>
          </cell>
        </row>
        <row r="41">
          <cell r="N41">
            <v>-1582857000</v>
          </cell>
        </row>
        <row r="42">
          <cell r="N42">
            <v>-1620806000</v>
          </cell>
        </row>
        <row r="43">
          <cell r="N43">
            <v>-12711000</v>
          </cell>
        </row>
        <row r="44">
          <cell r="N44">
            <v>953000</v>
          </cell>
        </row>
      </sheetData>
      <sheetData sheetId="23">
        <row r="38">
          <cell r="G38">
            <v>1401377517</v>
          </cell>
        </row>
      </sheetData>
      <sheetData sheetId="24"/>
      <sheetData sheetId="25"/>
      <sheetData sheetId="26"/>
      <sheetData sheetId="27"/>
      <sheetData sheetId="28"/>
      <sheetData sheetId="29"/>
      <sheetData sheetId="30">
        <row r="21">
          <cell r="I21">
            <v>1055045894</v>
          </cell>
        </row>
      </sheetData>
      <sheetData sheetId="31"/>
      <sheetData sheetId="32"/>
      <sheetData sheetId="3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nsion"/>
      <sheetName val="BERS check"/>
    </sheetNames>
    <sheetDataSet>
      <sheetData sheetId="0">
        <row r="12">
          <cell r="D12">
            <v>1187441</v>
          </cell>
          <cell r="E12">
            <v>47019</v>
          </cell>
          <cell r="F12"/>
          <cell r="G12">
            <v>158421</v>
          </cell>
          <cell r="H12">
            <v>1390630</v>
          </cell>
          <cell r="I12"/>
          <cell r="J12">
            <v>42106</v>
          </cell>
          <cell r="K12">
            <v>54812</v>
          </cell>
          <cell r="L12"/>
          <cell r="M12">
            <v>923188</v>
          </cell>
          <cell r="N12">
            <v>6500</v>
          </cell>
          <cell r="P12">
            <v>427263</v>
          </cell>
          <cell r="Q12">
            <v>12200</v>
          </cell>
        </row>
        <row r="13">
          <cell r="D13">
            <v>17</v>
          </cell>
          <cell r="E13">
            <v>214542</v>
          </cell>
          <cell r="F13"/>
          <cell r="G13" t="str">
            <v xml:space="preserve">----  </v>
          </cell>
          <cell r="H13">
            <v>496574</v>
          </cell>
          <cell r="I13"/>
          <cell r="J13" t="str">
            <v xml:space="preserve">---- </v>
          </cell>
          <cell r="K13">
            <v>49268</v>
          </cell>
          <cell r="L13"/>
          <cell r="M13">
            <v>53369</v>
          </cell>
          <cell r="N13">
            <v>2717</v>
          </cell>
          <cell r="P13">
            <v>99305</v>
          </cell>
          <cell r="Q13" t="str">
            <v xml:space="preserve">----  </v>
          </cell>
        </row>
        <row r="16">
          <cell r="D16">
            <v>1315743</v>
          </cell>
          <cell r="E16" t="str">
            <v xml:space="preserve">----  </v>
          </cell>
          <cell r="F16"/>
          <cell r="G16" t="str">
            <v xml:space="preserve">----  </v>
          </cell>
          <cell r="H16">
            <v>143339</v>
          </cell>
          <cell r="I16"/>
          <cell r="J16" t="str">
            <v xml:space="preserve">---- </v>
          </cell>
          <cell r="K16">
            <v>65984</v>
          </cell>
          <cell r="L16"/>
          <cell r="M16">
            <v>1083214</v>
          </cell>
          <cell r="N16" t="str">
            <v xml:space="preserve">----  </v>
          </cell>
          <cell r="O16"/>
          <cell r="P16">
            <v>588331</v>
          </cell>
          <cell r="Q16" t="str">
            <v xml:space="preserve">----  </v>
          </cell>
        </row>
        <row r="20">
          <cell r="D20">
            <v>373404</v>
          </cell>
          <cell r="E20">
            <v>34248</v>
          </cell>
          <cell r="F20"/>
          <cell r="G20">
            <v>-99644</v>
          </cell>
          <cell r="H20">
            <v>-6233</v>
          </cell>
          <cell r="I20"/>
          <cell r="J20">
            <v>-98</v>
          </cell>
          <cell r="K20">
            <v>4</v>
          </cell>
          <cell r="L20"/>
          <cell r="M20" t="str">
            <v xml:space="preserve">----  </v>
          </cell>
          <cell r="N20" t="str">
            <v xml:space="preserve">----  </v>
          </cell>
          <cell r="O20"/>
          <cell r="P20" t="str">
            <v xml:space="preserve">----  </v>
          </cell>
          <cell r="Q20" t="str">
            <v xml:space="preserve">----  </v>
          </cell>
        </row>
      </sheetData>
      <sheetData sheetId="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Prop Share Adj."/>
      <sheetName val="Total"/>
    </sheetNames>
    <sheetDataSet>
      <sheetData sheetId="0"/>
      <sheetData sheetId="1"/>
      <sheetData sheetId="2">
        <row r="33">
          <cell r="D33">
            <v>584027</v>
          </cell>
          <cell r="E33">
            <v>-1567776</v>
          </cell>
          <cell r="F33">
            <v>-146345</v>
          </cell>
          <cell r="G33">
            <v>356093</v>
          </cell>
          <cell r="H33">
            <v>263641</v>
          </cell>
        </row>
        <row r="34">
          <cell r="D34">
            <v>198747</v>
          </cell>
          <cell r="E34">
            <v>-1506410</v>
          </cell>
          <cell r="F34">
            <v>-110261</v>
          </cell>
          <cell r="G34">
            <v>52627</v>
          </cell>
          <cell r="H34">
            <v>119883</v>
          </cell>
        </row>
        <row r="35">
          <cell r="D35">
            <v>1659009</v>
          </cell>
          <cell r="E35">
            <v>1928333</v>
          </cell>
          <cell r="F35">
            <v>193144</v>
          </cell>
          <cell r="G35">
            <v>1710898</v>
          </cell>
          <cell r="H35">
            <v>667011</v>
          </cell>
        </row>
        <row r="36">
          <cell r="D36">
            <v>73629</v>
          </cell>
          <cell r="E36">
            <v>-689363</v>
          </cell>
          <cell r="F36">
            <v>-63447</v>
          </cell>
          <cell r="G36">
            <v>-69064</v>
          </cell>
          <cell r="H36">
            <v>40337</v>
          </cell>
        </row>
        <row r="37">
          <cell r="D37">
            <v>65384</v>
          </cell>
          <cell r="E37">
            <v>-115586</v>
          </cell>
          <cell r="F37">
            <v>-1151</v>
          </cell>
          <cell r="G37">
            <v>0</v>
          </cell>
          <cell r="H37">
            <v>11827</v>
          </cell>
        </row>
        <row r="38">
          <cell r="D38">
            <v>0</v>
          </cell>
          <cell r="E38">
            <v>-14731</v>
          </cell>
          <cell r="F38">
            <v>0</v>
          </cell>
          <cell r="G38">
            <v>0</v>
          </cell>
          <cell r="H38">
            <v>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Page"/>
      <sheetName val="Cover Page"/>
      <sheetName val="1a. FiduNetPos-POL"/>
      <sheetName val="1b. FiduNetPos-POVSF"/>
      <sheetName val="1c. FiduNetPos-PSOVSF"/>
      <sheetName val="2a. ChgsNetFidPos-POL"/>
      <sheetName val="2b. ChgsNetFidPos-POVSF"/>
      <sheetName val="2c. ChgsNetFidPos-PSOVSF"/>
      <sheetName val="3. MV Assets"/>
      <sheetName val="4. L-T RoR (2)"/>
      <sheetName val="5a. Asset Gain-Loss LY"/>
      <sheetName val="5b. Asset Gain-Loss TY"/>
      <sheetName val="6. EA-AAL-NC"/>
      <sheetName val="7aNPL-Chgs Summary@6-30-LY"/>
      <sheetName val="7bNPL-Chgs Summary@6-30-TY"/>
      <sheetName val="8. Sch_Cha_NPL_Ratios"/>
      <sheetName val="9. SchedEmplrContrib"/>
      <sheetName val="10. Expected Future WorkLife"/>
      <sheetName val="11a. DefExperience"/>
      <sheetName val="11b. DefAssumptions"/>
      <sheetName val="11c. DefInvestEarnings"/>
      <sheetName val="12a. Pension Expense LY"/>
      <sheetName val="12b. Pension Expense TY"/>
      <sheetName val="13a. Defer"/>
      <sheetName val="13b.Defer Total"/>
    </sheetNames>
    <sheetDataSet>
      <sheetData sheetId="0">
        <row r="7">
          <cell r="Z7">
            <v>4299648848</v>
          </cell>
        </row>
      </sheetData>
      <sheetData sheetId="1"/>
      <sheetData sheetId="2"/>
      <sheetData sheetId="3"/>
      <sheetData sheetId="4"/>
      <sheetData sheetId="5">
        <row r="13">
          <cell r="J13">
            <v>2437728</v>
          </cell>
        </row>
      </sheetData>
      <sheetData sheetId="6"/>
      <sheetData sheetId="7"/>
      <sheetData sheetId="8"/>
      <sheetData sheetId="9"/>
      <sheetData sheetId="10"/>
      <sheetData sheetId="11"/>
      <sheetData sheetId="12"/>
      <sheetData sheetId="13"/>
      <sheetData sheetId="14">
        <row r="11">
          <cell r="N11">
            <v>57268429223</v>
          </cell>
        </row>
        <row r="14">
          <cell r="N14">
            <v>1473815656</v>
          </cell>
        </row>
        <row r="15">
          <cell r="N15">
            <v>3980110444</v>
          </cell>
        </row>
        <row r="16">
          <cell r="N16">
            <v>0</v>
          </cell>
        </row>
        <row r="17">
          <cell r="N17">
            <v>275949731</v>
          </cell>
        </row>
        <row r="18">
          <cell r="N18">
            <v>136758940</v>
          </cell>
        </row>
        <row r="19">
          <cell r="N19">
            <v>-3831639000</v>
          </cell>
        </row>
        <row r="24">
          <cell r="N24">
            <v>59303424994</v>
          </cell>
        </row>
        <row r="29">
          <cell r="N29">
            <v>46462856000</v>
          </cell>
        </row>
        <row r="35">
          <cell r="N35">
            <v>2437728000</v>
          </cell>
        </row>
        <row r="36">
          <cell r="N36">
            <v>255789000</v>
          </cell>
        </row>
        <row r="37">
          <cell r="N37">
            <v>11961703000</v>
          </cell>
        </row>
        <row r="38">
          <cell r="N38">
            <v>-3831639000</v>
          </cell>
        </row>
        <row r="39">
          <cell r="N39">
            <v>-24925000</v>
          </cell>
        </row>
        <row r="40">
          <cell r="N40">
            <v>4458000</v>
          </cell>
        </row>
      </sheetData>
      <sheetData sheetId="15">
        <row r="38">
          <cell r="G38">
            <v>4299648848</v>
          </cell>
        </row>
      </sheetData>
      <sheetData sheetId="16"/>
      <sheetData sheetId="17"/>
      <sheetData sheetId="18"/>
      <sheetData sheetId="19"/>
      <sheetData sheetId="20"/>
      <sheetData sheetId="21"/>
      <sheetData sheetId="22"/>
      <sheetData sheetId="23"/>
      <sheetData sheetId="2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Page"/>
      <sheetName val="Cover Page (Old)"/>
      <sheetName val="Cover Page"/>
      <sheetName val="Cover Page(Old)"/>
      <sheetName val="1b. Asset Gain-Loss 6-30-2014"/>
      <sheetName val="1a. FiduNetPos-NYCERS"/>
      <sheetName val="1b. FiduNetPos-VSF TY"/>
      <sheetName val="1c. FiduNetPos-VSF LY DNU"/>
      <sheetName val="2a. ChgsNetFidPos-NYCERS"/>
      <sheetName val="2b. ChgsNetFidPos-VSF TY"/>
      <sheetName val="2c. ChgsNetFidPos-VSF LY DNU"/>
      <sheetName val="3. MV Assets"/>
      <sheetName val="4. L-T RoR"/>
      <sheetName val="5a. Asset Gain-Loss LY"/>
      <sheetName val="5b. Asset Gain-Loss TY"/>
      <sheetName val="6. EA-AAL-NC"/>
      <sheetName val="7a. EmpAllocations 6-30-LY"/>
      <sheetName val="7b.NPL-Chg Obligors @6-30-LY DN"/>
      <sheetName val="7b.NPL-Chg Obligors @6-30-L (2)"/>
      <sheetName val="7b.NPL-Chg Obligors @6-30-L (3)"/>
      <sheetName val="7c. EmpAllocations 6-30-TY"/>
      <sheetName val="7e. NPL-Changes @6-30-TY DNU"/>
      <sheetName val="7d.NPL-Chg Obligors @6-30-TY DN"/>
      <sheetName val="7d.NPL-Chg Obligors @6-30-T (2)"/>
      <sheetName val="7d.NPL-Chg Obligors @6-30-T (3)"/>
      <sheetName val="8. Sch_Cha_NPL_Ratios"/>
      <sheetName val="9. SchedEmplrContrib"/>
      <sheetName val="10. Expected Future WorkLife"/>
      <sheetName val="11a. DefInflowOutflowExperience"/>
      <sheetName val="11b. DefInflowOutflowAssump"/>
      <sheetName val="11c. DefInflowOutflowEarnings"/>
      <sheetName val="12. ChangeProportion 2016 - DNU"/>
      <sheetName val="12. ChangeProportion 2017"/>
      <sheetName val="12. ChangeProportion 2018"/>
      <sheetName val="12. ChangeProportion 2019"/>
      <sheetName val="12. ChangeProportion 2020"/>
      <sheetName val="12. ChangeProportion 2021"/>
      <sheetName val="13a.Pension Exp LY DNU"/>
      <sheetName val="13b.Pen Exp Obligors LY"/>
      <sheetName val="13c.Pension Exp TY DNU"/>
      <sheetName val="13d.Pen Exp Obligors TY"/>
      <sheetName val="14a. Defer History"/>
      <sheetName val="14b. Defer Total"/>
      <sheetName val="15a. SchPenAmtsbyEmpl 6-30-LY"/>
      <sheetName val="15b. SchPenAmtsbyEmpl 6-30-TY"/>
      <sheetName val="15c. SchCollPenAm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6">
          <cell r="I16">
            <v>23570587</v>
          </cell>
        </row>
        <row r="22">
          <cell r="I22">
            <v>25528497</v>
          </cell>
        </row>
        <row r="28">
          <cell r="I28">
            <v>3822341</v>
          </cell>
        </row>
        <row r="36">
          <cell r="I36">
            <v>2165034484</v>
          </cell>
        </row>
      </sheetData>
      <sheetData sheetId="21"/>
      <sheetData sheetId="22"/>
      <sheetData sheetId="23"/>
      <sheetData sheetId="24">
        <row r="91">
          <cell r="K91">
            <v>3780372093</v>
          </cell>
        </row>
      </sheetData>
      <sheetData sheetId="25">
        <row r="19">
          <cell r="G19">
            <v>93552642174.179993</v>
          </cell>
        </row>
        <row r="33">
          <cell r="G33">
            <v>87139009000</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tal 2b"/>
      <sheetName val="Total SummaryOld"/>
      <sheetName val="Total Summary DNU"/>
      <sheetName val="Total Summary"/>
      <sheetName val="PrelimFY24"/>
      <sheetName val="ProVal 2018 results"/>
      <sheetName val="Amortizations"/>
      <sheetName val="AmortizationsFY21"/>
      <sheetName val="Amortizations Total"/>
      <sheetName val="ProVal Projected Salary"/>
      <sheetName val="Data"/>
      <sheetName val="OTB Split"/>
      <sheetName val="Amorts_Summary"/>
      <sheetName val="Amorts_Summary Letter"/>
      <sheetName val="DataSummary"/>
    </sheetNames>
    <sheetDataSet>
      <sheetData sheetId="0"/>
      <sheetData sheetId="1"/>
      <sheetData sheetId="2"/>
      <sheetData sheetId="3">
        <row r="13">
          <cell r="N13">
            <v>9712409</v>
          </cell>
          <cell r="W13">
            <v>8444474319</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tal 2b"/>
      <sheetName val="Total SummaryOld"/>
      <sheetName val="Total Summary DNU"/>
      <sheetName val="Total Summary"/>
      <sheetName val="PrelimFY23"/>
      <sheetName val="ProVal 2018 results"/>
      <sheetName val="Amortizations"/>
      <sheetName val="AmortizationsFY21"/>
      <sheetName val="Amortizations Total"/>
      <sheetName val="ProVal Projected Salary"/>
      <sheetName val="Data"/>
      <sheetName val="OTB Split"/>
      <sheetName val="Amorts_Summary"/>
      <sheetName val="Amorts_Summary Letter"/>
      <sheetName val="DataSummary"/>
    </sheetNames>
    <sheetDataSet>
      <sheetData sheetId="0"/>
      <sheetData sheetId="1"/>
      <sheetData sheetId="2"/>
      <sheetData sheetId="3">
        <row r="13">
          <cell r="N13">
            <v>9288029</v>
          </cell>
          <cell r="W13">
            <v>8403229153</v>
          </cell>
        </row>
      </sheetData>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2b"/>
      <sheetName val="Total SummaryOld"/>
      <sheetName val="Total Summary DNU"/>
      <sheetName val="Total Summary"/>
      <sheetName val="PrelimFY22"/>
      <sheetName val="ProVal 2018 results"/>
      <sheetName val="Amortizations"/>
      <sheetName val="AmortizationsFY21"/>
      <sheetName val="Amortizations Total"/>
      <sheetName val="ProVal Projected Salary"/>
      <sheetName val="Data"/>
      <sheetName val="DataBaseline"/>
      <sheetName val="OTB Split"/>
      <sheetName val="Amorts_Summary"/>
      <sheetName val="Amorts_Summary Letter"/>
      <sheetName val="DataSummary"/>
    </sheetNames>
    <sheetDataSet>
      <sheetData sheetId="0"/>
      <sheetData sheetId="1"/>
      <sheetData sheetId="2"/>
      <sheetData sheetId="3">
        <row r="13">
          <cell r="N13">
            <v>9280612</v>
          </cell>
          <cell r="W13">
            <v>8427533031</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TempSheet"/>
      <sheetName val="Cover Page"/>
      <sheetName val="1. FiduNetPos-TRS"/>
      <sheetName val="2. ChgsNetFidPos-TRS"/>
      <sheetName val="3. MV Assets"/>
      <sheetName val="4. LTROR"/>
      <sheetName val="5a. Asset Gain-Loss 6-30-LY"/>
      <sheetName val="5b. Asset Gain-Loss 6-30-TY"/>
      <sheetName val="6. EA-AAL-NC"/>
      <sheetName val="7a. EmpAllocations 6-30-LY"/>
      <sheetName val="7x. NPL-Changes @ 6-30-LY"/>
      <sheetName val="7b. NPL-Changes @ 6-30-LY"/>
      <sheetName val="7c. EmpAllocations 6-30-TY"/>
      <sheetName val="7y. NPL-Changes @ 6-30-TY"/>
      <sheetName val="7d. NPL-Changes @ 6-30-TY"/>
      <sheetName val="8. Sch_Cha_NPL_Ratios"/>
      <sheetName val="9. SchedEmplrContrib"/>
      <sheetName val="10. Expected Future WorkLife"/>
      <sheetName val="11a.DefInflowOutflow Experience"/>
      <sheetName val="11b.DefInflowOutflow AsspChg"/>
      <sheetName val="11c. DefInflowOutflow Earnings"/>
      <sheetName val="12. Chg in Proport Share 2017"/>
      <sheetName val="12. Chg in Proport Share 2018"/>
      <sheetName val="12. Chg in Proport Share 2019"/>
      <sheetName val="12. Chg in Proport Share 2020"/>
      <sheetName val="12. Chg in Proport Share CY"/>
      <sheetName val="13x. Pension Exp 6-30-LY"/>
      <sheetName val="13a. Pen Exp Obligors 6-30-LY"/>
      <sheetName val="13y. Pension Exp 6-30-TY"/>
      <sheetName val="13b. Pen Exp Obligors 6-30-TY"/>
      <sheetName val="14a. PE-Defer"/>
      <sheetName val="14b. PE-Defer Total"/>
      <sheetName val="15a. SchPenAmtsbyEmpl 6-30-LY"/>
      <sheetName val="15b. SchPenAmtsbyEmpl 6-30-TY"/>
      <sheetName val="15c. SchCollPenAm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76">
          <cell r="H76">
            <v>67990712</v>
          </cell>
          <cell r="J76">
            <v>999241</v>
          </cell>
        </row>
      </sheetData>
      <sheetData sheetId="16">
        <row r="20">
          <cell r="H20">
            <v>78418471072</v>
          </cell>
        </row>
        <row r="34">
          <cell r="H34">
            <v>78347298000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s"/>
      <sheetName val="TempSheet"/>
      <sheetName val="Cover Page"/>
      <sheetName val="1. FiduNetPos-TRS"/>
      <sheetName val="2. ChgsNetFidPos-TRS"/>
      <sheetName val="3. MV Assets"/>
      <sheetName val="4. LTROR"/>
      <sheetName val="5a. Asset Gain-Loss 6-30-LY"/>
      <sheetName val="5b. Asset Gain-Loss 6-30-TY"/>
      <sheetName val="6. EA-AAL-NC"/>
      <sheetName val="7a. EmpAllocations 6-30-LY"/>
      <sheetName val="7x. NPL-Changes @ 6-30-LY"/>
      <sheetName val="7b. NPL-Changes @ 6-30-LY"/>
      <sheetName val="7c. EmpAllocations 6-30-TY"/>
      <sheetName val="7y. NPL-Changes @ 6-30-TY"/>
      <sheetName val="7d. NPL-Changes @ 6-30-TY"/>
      <sheetName val="8. Sch_Cha_NPL_Ratios"/>
      <sheetName val="9. SchedEmplrContrib"/>
      <sheetName val="10. Expected Future WorkLife"/>
      <sheetName val="11a.DefInflowOutflow Experience"/>
      <sheetName val="11b.DefInflowOutflow AsspChg"/>
      <sheetName val="11c. DefInflowOutflow Earnings"/>
      <sheetName val="12. Chg in Proport Share 2017"/>
      <sheetName val="12. Chg in Proport Share 2018"/>
      <sheetName val="12. Chg in Proport Share 2019"/>
      <sheetName val="12. Chg in Proport Share 2020"/>
      <sheetName val="12. Chg in Proport Share 2021"/>
      <sheetName val="12. Chg in Proport Share 2022"/>
      <sheetName val="12. Chg in Proport Share CY"/>
      <sheetName val="13x. Pension Exp 6-30-LY"/>
      <sheetName val="13a. Pen Exp Obligors 6-30-LY"/>
      <sheetName val="13y. Pension Exp 6-30-TY"/>
      <sheetName val="13b. Pen Exp Obligors 6-30-TY"/>
      <sheetName val="14a. PE-Defer"/>
      <sheetName val="14b. PE-Defer Total"/>
      <sheetName val="15a. SchPenAmtsbyEmpl 6-30-LY"/>
      <sheetName val="15b. SchPenAmtsbyEmpl 6-30-TY"/>
      <sheetName val="15c. SchCollPenAmts"/>
    </sheetNames>
    <sheetDataSet>
      <sheetData sheetId="0"/>
      <sheetData sheetId="1"/>
      <sheetData sheetId="2"/>
      <sheetData sheetId="3"/>
      <sheetData sheetId="4"/>
      <sheetData sheetId="5"/>
      <sheetData sheetId="6">
        <row r="16">
          <cell r="F16">
            <v>5.3402322447644111E-2</v>
          </cell>
        </row>
        <row r="17">
          <cell r="F17">
            <v>6.1193138187085723E-2</v>
          </cell>
        </row>
        <row r="18">
          <cell r="F18">
            <v>7.5409932102425858E-2</v>
          </cell>
        </row>
        <row r="19">
          <cell r="F19">
            <v>2.0981592052720557E-2</v>
          </cell>
        </row>
        <row r="22">
          <cell r="F22">
            <v>0.10359990717692899</v>
          </cell>
        </row>
        <row r="23">
          <cell r="F23">
            <v>7.835725343861738E-2</v>
          </cell>
        </row>
        <row r="24">
          <cell r="F24">
            <v>7.9247105693798531E-2</v>
          </cell>
        </row>
        <row r="25">
          <cell r="F25">
            <v>5.2299736389997041E-2</v>
          </cell>
        </row>
      </sheetData>
      <sheetData sheetId="7"/>
      <sheetData sheetId="8"/>
      <sheetData sheetId="9"/>
      <sheetData sheetId="10"/>
      <sheetData sheetId="11"/>
      <sheetData sheetId="12"/>
      <sheetData sheetId="13"/>
      <sheetData sheetId="14"/>
      <sheetData sheetId="15">
        <row r="76">
          <cell r="H76">
            <v>13021094646</v>
          </cell>
          <cell r="J76">
            <v>198953404</v>
          </cell>
        </row>
      </sheetData>
      <sheetData sheetId="16">
        <row r="20">
          <cell r="H20">
            <v>81613165160</v>
          </cell>
        </row>
        <row r="34">
          <cell r="H34">
            <v>67934256000</v>
          </cell>
        </row>
      </sheetData>
      <sheetData sheetId="17"/>
      <sheetData sheetId="18">
        <row r="12">
          <cell r="C12">
            <v>123674</v>
          </cell>
        </row>
        <row r="13">
          <cell r="C13">
            <v>5106</v>
          </cell>
        </row>
        <row r="14">
          <cell r="C14">
            <v>19630</v>
          </cell>
        </row>
        <row r="15">
          <cell r="C15">
            <v>92282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3">
          <cell r="J23">
            <v>2842342825</v>
          </cell>
          <cell r="L23">
            <v>54469936</v>
          </cell>
        </row>
      </sheetData>
      <sheetData sheetId="33"/>
      <sheetData sheetId="34"/>
      <sheetData sheetId="35"/>
      <sheetData sheetId="36">
        <row r="21">
          <cell r="E21">
            <v>13021094646</v>
          </cell>
        </row>
        <row r="25">
          <cell r="E25">
            <v>198953404</v>
          </cell>
        </row>
        <row r="29">
          <cell r="E29">
            <v>13678909160</v>
          </cell>
        </row>
      </sheetData>
      <sheetData sheetId="37"/>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s"/>
      <sheetName val="Amort Bases"/>
      <sheetName val="Asset Allocation"/>
      <sheetName val="Final FY23"/>
      <sheetName val="Preliminary FY24"/>
      <sheetName val="ProVal_1"/>
      <sheetName val="Output - Totals"/>
      <sheetName val="Output - Amort Bases"/>
      <sheetName val="Letter Output"/>
      <sheetName val="ValReportOutputLY"/>
      <sheetName val="ValReportOutputTY"/>
      <sheetName val="ValReportAmortOutput"/>
      <sheetName val="Gain-Loss"/>
    </sheetNames>
    <sheetDataSet>
      <sheetData sheetId="0"/>
      <sheetData sheetId="1"/>
      <sheetData sheetId="2"/>
      <sheetData sheetId="3"/>
      <sheetData sheetId="4">
        <row r="18">
          <cell r="K18">
            <v>187175465</v>
          </cell>
          <cell r="AA18">
            <v>11257055877</v>
          </cell>
        </row>
      </sheetData>
      <sheetData sheetId="5"/>
      <sheetData sheetId="6"/>
      <sheetData sheetId="7"/>
      <sheetData sheetId="8"/>
      <sheetData sheetId="9"/>
      <sheetData sheetId="10"/>
      <sheetData sheetId="11"/>
      <sheetData sheetId="1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Amort Bases"/>
      <sheetName val="Asset Allocation"/>
      <sheetName val="Final FY22"/>
      <sheetName val="Upd Prelim FY23"/>
      <sheetName val="Upd Prelim FY23 w415"/>
      <sheetName val="FY23 w 5yr Vst"/>
      <sheetName val="ProVal L1"/>
      <sheetName val="ProVal L2"/>
      <sheetName val="ProVal L3"/>
      <sheetName val="Output - Totals"/>
      <sheetName val="Output - Layers v1"/>
      <sheetName val="Output - Layers v2"/>
      <sheetName val="Output - Amort Bases"/>
      <sheetName val="Letter Output"/>
      <sheetName val="Gain-Loss"/>
      <sheetName val="ProVal Compare"/>
    </sheetNames>
    <sheetDataSet>
      <sheetData sheetId="0" refreshError="1"/>
      <sheetData sheetId="1" refreshError="1"/>
      <sheetData sheetId="2" refreshError="1"/>
      <sheetData sheetId="3" refreshError="1"/>
      <sheetData sheetId="4" refreshError="1">
        <row r="18">
          <cell r="K18">
            <v>178911108</v>
          </cell>
          <cell r="AA18">
            <v>10940055654</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s"/>
      <sheetName val="Amort Bases"/>
      <sheetName val="Asset Allocation"/>
      <sheetName val="Final FY21 - Tier 4,6 Loans"/>
      <sheetName val="Prelim FY22 - Sent, Not Used"/>
      <sheetName val="Prelim FY22 - Old AOP"/>
      <sheetName val="Prelim FY22 - New AOP"/>
      <sheetName val="Prelim FY22 - TDA"/>
      <sheetName val="Prelim FY22 - OWBPA"/>
      <sheetName val="Letter Output"/>
      <sheetName val="ProVal L0"/>
      <sheetName val="ProVal L1"/>
      <sheetName val="ProVal L4"/>
      <sheetName val="Output - Totals"/>
      <sheetName val="Output - Layers v1"/>
      <sheetName val="Output - Layers v2"/>
      <sheetName val="Output - Amort Bases"/>
      <sheetName val="Gain-Loss"/>
      <sheetName val="Prelim FY21"/>
      <sheetName val="ProVal Compare"/>
    </sheetNames>
    <sheetDataSet>
      <sheetData sheetId="0"/>
      <sheetData sheetId="1"/>
      <sheetData sheetId="2"/>
      <sheetData sheetId="3"/>
      <sheetData sheetId="4"/>
      <sheetData sheetId="5"/>
      <sheetData sheetId="6"/>
      <sheetData sheetId="7"/>
      <sheetData sheetId="8">
        <row r="18">
          <cell r="K18">
            <v>177042367</v>
          </cell>
          <cell r="Y18">
            <v>10686788044</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eck the checks"/>
      <sheetName val="Cover Page"/>
      <sheetName val="1. FiduNetPos-BERS"/>
      <sheetName val="2. ChgsNetFidPos-BERS"/>
      <sheetName val="3. MV Assets"/>
      <sheetName val="4. LTROR prior"/>
      <sheetName val="4. LTROR"/>
      <sheetName val="4. LTROR (alternate)"/>
      <sheetName val="4. LTROR LY"/>
      <sheetName val="LT ROR"/>
      <sheetName val="LT ROR LY"/>
      <sheetName val="5a. Asset Gain-Loss 6-30-LY"/>
      <sheetName val="5b. Asset Gain-Loss 6-30-TY"/>
      <sheetName val="6. EA-AAL-NC"/>
      <sheetName val="6. Sensitivity Exhibit"/>
      <sheetName val="6. Sensitivity Exhibit LY"/>
      <sheetName val="EAN from ProVal"/>
      <sheetName val="6. EA-AAL-NC LY"/>
      <sheetName val="7a. EmpAllocations 6-30-LY"/>
      <sheetName val="7b. NPL-Changes @ 6-30-LY (1)"/>
      <sheetName val="7b. NPL-Changes @ 6-30-LY"/>
      <sheetName val="7c. EmpAllocations 6-30-TY"/>
      <sheetName val="7d. NPL-Changes @ 6-30-TY (1)"/>
      <sheetName val="7d. NPL-Changes @6-30-TY"/>
      <sheetName val="8. Sch_Cha_NPL_Ratios"/>
      <sheetName val="9. SchedEmplrContrib"/>
      <sheetName val="10. Expected Future WorkLife"/>
      <sheetName val="11a.DefInflowOutflow Experience"/>
      <sheetName val="11b.DefInflowOutflow AsspChg"/>
      <sheetName val="11c. DefInflowOutflow Earnings"/>
      <sheetName val="12. Chg in Proport Share 2015"/>
      <sheetName val="12. Chg in Proport Share 2016"/>
      <sheetName val="12. Chg in Proport Share 2017"/>
      <sheetName val="12. Chg in Proport Share 2018"/>
      <sheetName val="12. Chg in Proport Share 2019"/>
      <sheetName val="12. Chg in Proport Share 2020"/>
      <sheetName val="12. 2017-2020"/>
      <sheetName val="12. Chg in Proport Share CY"/>
      <sheetName val="13a. Pension Exp  6-30-LY"/>
      <sheetName val="13a. Pen Exp Obligors 6-30-LY"/>
      <sheetName val="13b. Pension Exp  6-30-TY"/>
      <sheetName val="13b. Pen Exp Obligors 6-30-TY"/>
      <sheetName val="14. PE-DOR-DIR 6-30-2013"/>
      <sheetName val="14. PE-DOR-DIR 6-30-2014"/>
      <sheetName val="14. PE-DOR-DIR 6-30-2015"/>
      <sheetName val="14. PE-DOR-DIR 6-30-2016"/>
      <sheetName val="14. PE-DOR-DIR 6-30-2017"/>
      <sheetName val="14. PE-DOR-DIR 6-30-2018"/>
      <sheetName val="14. PE-DOR-DIR 6-30-2019"/>
      <sheetName val="14. PE-DOR-DIR 6-30-2020"/>
      <sheetName val="14a. PE-Defer"/>
      <sheetName val="14b. LYR"/>
      <sheetName val="14b. PE-DOR-DIR LY"/>
      <sheetName val="14b. PE-DOR-DIR TY"/>
      <sheetName val="Bases"/>
      <sheetName val="Bases Inflows"/>
      <sheetName val="Bases Outflows"/>
      <sheetName val="Change in Proportionate Share"/>
      <sheetName val="reconciliation"/>
      <sheetName val="15a. SchPenAmtsbyEmpl 6-30-LY"/>
      <sheetName val="15b. LYR"/>
      <sheetName val="15b. SchPenAmtsbyEmpl 6-30-TY"/>
      <sheetName val="15c. SchCollPenAm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9">
          <cell r="G19">
            <v>5776055497</v>
          </cell>
        </row>
        <row r="32">
          <cell r="G32">
            <v>7044240000</v>
          </cell>
        </row>
        <row r="34">
          <cell r="G34">
            <v>-1268184503</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VA Total"/>
      <sheetName val="Inputs LY2"/>
      <sheetName val="Inputs LY"/>
      <sheetName val="Inputs TY"/>
      <sheetName val="Input Amort Bases"/>
      <sheetName val="Asset Allocation FINAL 2022"/>
      <sheetName val="New Entrant data 2020"/>
      <sheetName val="New Entrant data 2021"/>
      <sheetName val="New Entrant data 2022"/>
      <sheetName val="Asset Allocation FINAL 2019"/>
      <sheetName val="Asset Allocation FINAL 2020"/>
      <sheetName val="Asset Allocation FINAL 2021"/>
      <sheetName val="2. ChgsNetFidPos-BERS 2020"/>
      <sheetName val="2. ChgsNetFidPos-BERS 2021"/>
      <sheetName val="2. ChgsNetFidPos-BERS 2022"/>
      <sheetName val="ProVal L0 2024"/>
      <sheetName val="ProVal L1 2024"/>
      <sheetName val="Final FY19"/>
      <sheetName val="FINAL FY20"/>
      <sheetName val="Final FY21"/>
      <sheetName val="Final FY22"/>
      <sheetName val="Final FY23"/>
      <sheetName val="Prelim FY24 L0"/>
      <sheetName val="TDA 2020 7.00"/>
      <sheetName val="TDA 2020 7.00 (2)"/>
      <sheetName val="Prelim FY24 L1"/>
      <sheetName val="TDA 2021 7.00"/>
      <sheetName val="TDA 2022 7.00"/>
      <sheetName val="Output - Totals"/>
      <sheetName val="Letter Output"/>
      <sheetName val="Letter Outpu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8">
          <cell r="J18">
            <v>1341973461</v>
          </cell>
          <cell r="K18">
            <v>84720470</v>
          </cell>
        </row>
      </sheetData>
      <sheetData sheetId="26"/>
      <sheetData sheetId="27"/>
      <sheetData sheetId="28"/>
      <sheetData sheetId="29"/>
      <sheetData sheetId="30"/>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VA Total"/>
      <sheetName val="Inputs LY"/>
      <sheetName val="Inputs TY"/>
      <sheetName val="New Entrant data 2021"/>
      <sheetName val="New Entrant data 2020"/>
      <sheetName val="Asset Allocation FINAL 2019"/>
      <sheetName val="Asset Allocation FINAL 2020"/>
      <sheetName val="Asset Allocation FINAL 2021"/>
      <sheetName val="Asset Allocation Pre-AOP"/>
      <sheetName val="2. ChgsNetFidPos-BERS 2020"/>
      <sheetName val="2. ChgsNetFidPos-BERS 2021"/>
      <sheetName val="Input Amort Bases"/>
      <sheetName val="ProVal L0"/>
      <sheetName val="ProVal L1"/>
      <sheetName val="ProVal L2"/>
      <sheetName val="ProVal L3"/>
      <sheetName val="ProVal L4"/>
      <sheetName val="ProVal L5"/>
      <sheetName val="ProVal L6"/>
      <sheetName val="ProVal L7"/>
      <sheetName val="Final FY19"/>
      <sheetName val="FINAL FY20"/>
      <sheetName val="Final FY21"/>
      <sheetName val="Prelim FY22 L0 PreAOP"/>
      <sheetName val="Prelim FY22 L0"/>
      <sheetName val="Prelim FY22 L1"/>
      <sheetName val="Prelim FY22 L2"/>
      <sheetName val="Prelim FY22 L3"/>
      <sheetName val="Final FY22"/>
      <sheetName val="Prelim FY23 L0"/>
      <sheetName val="Prelim FY23 L1"/>
      <sheetName val="T6 FWL"/>
      <sheetName val="Prelim FY23 L2"/>
      <sheetName val="Prelim FY23 L3"/>
      <sheetName val="TDA 2020 7.00"/>
      <sheetName val="TDA 2020 7.00 (2)"/>
      <sheetName val="TDA 2021 7.00"/>
      <sheetName val="Output - Tot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8">
          <cell r="J18">
            <v>1401571582</v>
          </cell>
          <cell r="K18">
            <v>82178049</v>
          </cell>
        </row>
      </sheetData>
      <sheetData sheetId="34"/>
      <sheetData sheetId="35"/>
      <sheetData sheetId="36"/>
      <sheetData sheetId="37"/>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TLI Prelim FY21"/>
      <sheetName val="Inputs"/>
      <sheetName val="Asset Allocation FINAL 2020"/>
      <sheetName val="2. ChgsNetFidPos-BERS 2020"/>
      <sheetName val="Asset Allocation FINAL 2019"/>
      <sheetName val="Asset Allocation Pre-AOP"/>
      <sheetName val="Input Amort Bases"/>
      <sheetName val="ProVal L0"/>
      <sheetName val="Final FY19"/>
      <sheetName val="Prelim FY20"/>
      <sheetName val="Updated Prelim FY20"/>
      <sheetName val="Updated Prelim AVA Change FY20"/>
      <sheetName val="ProVal L1"/>
      <sheetName val="ProVal L2"/>
      <sheetName val="FINAL FY20"/>
      <sheetName val="Prelim FY21"/>
      <sheetName val="Upd Prelim FY21"/>
      <sheetName val="Upd Prelim FY21 L1"/>
      <sheetName val="Upd Prelim FY21 L2"/>
      <sheetName val="Upd Prelim FY21 L3"/>
      <sheetName val="Final FY21"/>
      <sheetName val="Prelim FY22 L0 PreAOP"/>
      <sheetName val="Prelim FY22 L0"/>
      <sheetName val="Prelim FY22 L1"/>
      <sheetName val="TDA 2020 7.00"/>
      <sheetName val="GTLI Prelim FY22"/>
      <sheetName val="Output - Totals"/>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8">
          <cell r="J18">
            <v>1395857119.78</v>
          </cell>
          <cell r="K18">
            <v>80172757.629999995</v>
          </cell>
        </row>
      </sheetData>
      <sheetData sheetId="24"/>
      <sheetData sheetId="25"/>
      <sheetData sheetId="26"/>
      <sheetData sheetId="27"/>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
      <sheetName val="Inputs"/>
      <sheetName val="Amort Bases"/>
      <sheetName val="Asset Allocation"/>
      <sheetName val="Final FY22"/>
      <sheetName val="Final Baseline FY23"/>
      <sheetName val="Final FY23 w415"/>
      <sheetName val="Final FY23 w 5yr Vst"/>
      <sheetName val="ProVal L1"/>
      <sheetName val="ProVal L2"/>
      <sheetName val="ProVal L3"/>
      <sheetName val="Output - Totals"/>
      <sheetName val="Output - Amort Bases"/>
      <sheetName val="Letter Output"/>
      <sheetName val="Gain-Loss"/>
    </sheetNames>
    <sheetDataSet>
      <sheetData sheetId="0"/>
      <sheetData sheetId="1"/>
      <sheetData sheetId="2"/>
      <sheetData sheetId="3"/>
      <sheetData sheetId="4"/>
      <sheetData sheetId="5"/>
      <sheetData sheetId="6"/>
      <sheetData sheetId="7">
        <row r="190">
          <cell r="K190">
            <v>44885632</v>
          </cell>
          <cell r="AA190">
            <v>2937673098</v>
          </cell>
        </row>
      </sheetData>
      <sheetData sheetId="8"/>
      <sheetData sheetId="9"/>
      <sheetData sheetId="10"/>
      <sheetData sheetId="11"/>
      <sheetData sheetId="12"/>
      <sheetData sheetId="13"/>
      <sheetData sheetId="14"/>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s"/>
      <sheetName val="Amort Bases"/>
      <sheetName val="Asset Allocation"/>
      <sheetName val="Final FY21 - Tier 4,6 Loans"/>
      <sheetName val="Prelim FY22 - Sent, Not Used"/>
      <sheetName val="Prelim FY22 - Old AOP"/>
      <sheetName val="Prelim FY22 - New AOP"/>
      <sheetName val="Prelim FY22 - TDA"/>
      <sheetName val="Prelim FY22 - OWBPA"/>
      <sheetName val="Letter Output"/>
      <sheetName val="ProVal L0"/>
      <sheetName val="ProVal L1"/>
      <sheetName val="ProVal L4"/>
      <sheetName val="Output - Totals"/>
      <sheetName val="Output - Layers v1"/>
      <sheetName val="Output - Layers v2"/>
      <sheetName val="Output - Amort Bases"/>
      <sheetName val="Gain-Loss"/>
      <sheetName val="Prelim FY21"/>
      <sheetName val="ProVal Compare"/>
    </sheetNames>
    <sheetDataSet>
      <sheetData sheetId="0"/>
      <sheetData sheetId="1"/>
      <sheetData sheetId="2"/>
      <sheetData sheetId="3"/>
      <sheetData sheetId="4"/>
      <sheetData sheetId="5"/>
      <sheetData sheetId="6"/>
      <sheetData sheetId="7"/>
      <sheetData sheetId="8">
        <row r="184">
          <cell r="K184">
            <v>46344074</v>
          </cell>
          <cell r="Y184">
            <v>3154513866</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Amort Bases"/>
      <sheetName val="Almost Final FY20"/>
      <sheetName val="Final FY20"/>
      <sheetName val="Asset Allocation"/>
      <sheetName val="Asset Allocation MVA=AVA"/>
      <sheetName val="Prelim FY21"/>
      <sheetName val="Prelim FY21 - remove OWBPA"/>
      <sheetName val="Prelim FY21 - AVA = MVA"/>
      <sheetName val="Prelim FY21 - MP2020+25% Loans"/>
      <sheetName val="Prelim FY21 - Active MP"/>
      <sheetName val="Final FY21 - Tier 4,6 Loans"/>
      <sheetName val="ProVal L1"/>
      <sheetName val="ProVal L2"/>
      <sheetName val="ProVal L3"/>
      <sheetName val="ProVal L4"/>
      <sheetName val="ProVal L5"/>
      <sheetName val="Output - Totals"/>
      <sheetName val="Output - Layers v1"/>
      <sheetName val="Output - Layers v2"/>
      <sheetName val="Output - Amort Bases"/>
      <sheetName val="Gain-Loss"/>
      <sheetName val="Prelim FY20"/>
      <sheetName val="Letter Output"/>
      <sheetName val="ProVal Compare"/>
    </sheetNames>
    <sheetDataSet>
      <sheetData sheetId="0"/>
      <sheetData sheetId="1"/>
      <sheetData sheetId="2"/>
      <sheetData sheetId="3"/>
      <sheetData sheetId="4"/>
      <sheetData sheetId="5"/>
      <sheetData sheetId="6"/>
      <sheetData sheetId="7"/>
      <sheetData sheetId="8"/>
      <sheetData sheetId="9"/>
      <sheetData sheetId="10"/>
      <sheetData sheetId="11">
        <row r="179">
          <cell r="K179">
            <v>43966461</v>
          </cell>
          <cell r="Z179">
            <v>2991583081</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1. FiduNetPos-BERS"/>
      <sheetName val="2. ChgsNetFidPos-BERS"/>
      <sheetName val="3. MV Assets"/>
      <sheetName val="LT ROR LY"/>
      <sheetName val="LT ROR"/>
      <sheetName val="4. LTROR"/>
      <sheetName val="5a. Asset Gain-Loss 6-30-LY"/>
      <sheetName val="5b. Asset Gain-Loss 6-30-TY"/>
      <sheetName val="6. EA-AAL-NC"/>
      <sheetName val="7a. EmpAllocations 6-30-LY"/>
      <sheetName val="7b. NPL-Changes@ 6-30-LY"/>
      <sheetName val="7c. EmpAllocations 6-30-TY"/>
      <sheetName val="7d. NPL-Changes @6-30-TY old-nu"/>
      <sheetName val="7d. NPL-Changes @6-30-TY"/>
      <sheetName val="8. Sch_Cha_NPL_Ratios"/>
      <sheetName val="9. SchedEmplrContrib"/>
      <sheetName val="10. Expected Future WorkLife"/>
      <sheetName val="11a.DefInflowOutflow Experience"/>
      <sheetName val="11b.DefInflowOutflow AsspChg"/>
      <sheetName val="11c. DefInflowOutflow Earnings"/>
      <sheetName val="12. Chg in Proport Share 2015"/>
      <sheetName val="12. Chg in Proport Share 2016"/>
      <sheetName val="12. Chg in Proport Share 2017"/>
      <sheetName val="12. Chg in Proport Share 2018"/>
      <sheetName val="12. Chg in Proport Share 2019"/>
      <sheetName val="12. Chg in Proport Share 2020"/>
      <sheetName val="12. Chg in Proport Share 2021"/>
      <sheetName val="12. Chg in Proport Share 2022"/>
      <sheetName val="12. Chg in Proport Share CY"/>
      <sheetName val="13a. Pen Exp Obligors 6-30-LY"/>
      <sheetName val="13b. Pension Exp 6-30-TY old-nu"/>
      <sheetName val="13b. Pen Exp Obligors 6-30-TY"/>
      <sheetName val="14a. PE-Defer"/>
      <sheetName val="14b. PE-Defer Total"/>
      <sheetName val="15a. SchPenAmtsbyEmpl 6-30-LY"/>
      <sheetName val="15b. SchPenAmtsbyEmpl 6-30-TY"/>
      <sheetName val="Short Report"/>
      <sheetName val="EAN from ProVal"/>
      <sheetName val="reconciliation"/>
      <sheetName val="BERS 30Y- ROR 06-30-2023"/>
      <sheetName val="15c. SchCollPenAmts"/>
      <sheetName val="Sensitivity"/>
    </sheetNames>
    <sheetDataSet>
      <sheetData sheetId="0"/>
      <sheetData sheetId="1"/>
      <sheetData sheetId="2"/>
      <sheetData sheetId="3"/>
      <sheetData sheetId="4"/>
      <sheetData sheetId="5"/>
      <sheetData sheetId="6">
        <row r="21">
          <cell r="E21">
            <v>6.6113129915155389E-2</v>
          </cell>
        </row>
        <row r="22">
          <cell r="E22">
            <v>6.9042817415155389E-2</v>
          </cell>
        </row>
        <row r="23">
          <cell r="E23">
            <v>8.3691254915155389E-2</v>
          </cell>
        </row>
        <row r="24">
          <cell r="E24">
            <v>2.0323199359599833E-2</v>
          </cell>
        </row>
        <row r="27">
          <cell r="E27">
            <v>9.5898286165155389E-2</v>
          </cell>
        </row>
        <row r="28">
          <cell r="E28">
            <v>4.7314301790155389E-2</v>
          </cell>
        </row>
        <row r="29">
          <cell r="E29">
            <v>5.4394379915155389E-2</v>
          </cell>
        </row>
        <row r="30">
          <cell r="E30">
            <v>6.0253754915155389E-2</v>
          </cell>
        </row>
      </sheetData>
      <sheetData sheetId="7"/>
      <sheetData sheetId="8"/>
      <sheetData sheetId="9"/>
      <sheetData sheetId="10"/>
      <sheetData sheetId="11"/>
      <sheetData sheetId="12"/>
      <sheetData sheetId="13"/>
      <sheetData sheetId="14"/>
      <sheetData sheetId="15"/>
      <sheetData sheetId="16"/>
      <sheetData sheetId="17">
        <row r="11">
          <cell r="C11">
            <v>25639</v>
          </cell>
        </row>
        <row r="12">
          <cell r="C12">
            <v>9245</v>
          </cell>
        </row>
        <row r="13">
          <cell r="C13">
            <v>2410</v>
          </cell>
        </row>
        <row r="14">
          <cell r="C14">
            <v>20481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Amort Bases"/>
      <sheetName val="Asset Allocation Prelim to +2"/>
      <sheetName val="Final FY19"/>
      <sheetName val="Prelim FY20"/>
      <sheetName val="Prelim+1 FY20 Rev Baseline"/>
      <sheetName val="Asset Allocation Final"/>
      <sheetName val="Final FY20"/>
      <sheetName val="ProVal L1"/>
      <sheetName val="ProVal L2"/>
      <sheetName val="Output - Totals"/>
      <sheetName val="Output - Layers v1"/>
      <sheetName val="Output - Layers v2"/>
      <sheetName val="Output - Amort Bases"/>
      <sheetName val="Gain-Loss"/>
      <sheetName val="Exports"/>
      <sheetName val="Prelim FY19"/>
      <sheetName val="Letter Checks"/>
    </sheetNames>
    <sheetDataSet>
      <sheetData sheetId="0"/>
      <sheetData sheetId="1"/>
      <sheetData sheetId="2"/>
      <sheetData sheetId="3"/>
      <sheetData sheetId="4"/>
      <sheetData sheetId="5"/>
      <sheetData sheetId="6"/>
      <sheetData sheetId="7">
        <row r="173">
          <cell r="K173">
            <v>45940141</v>
          </cell>
          <cell r="Z173">
            <v>3441439116</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VA Total"/>
      <sheetName val="Inputs LY"/>
      <sheetName val="Inputs TY"/>
      <sheetName val="New Entrant data 2021"/>
      <sheetName val="New Entrant data 2020"/>
      <sheetName val="Asset Allocation FINAL 2019"/>
      <sheetName val="Asset Allocation FINAL 2020"/>
      <sheetName val="Asset Allocation FINAL 2021"/>
      <sheetName val="Asset Allocation Pre-AOP"/>
      <sheetName val="2. ChgsNetFidPos-BERS 2020"/>
      <sheetName val="2. ChgsNetFidPos-BERS 2021"/>
      <sheetName val="Input Amort Bases"/>
      <sheetName val="ProVal L0"/>
      <sheetName val="ProVal L1"/>
      <sheetName val="ProVal L2"/>
      <sheetName val="ProVal L3"/>
      <sheetName val="ProVal L4"/>
      <sheetName val="ProVal L5"/>
      <sheetName val="ProVal L6"/>
      <sheetName val="ProVal L7"/>
      <sheetName val="Final FY19"/>
      <sheetName val="FINAL FY20"/>
      <sheetName val="Final FY21"/>
      <sheetName val="Prelim FY22 L0 PreAOP"/>
      <sheetName val="Prelim FY22 L0"/>
      <sheetName val="Prelim FY22 L1"/>
      <sheetName val="Prelim FY22 L2"/>
      <sheetName val="Prelim FY22 L3"/>
      <sheetName val="Final FY22"/>
      <sheetName val="Prelim FY23 L0"/>
      <sheetName val="Prelim FY23 L1"/>
      <sheetName val="T6 FWL"/>
      <sheetName val="Prelim FY23 L2"/>
      <sheetName val="Prelim FY23 L3"/>
      <sheetName val="Final FY23"/>
      <sheetName val="TDA 2020 7.00"/>
      <sheetName val="TDA 2020 7.00 (2)"/>
      <sheetName val="TDA 2021 7.00"/>
      <sheetName val="Output - Tot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37">
          <cell r="J237">
            <v>225133367</v>
          </cell>
          <cell r="K237">
            <v>8318195</v>
          </cell>
        </row>
      </sheetData>
      <sheetData sheetId="35"/>
      <sheetData sheetId="36"/>
      <sheetData sheetId="37"/>
      <sheetData sheetId="38"/>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TLI Prelim FY21"/>
      <sheetName val="Inputs TY"/>
      <sheetName val="Asset Allocation FINAL 2019"/>
      <sheetName val="Asset Allocation FINAL 2020"/>
      <sheetName val="Asset Allocation Pre-AOP"/>
      <sheetName val="2. ChgsNetFidPos-BERS 2020"/>
      <sheetName val="2. ChgsNetFidPos-BERS 2021"/>
      <sheetName val="Input Amort Bases"/>
      <sheetName val="ProVal L0"/>
      <sheetName val="Prelim FY20"/>
      <sheetName val="Updated Prelim FY20"/>
      <sheetName val="Updated Prelim AVA Change FY20"/>
      <sheetName val="ProVal L1"/>
      <sheetName val="ProVal L2"/>
      <sheetName val="ProVal L3"/>
      <sheetName val="Final FY19"/>
      <sheetName val="FINAL FY20"/>
      <sheetName val="Prelim FY21"/>
      <sheetName val="Upd Prelim FY21"/>
      <sheetName val="Upd Prelim FY21 L1"/>
      <sheetName val="Upd Prelim FY21 L2"/>
      <sheetName val="Upd Prelim FY21 L3"/>
      <sheetName val="Final FY21"/>
      <sheetName val="Prelim FY22 L0 PreAOP"/>
      <sheetName val="Prelim FY22 L0"/>
      <sheetName val="Prelim FY22 L1"/>
      <sheetName val="Prelim FY22 L2"/>
      <sheetName val="Prelim FY22 L3"/>
      <sheetName val="Final FY22"/>
      <sheetName val="TDA 2020 7.00"/>
      <sheetName val="TDA 2020 7.00 (2)"/>
      <sheetName val="Output - Tot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200">
          <cell r="J200">
            <v>252456383</v>
          </cell>
          <cell r="K200">
            <v>9822515</v>
          </cell>
        </row>
      </sheetData>
      <sheetData sheetId="29"/>
      <sheetData sheetId="30"/>
      <sheetData sheetId="3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ckups for Sherry Prelim FY21"/>
      <sheetName val="Inputs"/>
      <sheetName val="Input Amort Bases"/>
      <sheetName val="Asset Allocation FINAL"/>
      <sheetName val="ProVal L0"/>
      <sheetName val="ProVal L1"/>
      <sheetName val="ProVal L2"/>
      <sheetName val="ProVal L3"/>
      <sheetName val="Prelim FY19"/>
      <sheetName val="Final FY19"/>
      <sheetName val="Prelim FY20"/>
      <sheetName val="Updated Prelim FY20"/>
      <sheetName val="Updated Prelim AVA Change FY20"/>
      <sheetName val="ProVal L4"/>
      <sheetName val="FINAL FY20"/>
      <sheetName val="Prelim FY21"/>
      <sheetName val="Upd Prelim FY21"/>
      <sheetName val="Upd Prelim FY21 L1"/>
      <sheetName val="Upd Prelim FY21 L2"/>
      <sheetName val="Upd Prelim FY21 L3"/>
      <sheetName val="Prelim FY21 fixing admin exp"/>
      <sheetName val="Upd Prelim FY21 L4"/>
      <sheetName val="TDA due to from"/>
      <sheetName val="Output - Totals"/>
      <sheetName val="TDA Due to From Calculator"/>
      <sheetName val="Expo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89">
          <cell r="J189">
            <v>173910386</v>
          </cell>
          <cell r="K189">
            <v>8944605</v>
          </cell>
        </row>
      </sheetData>
      <sheetData sheetId="22"/>
      <sheetData sheetId="23"/>
      <sheetData sheetId="24"/>
      <sheetData sheetId="25"/>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page"/>
      <sheetName val="Cover Page"/>
      <sheetName val="1a. FiduNetPos-FIRE"/>
      <sheetName val="1b. FiduNetPos-FFVSF"/>
      <sheetName val="1c. FiduNetPos-FOVSF"/>
      <sheetName val="2a. ChgsNetFidPos-FIRE"/>
      <sheetName val="2b. ChgsNetFidPos-FFVSF"/>
      <sheetName val="2c. ChgsNetFidPos-FOVSF"/>
      <sheetName val="3. MV Assets"/>
      <sheetName val="4. L-T RoR"/>
      <sheetName val="5a. Asset Gain-Loss LY"/>
      <sheetName val="5b. Asset Gain-Loss TY"/>
      <sheetName val="6. EA-AAL-NC"/>
      <sheetName val="7a(1)NPL-ChgsTotal @6-30-LY"/>
      <sheetName val="7a(2)NPL-ChgsQPP @6-30-LY"/>
      <sheetName val="7a(3)NPL-Chgs FFVSF @6-30-LY"/>
      <sheetName val="7a(4)NPL-Chgs FOVSF@ 6-30-LY"/>
      <sheetName val="7a(5)NPL-ChgsSummary@6-30-LY"/>
      <sheetName val="7b(1)NPL-ChgsTotal @6-30-TY"/>
      <sheetName val="7b(2)NPL-Chgs QPP @6-30-TY"/>
      <sheetName val="7b(3)NPL-Chgs FFVSF @6-30-TY"/>
      <sheetName val="7b(4)NPL-Chgs FOVSF@6-30-TY"/>
      <sheetName val="7b(5)NPL-Chgs Summary@6-30-TY"/>
      <sheetName val="8. Sch_Cha_NPL_Ratios"/>
      <sheetName val="9. SchedEmplrContrib"/>
      <sheetName val="10. Expected Future WorkLife"/>
      <sheetName val="11a. DefExperience"/>
      <sheetName val="11b. DefAssumptions"/>
      <sheetName val="11c. DefInvestEarnings"/>
      <sheetName val="12a. Pension Expense LY"/>
      <sheetName val="12b. Pension Expense TY"/>
      <sheetName val="13. Defer"/>
      <sheetName val="13. Defer Total"/>
      <sheetName val="Checks"/>
    </sheetNames>
    <sheetDataSet>
      <sheetData sheetId="0">
        <row r="7">
          <cell r="T7">
            <v>1348006398</v>
          </cell>
        </row>
      </sheetData>
      <sheetData sheetId="1"/>
      <sheetData sheetId="2"/>
      <sheetData sheetId="3"/>
      <sheetData sheetId="4"/>
      <sheetData sheetId="5">
        <row r="13">
          <cell r="J13">
            <v>1436977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Page"/>
      <sheetName val="Cover Page"/>
      <sheetName val="1a. FiduNetPos-POL"/>
      <sheetName val="1b. FiduNetPos-POVSF"/>
      <sheetName val="1c. FiduNetPos-PSOVSF"/>
      <sheetName val="2a. ChgsNetFidPos-POL"/>
      <sheetName val="2b. ChgsNetFidPos-POVSF"/>
      <sheetName val="2c. ChgsNetFidPos-PSOVSF"/>
      <sheetName val="3. MV Assets"/>
      <sheetName val="4. L-T RoR (2)"/>
      <sheetName val="5a. Asset Gain-Loss LY"/>
      <sheetName val="5b. Asset Gain-Loss TY"/>
      <sheetName val="6. EA-AAL-NC"/>
      <sheetName val="7aNPL-Chgs Summary@6-30-LY"/>
      <sheetName val="7bNPL-Chgs Summary@6-30-TY"/>
      <sheetName val="8. Sch_Cha_NPL_Ratios"/>
      <sheetName val="9. SchedEmplrContrib"/>
      <sheetName val="10. Expected Future WorkLife"/>
      <sheetName val="11a. DefExperience"/>
      <sheetName val="11b. DefAssumptions"/>
      <sheetName val="11c. DefInvestEarnings"/>
      <sheetName val="12a. Pension Expense LY"/>
      <sheetName val="12b. Pension Expense TY"/>
      <sheetName val="13a. Defer"/>
      <sheetName val="13b.Defer Total"/>
    </sheetNames>
    <sheetDataSet>
      <sheetData sheetId="0">
        <row r="7">
          <cell r="Z7">
            <v>4316368272</v>
          </cell>
        </row>
      </sheetData>
      <sheetData sheetId="1"/>
      <sheetData sheetId="2"/>
      <sheetData sheetId="3"/>
      <sheetData sheetId="4"/>
      <sheetData sheetId="5">
        <row r="13">
          <cell r="J13">
            <v>2333707</v>
          </cell>
        </row>
      </sheetData>
      <sheetData sheetId="6"/>
      <sheetData sheetId="7"/>
      <sheetData sheetId="8"/>
      <sheetData sheetId="9">
        <row r="15">
          <cell r="E15">
            <v>5.5E-2</v>
          </cell>
        </row>
        <row r="16">
          <cell r="E16">
            <v>6.0999999999999999E-2</v>
          </cell>
        </row>
        <row r="17">
          <cell r="E17">
            <v>7.6999999999999999E-2</v>
          </cell>
        </row>
        <row r="18">
          <cell r="E18">
            <v>3.2000000000000001E-2</v>
          </cell>
        </row>
        <row r="21">
          <cell r="E21">
            <v>0.109</v>
          </cell>
        </row>
        <row r="22">
          <cell r="E22">
            <v>5.2999999999999999E-2</v>
          </cell>
        </row>
        <row r="23">
          <cell r="E23">
            <v>7.8E-2</v>
          </cell>
        </row>
        <row r="24">
          <cell r="E24">
            <v>4.5999999999999999E-2</v>
          </cell>
        </row>
        <row r="25">
          <cell r="E25">
            <v>0.06</v>
          </cell>
        </row>
      </sheetData>
      <sheetData sheetId="10"/>
      <sheetData sheetId="11"/>
      <sheetData sheetId="12"/>
      <sheetData sheetId="13"/>
      <sheetData sheetId="14">
        <row r="29">
          <cell r="N29">
            <v>51798672000</v>
          </cell>
        </row>
      </sheetData>
      <sheetData sheetId="15">
        <row r="10">
          <cell r="G10">
            <v>1418720101</v>
          </cell>
        </row>
        <row r="11">
          <cell r="G11">
            <v>4257712941</v>
          </cell>
        </row>
        <row r="12">
          <cell r="G12">
            <v>62622008</v>
          </cell>
        </row>
        <row r="13">
          <cell r="G13">
            <v>563620501</v>
          </cell>
        </row>
        <row r="14">
          <cell r="G14">
            <v>0</v>
          </cell>
        </row>
        <row r="15">
          <cell r="G15">
            <v>-4290430000</v>
          </cell>
        </row>
        <row r="18">
          <cell r="G18">
            <v>61514803295</v>
          </cell>
        </row>
        <row r="19">
          <cell r="G19">
            <v>63527048846</v>
          </cell>
        </row>
        <row r="22">
          <cell r="G22">
            <v>2333707000</v>
          </cell>
        </row>
        <row r="23">
          <cell r="G23">
            <v>267720000</v>
          </cell>
        </row>
        <row r="24">
          <cell r="G24">
            <v>4396487000</v>
          </cell>
        </row>
        <row r="25">
          <cell r="G25">
            <v>-4290430000</v>
          </cell>
        </row>
        <row r="26">
          <cell r="G26">
            <v>-30348000</v>
          </cell>
        </row>
        <row r="27">
          <cell r="G27">
            <v>4458000</v>
          </cell>
        </row>
        <row r="38">
          <cell r="G38">
            <v>4316368272</v>
          </cell>
        </row>
      </sheetData>
      <sheetData sheetId="16"/>
      <sheetData sheetId="17">
        <row r="11">
          <cell r="C11">
            <v>34655</v>
          </cell>
        </row>
        <row r="12">
          <cell r="C12">
            <v>2125</v>
          </cell>
        </row>
        <row r="13">
          <cell r="C13">
            <v>1214</v>
          </cell>
        </row>
        <row r="14">
          <cell r="C14">
            <v>53608</v>
          </cell>
        </row>
      </sheetData>
      <sheetData sheetId="18"/>
      <sheetData sheetId="19"/>
      <sheetData sheetId="20"/>
      <sheetData sheetId="21"/>
      <sheetData sheetId="22">
        <row r="21">
          <cell r="I21">
            <v>2088867354</v>
          </cell>
        </row>
      </sheetData>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Workpage"/>
      <sheetName val="Cover Page"/>
      <sheetName val="1a. FiduNetPos-FIRE"/>
      <sheetName val="1b. FiduNetPos-FFVSF"/>
      <sheetName val="1c. FiduNetPos-FOVSF"/>
      <sheetName val="2a. ChgsNetFidPos-FIRE"/>
      <sheetName val="2b. ChgsNetFidPos-FFVSF"/>
      <sheetName val="2c. ChgsNetFidPos-FOVSF"/>
      <sheetName val="3. MV Assets"/>
      <sheetName val="4. L-T RoR"/>
      <sheetName val="5a. Asset Gain-Loss LY"/>
      <sheetName val="5b. Asset Gain-Loss TY"/>
      <sheetName val="6. EA-AAL-NC"/>
      <sheetName val="7a(1)NPL-ChgsTotal @6-30-LY"/>
      <sheetName val="7a(2)NPL-ChgsQPP @6-30-LY"/>
      <sheetName val="7a(3)NPL-Chgs FFVSF @6-30-LY"/>
      <sheetName val="7a(4)NPL-Chgs FOVSF@ 6-30-LY"/>
      <sheetName val="7a(5)NPL-ChgsSummary@6-30-LY"/>
      <sheetName val="7b(1)NPL-ChgsTotal @6-30-TY"/>
      <sheetName val="7b(2)NPL-Chgs QPP @6-30-TY"/>
      <sheetName val="7b(3)NPL-Chgs FFVSF @6-30-TY"/>
      <sheetName val="7b(4)NPL-Chgs FOVSF@6-30-TY"/>
      <sheetName val="7b(5)NPL-Chgs Summary@6-30-TY"/>
      <sheetName val="8. Sch_Cha_NPL_Ratios"/>
      <sheetName val="9. SchedEmplrContrib"/>
      <sheetName val="10. Expected Future WorkLife"/>
      <sheetName val="11a. DefExperience"/>
      <sheetName val="11b. DefAssumptions"/>
      <sheetName val="11c. DefInvestEarnings"/>
      <sheetName val="12a. Pension Expense LY"/>
      <sheetName val="12b. Pension Expense TY"/>
      <sheetName val="13. Defer"/>
      <sheetName val="13. Defer Total"/>
      <sheetName val="Checks"/>
    </sheetNames>
    <sheetDataSet>
      <sheetData sheetId="0">
        <row r="7">
          <cell r="T7">
            <v>1438282242</v>
          </cell>
        </row>
      </sheetData>
      <sheetData sheetId="1"/>
      <sheetData sheetId="2"/>
      <sheetData sheetId="3"/>
      <sheetData sheetId="4"/>
      <sheetData sheetId="5"/>
      <sheetData sheetId="6"/>
      <sheetData sheetId="7"/>
      <sheetData sheetId="8"/>
      <sheetData sheetId="9">
        <row r="15">
          <cell r="E15">
            <v>5.5E-2</v>
          </cell>
        </row>
        <row r="16">
          <cell r="E16">
            <v>5.7000000000000002E-2</v>
          </cell>
        </row>
        <row r="17">
          <cell r="E17">
            <v>0.10199999999999999</v>
          </cell>
        </row>
        <row r="18">
          <cell r="E18">
            <v>2.8000000000000001E-2</v>
          </cell>
        </row>
        <row r="21">
          <cell r="E21">
            <v>0.10100000000000001</v>
          </cell>
        </row>
        <row r="22">
          <cell r="E22">
            <v>4.5062473347547982E-2</v>
          </cell>
        </row>
        <row r="23">
          <cell r="E23">
            <v>0.05</v>
          </cell>
        </row>
        <row r="24">
          <cell r="E24">
            <v>4.2999999999999997E-2</v>
          </cell>
        </row>
        <row r="25">
          <cell r="E25">
            <v>6.7000000000000004E-2</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0">
          <cell r="G10">
            <v>592612807</v>
          </cell>
        </row>
        <row r="11">
          <cell r="G11">
            <v>1781262396</v>
          </cell>
        </row>
        <row r="12">
          <cell r="G12">
            <v>36205947</v>
          </cell>
        </row>
        <row r="13">
          <cell r="G13">
            <v>340357109</v>
          </cell>
        </row>
        <row r="14">
          <cell r="G14">
            <v>0</v>
          </cell>
        </row>
        <row r="15">
          <cell r="G15">
            <v>-1776549000</v>
          </cell>
        </row>
        <row r="18">
          <cell r="G18">
            <v>25727293585</v>
          </cell>
        </row>
        <row r="19">
          <cell r="G19">
            <v>26701182844</v>
          </cell>
        </row>
        <row r="22">
          <cell r="G22">
            <v>1423679000</v>
          </cell>
        </row>
        <row r="23">
          <cell r="G23">
            <v>118264000</v>
          </cell>
        </row>
        <row r="24">
          <cell r="G24">
            <v>1426616000</v>
          </cell>
        </row>
        <row r="25">
          <cell r="G25">
            <v>-1776549000</v>
          </cell>
        </row>
        <row r="26">
          <cell r="G26">
            <v>-13020000</v>
          </cell>
        </row>
        <row r="27">
          <cell r="G27">
            <v>838000</v>
          </cell>
        </row>
        <row r="38">
          <cell r="G38">
            <v>1438282242</v>
          </cell>
        </row>
      </sheetData>
      <sheetData sheetId="24">
        <row r="9">
          <cell r="G9">
            <v>1423600.676</v>
          </cell>
        </row>
      </sheetData>
      <sheetData sheetId="25">
        <row r="11">
          <cell r="C11">
            <v>10685</v>
          </cell>
        </row>
        <row r="12">
          <cell r="C12">
            <v>0</v>
          </cell>
        </row>
        <row r="13">
          <cell r="C13">
            <v>71</v>
          </cell>
        </row>
        <row r="14">
          <cell r="C14">
            <v>16717</v>
          </cell>
        </row>
      </sheetData>
      <sheetData sheetId="26"/>
      <sheetData sheetId="27"/>
      <sheetData sheetId="28"/>
      <sheetData sheetId="29"/>
      <sheetData sheetId="30">
        <row r="21">
          <cell r="I21">
            <v>1369456311</v>
          </cell>
        </row>
      </sheetData>
      <sheetData sheetId="31"/>
      <sheetData sheetId="32"/>
      <sheetData sheetId="3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 Gate"/>
      <sheetName val=" PO_AppendixA"/>
      <sheetName val="PSO_AppendixA"/>
      <sheetName val="Allocation %"/>
      <sheetName val="SKIMProval"/>
      <sheetName val="PO_BOT_wABOGate"/>
      <sheetName val="PSO_BOT_wABOGate"/>
      <sheetName val="PO_BOT_Published"/>
      <sheetName val="PSO_BOT_Published"/>
    </sheetNames>
    <sheetDataSet>
      <sheetData sheetId="0"/>
      <sheetData sheetId="1"/>
      <sheetData sheetId="2"/>
      <sheetData sheetId="3"/>
      <sheetData sheetId="4">
        <row r="6">
          <cell r="B6">
            <v>22523</v>
          </cell>
          <cell r="C6">
            <v>12132</v>
          </cell>
        </row>
        <row r="10">
          <cell r="D10">
            <v>13693</v>
          </cell>
          <cell r="E10">
            <v>21618</v>
          </cell>
        </row>
      </sheetData>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 Gate"/>
      <sheetName val="Allocation %"/>
      <sheetName val="FF_Comptroller"/>
      <sheetName val="FO_Comptroller"/>
      <sheetName val="FF_BOT_Published"/>
      <sheetName val="FO_BOT_Published"/>
      <sheetName val="SKIMProval"/>
    </sheetNames>
    <sheetDataSet>
      <sheetData sheetId="0" refreshError="1"/>
      <sheetData sheetId="1" refreshError="1"/>
      <sheetData sheetId="2" refreshError="1"/>
      <sheetData sheetId="3" refreshError="1"/>
      <sheetData sheetId="4" refreshError="1"/>
      <sheetData sheetId="5" refreshError="1"/>
      <sheetData sheetId="6">
        <row r="6">
          <cell r="B6">
            <v>8159</v>
          </cell>
          <cell r="C6">
            <v>2526</v>
          </cell>
        </row>
        <row r="10">
          <cell r="D10">
            <v>3121</v>
          </cell>
          <cell r="E10">
            <v>1514</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
    </sheetNames>
    <sheetDataSet>
      <sheetData sheetId="0">
        <row r="12">
          <cell r="U12">
            <v>3456774822</v>
          </cell>
        </row>
        <row r="13">
          <cell r="U13">
            <v>3086081819</v>
          </cell>
        </row>
        <row r="14">
          <cell r="U14">
            <v>233546202</v>
          </cell>
        </row>
        <row r="15">
          <cell r="U15">
            <v>2333707108</v>
          </cell>
        </row>
        <row r="16">
          <cell r="U16">
            <v>1423600676</v>
          </cell>
        </row>
        <row r="20">
          <cell r="U20">
            <v>2044823607</v>
          </cell>
        </row>
        <row r="21">
          <cell r="U21">
            <v>2982558730</v>
          </cell>
        </row>
        <row r="22">
          <cell r="U22">
            <v>233451563</v>
          </cell>
        </row>
        <row r="23">
          <cell r="U23">
            <v>2333707108</v>
          </cell>
        </row>
        <row r="24">
          <cell r="U24">
            <v>1423600676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217B0-DAC2-447F-855A-4799983B1958}">
  <sheetPr>
    <tabColor rgb="FFFFC000"/>
  </sheetPr>
  <dimension ref="B1:R41"/>
  <sheetViews>
    <sheetView showGridLines="0" tabSelected="1" topLeftCell="I1" zoomScale="110" zoomScaleNormal="110" zoomScaleSheetLayoutView="90" workbookViewId="0">
      <selection activeCell="H1" sqref="A1:H1048576"/>
    </sheetView>
  </sheetViews>
  <sheetFormatPr defaultColWidth="9.140625" defaultRowHeight="12.75"/>
  <cols>
    <col min="1" max="1" width="0" style="30" hidden="1" customWidth="1"/>
    <col min="2" max="7" width="13.5703125" style="30" hidden="1" customWidth="1"/>
    <col min="8" max="8" width="0" style="30" hidden="1" customWidth="1"/>
    <col min="9" max="11" width="9.140625" style="30"/>
    <col min="12" max="12" width="49.42578125" style="30" customWidth="1"/>
    <col min="13" max="16384" width="9.140625" style="30"/>
  </cols>
  <sheetData>
    <row r="1" spans="2:18">
      <c r="J1" s="30" t="s">
        <v>24</v>
      </c>
      <c r="K1" s="30">
        <v>2022</v>
      </c>
    </row>
    <row r="3" spans="2:18">
      <c r="B3" s="142"/>
      <c r="C3" s="143"/>
      <c r="D3" s="143"/>
      <c r="E3" s="143"/>
      <c r="F3" s="143"/>
      <c r="G3" s="144"/>
      <c r="L3" s="176" t="s">
        <v>292</v>
      </c>
    </row>
    <row r="4" spans="2:18">
      <c r="B4" s="266" t="s">
        <v>9</v>
      </c>
      <c r="C4" s="267"/>
      <c r="D4" s="267"/>
      <c r="E4" s="267"/>
      <c r="F4" s="267"/>
      <c r="G4" s="268"/>
    </row>
    <row r="5" spans="2:18">
      <c r="B5" s="145"/>
      <c r="C5" s="126"/>
      <c r="D5" s="126"/>
      <c r="E5" s="126"/>
      <c r="F5" s="126"/>
      <c r="G5" s="146"/>
    </row>
    <row r="6" spans="2:18" ht="15" customHeight="1">
      <c r="B6" s="264" t="s">
        <v>0</v>
      </c>
      <c r="C6" s="270" t="s">
        <v>1</v>
      </c>
      <c r="D6" s="271"/>
      <c r="E6" s="271"/>
      <c r="F6" s="271"/>
      <c r="G6" s="272"/>
    </row>
    <row r="7" spans="2:18">
      <c r="B7" s="269"/>
      <c r="C7" s="264" t="s">
        <v>2</v>
      </c>
      <c r="D7" s="264" t="s">
        <v>305</v>
      </c>
      <c r="E7" s="264" t="s">
        <v>329</v>
      </c>
      <c r="F7" s="264" t="s">
        <v>16</v>
      </c>
      <c r="G7" s="264" t="s">
        <v>3</v>
      </c>
      <c r="M7" s="179" t="s">
        <v>4</v>
      </c>
      <c r="N7" s="179" t="s">
        <v>5</v>
      </c>
      <c r="O7" s="179" t="s">
        <v>6</v>
      </c>
      <c r="P7" s="179" t="s">
        <v>7</v>
      </c>
      <c r="Q7" s="179" t="s">
        <v>8</v>
      </c>
      <c r="R7" s="179" t="s">
        <v>3</v>
      </c>
    </row>
    <row r="8" spans="2:18">
      <c r="B8" s="265"/>
      <c r="C8" s="265"/>
      <c r="D8" s="265"/>
      <c r="E8" s="265"/>
      <c r="F8" s="265"/>
      <c r="G8" s="265"/>
      <c r="L8" s="168" t="s">
        <v>334</v>
      </c>
    </row>
    <row r="9" spans="2:18">
      <c r="B9" s="127"/>
      <c r="C9" s="151"/>
      <c r="D9" s="127"/>
      <c r="F9" s="127"/>
      <c r="G9" s="127"/>
      <c r="L9" s="30" t="s">
        <v>278</v>
      </c>
      <c r="M9" s="169">
        <f>F11</f>
        <v>166631</v>
      </c>
      <c r="N9" s="169">
        <f>+F12</f>
        <v>92282</v>
      </c>
      <c r="O9" s="169">
        <f>F13</f>
        <v>20481</v>
      </c>
      <c r="P9" s="169">
        <f>F14</f>
        <v>53608</v>
      </c>
      <c r="Q9" s="169">
        <f>F15</f>
        <v>16717</v>
      </c>
      <c r="R9" s="169">
        <f>SUM(M9:Q9)</f>
        <v>349719</v>
      </c>
    </row>
    <row r="10" spans="2:18">
      <c r="B10" s="147">
        <f>Year</f>
        <v>2022</v>
      </c>
      <c r="C10" s="151"/>
      <c r="D10" s="128"/>
      <c r="F10" s="128"/>
      <c r="G10" s="128"/>
      <c r="L10" s="30" t="s">
        <v>330</v>
      </c>
      <c r="M10" s="169">
        <f>E11</f>
        <v>29080</v>
      </c>
      <c r="N10" s="169">
        <f>E12</f>
        <v>19630</v>
      </c>
      <c r="O10" s="169">
        <f>E13</f>
        <v>2410</v>
      </c>
      <c r="P10" s="169">
        <f>E14</f>
        <v>1214</v>
      </c>
      <c r="Q10" s="169">
        <f>E15</f>
        <v>71</v>
      </c>
      <c r="R10" s="169">
        <f t="shared" ref="R10:R13" si="0">SUM(M10:Q10)</f>
        <v>52405</v>
      </c>
    </row>
    <row r="11" spans="2:18">
      <c r="B11" s="148" t="s">
        <v>4</v>
      </c>
      <c r="C11" s="129">
        <f>'[2]10. Expected Future WorkLife'!$B$11</f>
        <v>179596</v>
      </c>
      <c r="D11" s="129">
        <f>'[2]10. Expected Future WorkLife'!$B$12</f>
        <v>36636</v>
      </c>
      <c r="E11" s="130">
        <f>'[2]10. Expected Future WorkLife'!$B$13</f>
        <v>29080</v>
      </c>
      <c r="F11" s="129">
        <f>'[2]10. Expected Future WorkLife'!$B$14</f>
        <v>166631</v>
      </c>
      <c r="G11" s="129">
        <f>SUM(C11:F11)</f>
        <v>411943</v>
      </c>
      <c r="L11" s="30" t="s">
        <v>306</v>
      </c>
      <c r="M11" s="169">
        <f>D11</f>
        <v>36636</v>
      </c>
      <c r="N11" s="169">
        <f>D12</f>
        <v>5106</v>
      </c>
      <c r="O11" s="169">
        <f>D13</f>
        <v>9245</v>
      </c>
      <c r="P11" s="169">
        <f>D14</f>
        <v>2125</v>
      </c>
      <c r="Q11" s="169">
        <f>D15</f>
        <v>0</v>
      </c>
      <c r="R11" s="169">
        <f t="shared" si="0"/>
        <v>53112</v>
      </c>
    </row>
    <row r="12" spans="2:18" ht="15">
      <c r="B12" s="148" t="s">
        <v>5</v>
      </c>
      <c r="C12" s="129">
        <f>'[3]10. Expected Future WorkLife'!$C$12</f>
        <v>123674</v>
      </c>
      <c r="D12" s="129">
        <f>'[3]10. Expected Future WorkLife'!$C$13</f>
        <v>5106</v>
      </c>
      <c r="E12" s="130">
        <f>'[3]10. Expected Future WorkLife'!$C$14</f>
        <v>19630</v>
      </c>
      <c r="F12" s="129">
        <f>'[3]10. Expected Future WorkLife'!$C$15</f>
        <v>92282</v>
      </c>
      <c r="G12" s="129">
        <f>SUM(C12:F12)</f>
        <v>240692</v>
      </c>
      <c r="L12" s="30" t="s">
        <v>279</v>
      </c>
      <c r="M12" s="170">
        <f>C11</f>
        <v>179596</v>
      </c>
      <c r="N12" s="170">
        <f>C12</f>
        <v>123674</v>
      </c>
      <c r="O12" s="170">
        <f>C13</f>
        <v>25639</v>
      </c>
      <c r="P12" s="170">
        <f>C14</f>
        <v>34655</v>
      </c>
      <c r="Q12" s="170">
        <f>C15</f>
        <v>10685</v>
      </c>
      <c r="R12" s="170">
        <f t="shared" si="0"/>
        <v>374249</v>
      </c>
    </row>
    <row r="13" spans="2:18">
      <c r="B13" s="148" t="s">
        <v>6</v>
      </c>
      <c r="C13" s="129">
        <f>'[4]10. Expected Future WorkLife'!$C$11</f>
        <v>25639</v>
      </c>
      <c r="D13" s="129">
        <f>'[4]10. Expected Future WorkLife'!$C$12</f>
        <v>9245</v>
      </c>
      <c r="E13" s="130">
        <f>'[4]10. Expected Future WorkLife'!$C$13</f>
        <v>2410</v>
      </c>
      <c r="F13" s="129">
        <f>'[4]10. Expected Future WorkLife'!$C$14</f>
        <v>20481</v>
      </c>
      <c r="G13" s="129">
        <f>SUM(C13:F13)</f>
        <v>57775</v>
      </c>
      <c r="L13" s="30" t="s">
        <v>280</v>
      </c>
      <c r="M13" s="169">
        <f>G11</f>
        <v>411943</v>
      </c>
      <c r="N13" s="169">
        <f>G12</f>
        <v>240692</v>
      </c>
      <c r="O13" s="169">
        <f>G13</f>
        <v>57775</v>
      </c>
      <c r="P13" s="169">
        <f>G14</f>
        <v>91602</v>
      </c>
      <c r="Q13" s="169">
        <f>G15</f>
        <v>27473</v>
      </c>
      <c r="R13" s="169">
        <f t="shared" si="0"/>
        <v>829485</v>
      </c>
    </row>
    <row r="14" spans="2:18">
      <c r="B14" s="148" t="s">
        <v>7</v>
      </c>
      <c r="C14" s="129">
        <f>'[5]10. Expected Future WorkLife'!$C$11</f>
        <v>34655</v>
      </c>
      <c r="D14" s="129">
        <f>'[5]10. Expected Future WorkLife'!$C$12</f>
        <v>2125</v>
      </c>
      <c r="E14" s="130">
        <f>'[5]10. Expected Future WorkLife'!$C$13</f>
        <v>1214</v>
      </c>
      <c r="F14" s="129">
        <f>'[5]10. Expected Future WorkLife'!$C$14</f>
        <v>53608</v>
      </c>
      <c r="G14" s="129">
        <f>SUM(C14:F14)</f>
        <v>91602</v>
      </c>
      <c r="M14" s="169"/>
      <c r="N14" s="169"/>
      <c r="O14" s="169"/>
      <c r="P14" s="169"/>
      <c r="Q14" s="169"/>
      <c r="R14" s="169"/>
    </row>
    <row r="15" spans="2:18" ht="15">
      <c r="B15" s="148" t="s">
        <v>8</v>
      </c>
      <c r="C15" s="131">
        <f>'[6]10. Expected Future WorkLife'!$C$11</f>
        <v>10685</v>
      </c>
      <c r="D15" s="131">
        <f>'[6]10. Expected Future WorkLife'!$C$12</f>
        <v>0</v>
      </c>
      <c r="E15" s="152">
        <f>'[6]10. Expected Future WorkLife'!$C$13</f>
        <v>71</v>
      </c>
      <c r="F15" s="131">
        <f>'[6]10. Expected Future WorkLife'!$C$14</f>
        <v>16717</v>
      </c>
      <c r="G15" s="131">
        <f>SUM(C15:F15)</f>
        <v>27473</v>
      </c>
      <c r="H15" s="169"/>
    </row>
    <row r="16" spans="2:18">
      <c r="B16" s="149" t="s">
        <v>3</v>
      </c>
      <c r="C16" s="129">
        <f>SUM(C11:C15)</f>
        <v>374249</v>
      </c>
      <c r="D16" s="129">
        <f>SUM(D11:D15)</f>
        <v>53112</v>
      </c>
      <c r="E16" s="129">
        <f>SUM(E11:E15)</f>
        <v>52405</v>
      </c>
      <c r="F16" s="129">
        <f>SUM(F11:F15)</f>
        <v>349719</v>
      </c>
      <c r="G16" s="129">
        <f>SUM(G11:G15)</f>
        <v>829485</v>
      </c>
      <c r="M16" s="179" t="s">
        <v>4</v>
      </c>
      <c r="N16" s="179" t="s">
        <v>5</v>
      </c>
      <c r="O16" s="179" t="s">
        <v>6</v>
      </c>
      <c r="P16" s="179" t="s">
        <v>7</v>
      </c>
      <c r="Q16" s="179" t="s">
        <v>8</v>
      </c>
      <c r="R16" s="179" t="s">
        <v>3</v>
      </c>
    </row>
    <row r="17" spans="2:18">
      <c r="B17" s="149"/>
      <c r="C17" s="153"/>
      <c r="D17" s="129"/>
      <c r="E17" s="130"/>
      <c r="F17" s="129"/>
      <c r="G17" s="129"/>
      <c r="L17" s="168" t="s">
        <v>313</v>
      </c>
      <c r="M17" s="168"/>
      <c r="N17" s="168"/>
      <c r="O17" s="168"/>
      <c r="P17" s="168"/>
      <c r="Q17" s="168"/>
      <c r="R17" s="168"/>
    </row>
    <row r="18" spans="2:18">
      <c r="B18" s="147">
        <f>Year-1</f>
        <v>2021</v>
      </c>
      <c r="C18" s="151"/>
      <c r="D18" s="128"/>
      <c r="F18" s="128"/>
      <c r="G18" s="128"/>
      <c r="L18" s="30" t="s">
        <v>278</v>
      </c>
      <c r="M18" s="169">
        <f>F19</f>
        <v>162149</v>
      </c>
      <c r="N18" s="169">
        <f>+F20</f>
        <v>89997</v>
      </c>
      <c r="O18" s="169">
        <f>F21</f>
        <v>19448</v>
      </c>
      <c r="P18" s="169">
        <f>F22</f>
        <v>52837</v>
      </c>
      <c r="Q18" s="169">
        <f>F23</f>
        <v>16578</v>
      </c>
      <c r="R18" s="169">
        <f>SUM(M18:Q18)</f>
        <v>341009</v>
      </c>
    </row>
    <row r="19" spans="2:18">
      <c r="B19" s="148" t="s">
        <v>4</v>
      </c>
      <c r="C19" s="129">
        <v>185732</v>
      </c>
      <c r="D19" s="129">
        <v>32058</v>
      </c>
      <c r="E19" s="130">
        <v>26383</v>
      </c>
      <c r="F19" s="129">
        <v>162149</v>
      </c>
      <c r="G19" s="129">
        <f t="shared" ref="G19:G23" si="1">SUM(C19:F19)</f>
        <v>406322</v>
      </c>
      <c r="L19" s="30" t="s">
        <v>330</v>
      </c>
      <c r="M19" s="169">
        <f>E19</f>
        <v>26383</v>
      </c>
      <c r="N19" s="169">
        <f>E20</f>
        <v>15128</v>
      </c>
      <c r="O19" s="169">
        <f>E21</f>
        <v>1972</v>
      </c>
      <c r="P19" s="169">
        <f>E22</f>
        <v>851</v>
      </c>
      <c r="Q19" s="169">
        <f>E23</f>
        <v>62</v>
      </c>
      <c r="R19" s="169">
        <f t="shared" ref="R19:R22" si="2">SUM(M19:Q19)</f>
        <v>44396</v>
      </c>
    </row>
    <row r="20" spans="2:18">
      <c r="B20" s="148" t="s">
        <v>5</v>
      </c>
      <c r="C20" s="129">
        <v>123211</v>
      </c>
      <c r="D20" s="129">
        <v>4574</v>
      </c>
      <c r="E20" s="130">
        <v>15128</v>
      </c>
      <c r="F20" s="129">
        <v>89997</v>
      </c>
      <c r="G20" s="129">
        <f t="shared" si="1"/>
        <v>232910</v>
      </c>
      <c r="L20" s="30" t="s">
        <v>306</v>
      </c>
      <c r="M20" s="169">
        <f>D19</f>
        <v>32058</v>
      </c>
      <c r="N20" s="169">
        <f>D20</f>
        <v>4574</v>
      </c>
      <c r="O20" s="169">
        <f>D21</f>
        <v>8922</v>
      </c>
      <c r="P20" s="169">
        <f>D22</f>
        <v>1713</v>
      </c>
      <c r="Q20" s="228">
        <f>D23</f>
        <v>2</v>
      </c>
      <c r="R20" s="169">
        <f t="shared" si="2"/>
        <v>47269</v>
      </c>
    </row>
    <row r="21" spans="2:18" ht="15">
      <c r="B21" s="148" t="s">
        <v>6</v>
      </c>
      <c r="C21" s="129">
        <v>27556</v>
      </c>
      <c r="D21" s="129">
        <v>8922</v>
      </c>
      <c r="E21" s="130">
        <v>1972</v>
      </c>
      <c r="F21" s="129">
        <v>19448</v>
      </c>
      <c r="G21" s="129">
        <f t="shared" si="1"/>
        <v>57898</v>
      </c>
      <c r="L21" s="30" t="s">
        <v>279</v>
      </c>
      <c r="M21" s="170">
        <f>C19</f>
        <v>185732</v>
      </c>
      <c r="N21" s="170">
        <f>C20</f>
        <v>123211</v>
      </c>
      <c r="O21" s="170">
        <f>C21</f>
        <v>27556</v>
      </c>
      <c r="P21" s="170">
        <f>C22</f>
        <v>35006</v>
      </c>
      <c r="Q21" s="170">
        <f>C23</f>
        <v>10793</v>
      </c>
      <c r="R21" s="170">
        <f t="shared" si="2"/>
        <v>382298</v>
      </c>
    </row>
    <row r="22" spans="2:18">
      <c r="B22" s="148" t="s">
        <v>7</v>
      </c>
      <c r="C22" s="129">
        <v>35006</v>
      </c>
      <c r="D22" s="129">
        <v>1713</v>
      </c>
      <c r="E22" s="130">
        <v>851</v>
      </c>
      <c r="F22" s="129">
        <v>52837</v>
      </c>
      <c r="G22" s="129">
        <f t="shared" si="1"/>
        <v>90407</v>
      </c>
      <c r="L22" s="30" t="s">
        <v>280</v>
      </c>
      <c r="M22" s="169">
        <f>G19</f>
        <v>406322</v>
      </c>
      <c r="N22" s="169">
        <f>G20</f>
        <v>232910</v>
      </c>
      <c r="O22" s="169">
        <f>G21</f>
        <v>57898</v>
      </c>
      <c r="P22" s="169">
        <f>G22</f>
        <v>90407</v>
      </c>
      <c r="Q22" s="169">
        <f>G23</f>
        <v>27435</v>
      </c>
      <c r="R22" s="169">
        <f t="shared" si="2"/>
        <v>814972</v>
      </c>
    </row>
    <row r="23" spans="2:18" ht="15">
      <c r="B23" s="226" t="s">
        <v>8</v>
      </c>
      <c r="C23" s="131">
        <v>10793</v>
      </c>
      <c r="D23" s="227">
        <v>2</v>
      </c>
      <c r="E23" s="152">
        <v>62</v>
      </c>
      <c r="F23" s="131">
        <v>16578</v>
      </c>
      <c r="G23" s="131">
        <f t="shared" si="1"/>
        <v>27435</v>
      </c>
      <c r="M23" s="169"/>
      <c r="N23" s="169"/>
      <c r="O23" s="169"/>
      <c r="P23" s="169"/>
      <c r="Q23" s="169"/>
      <c r="R23" s="169"/>
    </row>
    <row r="24" spans="2:18">
      <c r="B24" s="149" t="s">
        <v>3</v>
      </c>
      <c r="C24" s="129">
        <f>SUM(C19:C23)</f>
        <v>382298</v>
      </c>
      <c r="D24" s="129">
        <f>SUM(D19:D23)</f>
        <v>47269</v>
      </c>
      <c r="E24" s="129">
        <f>SUM(E19:E23)</f>
        <v>44396</v>
      </c>
      <c r="F24" s="129">
        <f>SUM(F19:F23)</f>
        <v>341009</v>
      </c>
      <c r="G24" s="129">
        <f>SUM(G19:G23)</f>
        <v>814972</v>
      </c>
    </row>
    <row r="25" spans="2:18" hidden="1">
      <c r="B25" s="149"/>
      <c r="C25" s="153"/>
      <c r="D25" s="129"/>
      <c r="E25" s="130"/>
      <c r="F25" s="129"/>
      <c r="G25" s="129"/>
      <c r="M25" s="179"/>
      <c r="N25" s="179"/>
      <c r="O25" s="179"/>
      <c r="P25" s="179"/>
      <c r="Q25" s="179"/>
      <c r="R25" s="179"/>
    </row>
    <row r="26" spans="2:18" hidden="1">
      <c r="B26" s="147">
        <f>Year-2</f>
        <v>2020</v>
      </c>
      <c r="C26" s="151"/>
      <c r="D26" s="128"/>
      <c r="F26" s="128"/>
      <c r="G26" s="128"/>
      <c r="L26" s="168"/>
    </row>
    <row r="27" spans="2:18" hidden="1">
      <c r="B27" s="148" t="s">
        <v>4</v>
      </c>
      <c r="C27" s="129">
        <v>190572</v>
      </c>
      <c r="D27" s="129">
        <v>28483</v>
      </c>
      <c r="E27" s="130">
        <v>21389</v>
      </c>
      <c r="F27" s="129">
        <v>154116</v>
      </c>
      <c r="G27" s="129">
        <f>SUM(C27:F27)</f>
        <v>394560</v>
      </c>
      <c r="M27" s="169"/>
      <c r="N27" s="169"/>
      <c r="O27" s="169"/>
      <c r="P27" s="169"/>
      <c r="Q27" s="169"/>
      <c r="R27" s="169"/>
    </row>
    <row r="28" spans="2:18" hidden="1">
      <c r="B28" s="148" t="s">
        <v>5</v>
      </c>
      <c r="C28" s="129">
        <v>121764</v>
      </c>
      <c r="D28" s="129">
        <v>9416</v>
      </c>
      <c r="E28" s="130">
        <v>16433</v>
      </c>
      <c r="F28" s="129">
        <v>86295</v>
      </c>
      <c r="G28" s="129">
        <f>SUM(C28:F28)</f>
        <v>233908</v>
      </c>
      <c r="M28" s="169"/>
      <c r="N28" s="169"/>
      <c r="O28" s="169"/>
      <c r="P28" s="169"/>
      <c r="Q28" s="169"/>
      <c r="R28" s="169"/>
    </row>
    <row r="29" spans="2:18" hidden="1">
      <c r="B29" s="148" t="s">
        <v>6</v>
      </c>
      <c r="C29" s="129">
        <v>25864</v>
      </c>
      <c r="D29" s="129">
        <v>10525</v>
      </c>
      <c r="E29" s="130">
        <v>1934</v>
      </c>
      <c r="F29" s="129">
        <v>18041</v>
      </c>
      <c r="G29" s="129">
        <f>SUM(C29:F29)</f>
        <v>56364</v>
      </c>
      <c r="M29" s="169"/>
      <c r="N29" s="169"/>
      <c r="O29" s="169"/>
      <c r="P29" s="169"/>
      <c r="Q29" s="169"/>
      <c r="R29" s="169"/>
    </row>
    <row r="30" spans="2:18" ht="15" hidden="1">
      <c r="B30" s="148" t="s">
        <v>7</v>
      </c>
      <c r="C30" s="129">
        <v>36562</v>
      </c>
      <c r="D30" s="129">
        <v>1940</v>
      </c>
      <c r="E30" s="130">
        <v>491</v>
      </c>
      <c r="F30" s="129">
        <v>50124</v>
      </c>
      <c r="G30" s="132">
        <f>SUM(C30:F30)</f>
        <v>89117</v>
      </c>
      <c r="M30" s="170"/>
      <c r="N30" s="170"/>
      <c r="O30" s="170"/>
      <c r="P30" s="170"/>
      <c r="Q30" s="170"/>
      <c r="R30" s="170"/>
    </row>
    <row r="31" spans="2:18" ht="15" hidden="1">
      <c r="B31" s="148" t="s">
        <v>8</v>
      </c>
      <c r="C31" s="131">
        <v>11237</v>
      </c>
      <c r="D31" s="131">
        <v>35</v>
      </c>
      <c r="E31" s="152">
        <v>68</v>
      </c>
      <c r="F31" s="131">
        <v>16593</v>
      </c>
      <c r="G31" s="131">
        <f>SUM(C31:F31)</f>
        <v>27933</v>
      </c>
      <c r="M31" s="169"/>
      <c r="N31" s="169"/>
      <c r="O31" s="169"/>
      <c r="P31" s="169"/>
      <c r="Q31" s="169"/>
      <c r="R31" s="169"/>
    </row>
    <row r="32" spans="2:18" hidden="1">
      <c r="B32" s="149" t="s">
        <v>3</v>
      </c>
      <c r="C32" s="129">
        <f>SUM(C27:C31)</f>
        <v>385999</v>
      </c>
      <c r="D32" s="129">
        <f>SUM(D27:D31)</f>
        <v>50399</v>
      </c>
      <c r="E32" s="129">
        <f>SUM(E27:E31)</f>
        <v>40315</v>
      </c>
      <c r="F32" s="129">
        <f>SUM(F27:F31)</f>
        <v>325169</v>
      </c>
      <c r="G32" s="129">
        <f>SUM(G27:G31)</f>
        <v>801882</v>
      </c>
    </row>
    <row r="33" spans="2:11">
      <c r="B33" s="150"/>
      <c r="C33" s="154"/>
      <c r="D33" s="155"/>
      <c r="E33" s="156"/>
      <c r="F33" s="155"/>
      <c r="G33" s="155"/>
    </row>
    <row r="35" spans="2:11" ht="15.75">
      <c r="B35" s="30" t="s">
        <v>326</v>
      </c>
    </row>
    <row r="36" spans="2:11">
      <c r="B36" s="30" t="s">
        <v>327</v>
      </c>
    </row>
    <row r="37" spans="2:11" ht="15" customHeight="1">
      <c r="B37" s="30" t="s">
        <v>328</v>
      </c>
      <c r="C37" s="31"/>
      <c r="D37" s="31"/>
    </row>
    <row r="38" spans="2:11">
      <c r="K38" s="108"/>
    </row>
    <row r="39" spans="2:11">
      <c r="B39" s="31"/>
      <c r="C39" s="31"/>
      <c r="D39" s="31"/>
      <c r="E39" s="31"/>
      <c r="F39" s="31"/>
      <c r="G39" s="31"/>
    </row>
    <row r="41" spans="2:11" ht="15" customHeight="1"/>
  </sheetData>
  <mergeCells count="8">
    <mergeCell ref="G7:G8"/>
    <mergeCell ref="B4:G4"/>
    <mergeCell ref="B6:B8"/>
    <mergeCell ref="C6:G6"/>
    <mergeCell ref="C7:C8"/>
    <mergeCell ref="D7:D8"/>
    <mergeCell ref="E7:E8"/>
    <mergeCell ref="F7:F8"/>
  </mergeCells>
  <printOptions horizontalCentered="1"/>
  <pageMargins left="0.7" right="0.7" top="0.75" bottom="0.75" header="0.3" footer="0.3"/>
  <pageSetup scale="79" orientation="portrait" r:id="rId1"/>
  <headerFooter>
    <oddFooter>&amp;L&amp;Z
&amp;F&amp;CNYC Office of the Actuary&amp;R&amp;D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CA6B2-D3C2-4B90-B619-BD4254796193}">
  <sheetPr>
    <tabColor theme="8" tint="0.59999389629810485"/>
    <pageSetUpPr fitToPage="1"/>
  </sheetPr>
  <dimension ref="B3:T15"/>
  <sheetViews>
    <sheetView showGridLines="0" zoomScale="85" zoomScaleNormal="85" zoomScaleSheetLayoutView="100" workbookViewId="0">
      <selection activeCell="U42" sqref="U42"/>
    </sheetView>
  </sheetViews>
  <sheetFormatPr defaultColWidth="9.140625" defaultRowHeight="15"/>
  <cols>
    <col min="1" max="1" width="9.140625" style="1"/>
    <col min="2" max="2" width="2.7109375" style="1" customWidth="1"/>
    <col min="3" max="3" width="20.7109375" style="1" customWidth="1"/>
    <col min="4" max="4" width="11.7109375" style="1" customWidth="1"/>
    <col min="5" max="5" width="1.7109375" style="1" customWidth="1"/>
    <col min="6" max="6" width="11.7109375" style="1" customWidth="1"/>
    <col min="7" max="7" width="1.7109375" style="1" customWidth="1"/>
    <col min="8" max="8" width="11.7109375" style="1" customWidth="1"/>
    <col min="9" max="9" width="1.7109375" style="1" customWidth="1"/>
    <col min="10" max="10" width="11.7109375" style="1" customWidth="1"/>
    <col min="11" max="11" width="1.7109375" style="1" customWidth="1"/>
    <col min="12" max="12" width="11.7109375" style="1" customWidth="1"/>
    <col min="13" max="13" width="1.7109375" style="1" customWidth="1"/>
    <col min="14" max="14" width="11.7109375" style="1" customWidth="1"/>
    <col min="15" max="15" width="1.85546875" style="1" customWidth="1"/>
    <col min="16" max="16384" width="9.140625" style="1"/>
  </cols>
  <sheetData>
    <row r="3" spans="2:20" ht="18.75">
      <c r="B3" s="308" t="s">
        <v>72</v>
      </c>
      <c r="C3" s="308"/>
      <c r="D3" s="308"/>
      <c r="E3" s="308"/>
      <c r="F3" s="308"/>
      <c r="G3" s="308"/>
      <c r="H3" s="308"/>
      <c r="I3" s="308"/>
      <c r="J3" s="308"/>
      <c r="K3" s="308"/>
      <c r="L3" s="308"/>
      <c r="M3" s="308"/>
      <c r="N3" s="308"/>
    </row>
    <row r="5" spans="2:20">
      <c r="C5" s="108"/>
      <c r="D5" s="312" t="s">
        <v>345</v>
      </c>
      <c r="E5" s="312"/>
      <c r="F5" s="312"/>
      <c r="G5" s="312"/>
      <c r="H5" s="312"/>
      <c r="I5" s="118"/>
      <c r="J5" s="312" t="s">
        <v>318</v>
      </c>
      <c r="K5" s="312"/>
      <c r="L5" s="312"/>
      <c r="M5" s="312"/>
      <c r="N5" s="312"/>
      <c r="O5" s="60"/>
      <c r="R5" s="8"/>
      <c r="S5" s="8"/>
      <c r="T5" s="8"/>
    </row>
    <row r="6" spans="2:20">
      <c r="C6" s="108"/>
      <c r="D6" s="111"/>
      <c r="E6" s="111"/>
      <c r="F6" s="111" t="s">
        <v>63</v>
      </c>
      <c r="G6" s="111"/>
      <c r="H6" s="111"/>
      <c r="I6" s="118"/>
      <c r="J6" s="111"/>
      <c r="K6" s="111"/>
      <c r="L6" s="111" t="s">
        <v>63</v>
      </c>
      <c r="M6" s="111"/>
      <c r="N6" s="111"/>
      <c r="O6" s="60"/>
      <c r="R6" s="8"/>
      <c r="S6" s="8"/>
      <c r="T6" s="8"/>
    </row>
    <row r="7" spans="2:20">
      <c r="C7" s="108"/>
      <c r="D7" s="119" t="s">
        <v>68</v>
      </c>
      <c r="E7" s="111"/>
      <c r="F7" s="111" t="s">
        <v>64</v>
      </c>
      <c r="G7" s="111"/>
      <c r="H7" s="119" t="s">
        <v>69</v>
      </c>
      <c r="I7" s="118"/>
      <c r="J7" s="111" t="s">
        <v>68</v>
      </c>
      <c r="K7" s="111"/>
      <c r="L7" s="111" t="s">
        <v>64</v>
      </c>
      <c r="M7" s="111"/>
      <c r="N7" s="111" t="s">
        <v>69</v>
      </c>
      <c r="O7" s="60"/>
      <c r="R7" s="8"/>
      <c r="S7" s="8"/>
      <c r="T7" s="8"/>
    </row>
    <row r="8" spans="2:20">
      <c r="C8" s="108"/>
      <c r="D8" s="110" t="s">
        <v>66</v>
      </c>
      <c r="E8" s="111"/>
      <c r="F8" s="110" t="s">
        <v>65</v>
      </c>
      <c r="G8" s="111"/>
      <c r="H8" s="110" t="s">
        <v>67</v>
      </c>
      <c r="I8" s="118"/>
      <c r="J8" s="120" t="s">
        <v>66</v>
      </c>
      <c r="K8" s="111"/>
      <c r="L8" s="120" t="s">
        <v>65</v>
      </c>
      <c r="M8" s="111"/>
      <c r="N8" s="120" t="s">
        <v>67</v>
      </c>
      <c r="O8" s="60"/>
    </row>
    <row r="9" spans="2:20">
      <c r="C9" s="118" t="s">
        <v>223</v>
      </c>
      <c r="D9" s="111"/>
      <c r="E9" s="111"/>
      <c r="F9" s="111"/>
      <c r="G9" s="111"/>
      <c r="H9" s="313" t="s">
        <v>70</v>
      </c>
      <c r="I9" s="313"/>
      <c r="J9" s="313"/>
      <c r="K9" s="111"/>
      <c r="L9" s="111"/>
      <c r="M9" s="111"/>
      <c r="N9" s="111"/>
      <c r="O9" s="60"/>
    </row>
    <row r="10" spans="2:20">
      <c r="C10" s="108"/>
      <c r="D10" s="109"/>
      <c r="E10" s="109"/>
      <c r="F10" s="109"/>
      <c r="G10" s="109"/>
      <c r="H10" s="109"/>
      <c r="I10" s="108"/>
      <c r="J10" s="109"/>
      <c r="K10" s="109"/>
      <c r="L10" s="109"/>
      <c r="M10" s="109"/>
      <c r="N10" s="109"/>
    </row>
    <row r="11" spans="2:20">
      <c r="C11" s="108" t="s">
        <v>224</v>
      </c>
      <c r="D11" s="113">
        <f>ROUND('[15]6. EA-AAL-NC'!$F$19*'9-Page 156'!D9,-6)/1000000</f>
        <v>17102</v>
      </c>
      <c r="E11" s="113"/>
      <c r="F11" s="113">
        <f>ROUND('[15]6. EA-AAL-NC'!$H$19*'9-Page 156'!D9,-6)/1000000</f>
        <v>10554</v>
      </c>
      <c r="G11" s="113"/>
      <c r="H11" s="113">
        <f>ROUND('[15]6. EA-AAL-NC'!$J$19*'9-Page 156'!D9,-6)/1000000</f>
        <v>5028</v>
      </c>
      <c r="I11" s="108"/>
      <c r="J11" s="113">
        <f>'[11]10'!D11</f>
        <v>17165</v>
      </c>
      <c r="K11" s="113"/>
      <c r="L11" s="113">
        <f>'[11]10'!F11</f>
        <v>10786</v>
      </c>
      <c r="M11" s="113"/>
      <c r="N11" s="113">
        <f>'[11]10'!H11</f>
        <v>5399</v>
      </c>
    </row>
    <row r="12" spans="2:20">
      <c r="C12" s="108" t="s">
        <v>225</v>
      </c>
      <c r="D12" s="113">
        <f>ROUND([16]TRS!$H$23*'9-Page 156'!$F$9,-6)/1000000</f>
        <v>22163</v>
      </c>
      <c r="E12" s="113"/>
      <c r="F12" s="113">
        <f>ROUND([16]TRS!$K$23*'9-Page 156'!$F$9,-6)/1000000</f>
        <v>13220</v>
      </c>
      <c r="G12" s="113"/>
      <c r="H12" s="113">
        <f>ROUND([16]TRS!$N$23*'9-Page 156'!$F$9,-6)/1000000</f>
        <v>5715</v>
      </c>
      <c r="I12" s="108"/>
      <c r="J12" s="113">
        <f>'[11]10'!D12</f>
        <v>22925</v>
      </c>
      <c r="K12" s="113"/>
      <c r="L12" s="113">
        <f>'[11]10'!F12</f>
        <v>14253</v>
      </c>
      <c r="M12" s="113"/>
      <c r="N12" s="113">
        <f>'[11]10'!H12</f>
        <v>6968</v>
      </c>
    </row>
    <row r="13" spans="2:20">
      <c r="C13" s="108" t="s">
        <v>226</v>
      </c>
      <c r="D13" s="113">
        <f>ROUND([16]BERS!$H$24*'9-Page 156'!$H$9,-6)/1000000</f>
        <v>802</v>
      </c>
      <c r="E13" s="113"/>
      <c r="F13" s="113">
        <f>ROUND([16]BERS!$K$24*'9-Page 156'!$H$9,-6)/1000000</f>
        <v>73</v>
      </c>
      <c r="G13" s="113"/>
      <c r="H13" s="113">
        <f>ROUND([16]BERS!$N$24*'9-Page 156'!$H$9,-6)/1000000</f>
        <v>-542</v>
      </c>
      <c r="I13" s="108"/>
      <c r="J13" s="113">
        <f>'[11]10'!D13</f>
        <v>837</v>
      </c>
      <c r="K13" s="113"/>
      <c r="L13" s="113">
        <f>'[11]10'!F13</f>
        <v>124</v>
      </c>
      <c r="M13" s="113"/>
      <c r="N13" s="113">
        <f>'[11]10'!H13</f>
        <v>-476</v>
      </c>
    </row>
    <row r="14" spans="2:20">
      <c r="C14" s="2"/>
      <c r="D14" s="113"/>
      <c r="E14" s="4"/>
      <c r="F14" s="4"/>
      <c r="G14" s="4"/>
      <c r="H14" s="4"/>
      <c r="I14" s="2"/>
      <c r="J14" s="4"/>
      <c r="K14" s="4"/>
      <c r="L14" s="4"/>
      <c r="M14" s="4"/>
      <c r="N14" s="4"/>
    </row>
    <row r="15" spans="2:20">
      <c r="J15" s="205"/>
      <c r="N15" s="206"/>
    </row>
  </sheetData>
  <mergeCells count="4">
    <mergeCell ref="B3:N3"/>
    <mergeCell ref="D5:H5"/>
    <mergeCell ref="J5:N5"/>
    <mergeCell ref="H9:J9"/>
  </mergeCells>
  <printOptions horizontalCentered="1"/>
  <pageMargins left="0.5" right="0" top="0.75" bottom="0.5" header="0.25" footer="0.25"/>
  <pageSetup orientation="landscape" r:id="rId1"/>
  <headerFooter>
    <oddFooter>&amp;L&amp;Z
&amp;F&amp;CNYC Office of the Actuary&amp;R&amp;D</oddFooter>
  </headerFooter>
  <ignoredErrors>
    <ignoredError sqref="D8 F8 H8 J8 L8 N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279E-820F-4FB5-8FEE-97FD77DBC840}">
  <sheetPr>
    <tabColor theme="8" tint="0.59999389629810485"/>
    <pageSetUpPr fitToPage="1"/>
  </sheetPr>
  <dimension ref="B3:H15"/>
  <sheetViews>
    <sheetView showGridLines="0" zoomScaleNormal="100" zoomScaleSheetLayoutView="100" workbookViewId="0">
      <selection activeCell="I28" sqref="I28"/>
    </sheetView>
  </sheetViews>
  <sheetFormatPr defaultColWidth="9.140625" defaultRowHeight="12.75"/>
  <cols>
    <col min="1" max="1" width="9.140625" style="108"/>
    <col min="2" max="2" width="2.7109375" style="108" customWidth="1"/>
    <col min="3" max="3" width="51.42578125" style="108" customWidth="1"/>
    <col min="4" max="4" width="0.7109375" style="108" customWidth="1"/>
    <col min="5" max="5" width="9.28515625" style="108" customWidth="1"/>
    <col min="6" max="6" width="1.7109375" style="108" customWidth="1"/>
    <col min="7" max="7" width="9.28515625" style="108" customWidth="1"/>
    <col min="8" max="8" width="1.7109375" style="108" customWidth="1"/>
    <col min="9" max="16384" width="9.140625" style="108"/>
  </cols>
  <sheetData>
    <row r="3" spans="2:8">
      <c r="B3" s="314" t="s">
        <v>346</v>
      </c>
      <c r="C3" s="314"/>
      <c r="D3" s="314"/>
      <c r="E3" s="314"/>
      <c r="F3" s="314"/>
      <c r="G3" s="314"/>
      <c r="H3" s="314"/>
    </row>
    <row r="4" spans="2:8">
      <c r="B4" s="315"/>
      <c r="C4" s="315"/>
      <c r="D4" s="315"/>
      <c r="E4" s="315"/>
      <c r="F4" s="315"/>
      <c r="G4" s="315"/>
      <c r="H4" s="315"/>
    </row>
    <row r="6" spans="2:8">
      <c r="D6" s="109"/>
      <c r="E6" s="110">
        <v>2023</v>
      </c>
      <c r="F6" s="111"/>
      <c r="G6" s="110">
        <v>2022</v>
      </c>
      <c r="H6" s="109"/>
    </row>
    <row r="7" spans="2:8">
      <c r="D7" s="109"/>
      <c r="E7" s="313" t="s">
        <v>70</v>
      </c>
      <c r="F7" s="313"/>
      <c r="G7" s="313"/>
      <c r="H7" s="109"/>
    </row>
    <row r="8" spans="2:8">
      <c r="C8" s="112" t="s">
        <v>222</v>
      </c>
      <c r="D8" s="109"/>
      <c r="E8" s="109"/>
      <c r="G8" s="109"/>
      <c r="H8" s="109"/>
    </row>
    <row r="9" spans="2:8">
      <c r="C9" s="108" t="s">
        <v>229</v>
      </c>
      <c r="D9" s="113"/>
      <c r="E9" s="113">
        <f>ROUND('[2]13b.Pen Exp Obligors TY'!$K$58,-6)/1000000</f>
        <v>2097</v>
      </c>
      <c r="G9" s="113">
        <f>ROUND('[17]13b.Pen Exp Obligors TY'!$K$58,-6)/1000000</f>
        <v>1521</v>
      </c>
      <c r="H9" s="113"/>
    </row>
    <row r="10" spans="2:8">
      <c r="C10" s="108" t="s">
        <v>230</v>
      </c>
      <c r="D10" s="113"/>
      <c r="E10" s="114">
        <f>ROUND('[3]13b. Pen Exp Obligors 6-30-TY'!$J$23+'[3]13b. Pen Exp Obligors 6-30-TY'!$L$23,-6)/1000000</f>
        <v>2897</v>
      </c>
      <c r="G10" s="114">
        <f>ROUND('[18]13b. Pen Exp Obligors 6-30-TY'!$J$23+'[18]13b. Pen Exp Obligors 6-30-TY'!$L$23,-6)/1000000</f>
        <v>1771</v>
      </c>
      <c r="H10" s="113"/>
    </row>
    <row r="11" spans="2:8">
      <c r="C11" s="108" t="s">
        <v>231</v>
      </c>
      <c r="D11" s="115"/>
      <c r="E11" s="115">
        <f>ROUND('[14]13d. Pen Exp Obligors 6-30-TY'!$I$23+'[14]13d. Pen Exp Obligors 6-30-TY'!$J$23,-6)/1000000</f>
        <v>289</v>
      </c>
      <c r="G11" s="115">
        <f>ROUND('[19]13b. Pen Exp Obligors 6-30-TY'!$I$23+'[19]13b. Pen Exp Obligors 6-30-TY'!$J$23,-6)/1000000</f>
        <v>235</v>
      </c>
      <c r="H11" s="115"/>
    </row>
    <row r="12" spans="2:8">
      <c r="C12" s="108" t="s">
        <v>232</v>
      </c>
      <c r="D12" s="115"/>
      <c r="E12" s="115">
        <f>ROUND('[5]12b. Pension Expense TY'!$I$21,-6)/1000000</f>
        <v>2089</v>
      </c>
      <c r="G12" s="115">
        <f>ROUND('[20]12b. Pension Expense TY'!$I$21,-6)/1000000</f>
        <v>1267</v>
      </c>
      <c r="H12" s="115"/>
    </row>
    <row r="13" spans="2:8">
      <c r="C13" s="108" t="s">
        <v>233</v>
      </c>
      <c r="D13" s="115"/>
      <c r="E13" s="116">
        <f>ROUND('[6]12b. Pension Expense TY'!$I$21,-6)/1000000</f>
        <v>1369</v>
      </c>
      <c r="G13" s="116">
        <f>ROUND('[21]12b. Pension Expense TY'!$I$21,-6)/1000000</f>
        <v>1055</v>
      </c>
      <c r="H13" s="115"/>
    </row>
    <row r="14" spans="2:8" ht="15">
      <c r="C14" s="108" t="s">
        <v>234</v>
      </c>
      <c r="D14" s="115"/>
      <c r="E14" s="117">
        <f>SUM(E9:E13)</f>
        <v>8741</v>
      </c>
      <c r="G14" s="117">
        <f>SUM(G9:G13)</f>
        <v>5849</v>
      </c>
      <c r="H14" s="115"/>
    </row>
    <row r="15" spans="2:8">
      <c r="D15" s="115"/>
      <c r="E15" s="115"/>
      <c r="G15" s="115"/>
      <c r="H15" s="115"/>
    </row>
  </sheetData>
  <mergeCells count="2">
    <mergeCell ref="E7:G7"/>
    <mergeCell ref="B3:H4"/>
  </mergeCells>
  <printOptions horizontalCentered="1"/>
  <pageMargins left="0.5" right="0" top="0.75" bottom="0.5" header="0.25" footer="0.25"/>
  <pageSetup orientation="portrait" r:id="rId1"/>
  <headerFooter>
    <oddFooter>&amp;L&amp;Z
&amp;F&amp;CNYC Office of the Actuary&amp;R&amp;D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5A45D-2C89-43B3-A27A-2CF41B1783BD}">
  <sheetPr>
    <tabColor theme="8" tint="0.59999389629810485"/>
    <pageSetUpPr fitToPage="1"/>
  </sheetPr>
  <dimension ref="A2:K14"/>
  <sheetViews>
    <sheetView showGridLines="0" zoomScale="140" zoomScaleNormal="140" zoomScaleSheetLayoutView="100" workbookViewId="0">
      <selection activeCell="E22" sqref="E22"/>
    </sheetView>
  </sheetViews>
  <sheetFormatPr defaultColWidth="9.140625" defaultRowHeight="12"/>
  <cols>
    <col min="1" max="1" width="1.140625" style="96" customWidth="1"/>
    <col min="2" max="2" width="10.140625" style="96" customWidth="1"/>
    <col min="3" max="3" width="8.5703125" style="96" customWidth="1"/>
    <col min="4" max="9" width="12.7109375" style="96" customWidth="1"/>
    <col min="10" max="16384" width="9.140625" style="96"/>
  </cols>
  <sheetData>
    <row r="2" spans="1:11">
      <c r="B2" s="317" t="s">
        <v>348</v>
      </c>
      <c r="C2" s="317"/>
      <c r="D2" s="317"/>
      <c r="E2" s="317"/>
      <c r="F2" s="317"/>
      <c r="G2" s="317"/>
      <c r="H2" s="317"/>
      <c r="I2" s="317"/>
    </row>
    <row r="3" spans="1:11">
      <c r="D3" s="97"/>
      <c r="E3" s="97"/>
      <c r="F3" s="97"/>
      <c r="G3" s="97"/>
      <c r="H3" s="97"/>
    </row>
    <row r="4" spans="1:11">
      <c r="B4" s="98"/>
      <c r="D4" s="99"/>
      <c r="E4" s="99"/>
      <c r="F4" s="99"/>
      <c r="G4" s="99"/>
      <c r="H4" s="99"/>
      <c r="I4" s="100"/>
    </row>
    <row r="5" spans="1:11">
      <c r="D5" s="101" t="s">
        <v>4</v>
      </c>
      <c r="E5" s="101" t="s">
        <v>5</v>
      </c>
      <c r="F5" s="101" t="s">
        <v>6</v>
      </c>
      <c r="G5" s="101" t="s">
        <v>83</v>
      </c>
      <c r="H5" s="101" t="s">
        <v>8</v>
      </c>
      <c r="I5" s="101" t="s">
        <v>76</v>
      </c>
    </row>
    <row r="6" spans="1:11">
      <c r="D6" s="316" t="s">
        <v>82</v>
      </c>
      <c r="E6" s="316"/>
      <c r="F6" s="316"/>
      <c r="G6" s="316"/>
      <c r="H6" s="316"/>
    </row>
    <row r="7" spans="1:11">
      <c r="A7" s="318" t="s">
        <v>84</v>
      </c>
      <c r="B7" s="318"/>
      <c r="C7" s="318"/>
      <c r="D7" s="318"/>
    </row>
    <row r="8" spans="1:11" ht="17.25" customHeight="1">
      <c r="B8" s="102">
        <v>2024</v>
      </c>
      <c r="C8" s="96" t="s">
        <v>212</v>
      </c>
      <c r="D8" s="103">
        <f>[23]Total!D33</f>
        <v>584027</v>
      </c>
      <c r="E8" s="103">
        <f>[23]Total!E33</f>
        <v>-1567776</v>
      </c>
      <c r="F8" s="103">
        <f>[23]Total!F33</f>
        <v>-146345</v>
      </c>
      <c r="G8" s="103">
        <f>[23]Total!G33</f>
        <v>356093</v>
      </c>
      <c r="H8" s="103">
        <f>[23]Total!H33</f>
        <v>263641</v>
      </c>
      <c r="I8" s="103">
        <f>SUM(D8:H8)</f>
        <v>-510360</v>
      </c>
      <c r="K8" s="104"/>
    </row>
    <row r="9" spans="1:11">
      <c r="B9" s="102">
        <f>B8+1</f>
        <v>2025</v>
      </c>
      <c r="C9" s="96" t="s">
        <v>212</v>
      </c>
      <c r="D9" s="105">
        <f>[23]Total!D34</f>
        <v>198747</v>
      </c>
      <c r="E9" s="105">
        <f>[23]Total!E34</f>
        <v>-1506410</v>
      </c>
      <c r="F9" s="105">
        <f>[23]Total!F34</f>
        <v>-110261</v>
      </c>
      <c r="G9" s="105">
        <f>[23]Total!G34</f>
        <v>52627</v>
      </c>
      <c r="H9" s="105">
        <f>[23]Total!H34</f>
        <v>119883</v>
      </c>
      <c r="I9" s="106">
        <f>SUM(D9:H9)</f>
        <v>-1245414</v>
      </c>
      <c r="K9" s="104"/>
    </row>
    <row r="10" spans="1:11">
      <c r="B10" s="102">
        <f t="shared" ref="B10:B12" si="0">B9+1</f>
        <v>2026</v>
      </c>
      <c r="C10" s="96" t="s">
        <v>212</v>
      </c>
      <c r="D10" s="105">
        <f>[23]Total!D35</f>
        <v>1659009</v>
      </c>
      <c r="E10" s="105">
        <f>[23]Total!E35</f>
        <v>1928333</v>
      </c>
      <c r="F10" s="105">
        <f>[23]Total!F35</f>
        <v>193144</v>
      </c>
      <c r="G10" s="105">
        <f>[23]Total!G35</f>
        <v>1710898</v>
      </c>
      <c r="H10" s="105">
        <f>[23]Total!H35</f>
        <v>667011</v>
      </c>
      <c r="I10" s="106">
        <f>SUM(D10:H10)</f>
        <v>6158395</v>
      </c>
      <c r="K10" s="104"/>
    </row>
    <row r="11" spans="1:11">
      <c r="B11" s="102">
        <f t="shared" si="0"/>
        <v>2027</v>
      </c>
      <c r="C11" s="96" t="s">
        <v>212</v>
      </c>
      <c r="D11" s="105">
        <f>[23]Total!D36</f>
        <v>73629</v>
      </c>
      <c r="E11" s="105">
        <f>[23]Total!E36</f>
        <v>-689363</v>
      </c>
      <c r="F11" s="105">
        <f>[23]Total!F36</f>
        <v>-63447</v>
      </c>
      <c r="G11" s="105">
        <f>[23]Total!G36</f>
        <v>-69064</v>
      </c>
      <c r="H11" s="105">
        <f>[23]Total!H36</f>
        <v>40337</v>
      </c>
      <c r="I11" s="106">
        <f t="shared" ref="I11:I12" si="1">SUM(D11:H11)</f>
        <v>-707908</v>
      </c>
      <c r="K11" s="104"/>
    </row>
    <row r="12" spans="1:11">
      <c r="B12" s="102">
        <f t="shared" si="0"/>
        <v>2028</v>
      </c>
      <c r="C12" s="96" t="s">
        <v>212</v>
      </c>
      <c r="D12" s="105">
        <f>[23]Total!D37</f>
        <v>65384</v>
      </c>
      <c r="E12" s="105">
        <f>[23]Total!E37</f>
        <v>-115586</v>
      </c>
      <c r="F12" s="105">
        <f>[23]Total!F37</f>
        <v>-1151</v>
      </c>
      <c r="G12" s="230">
        <f>[23]Total!G37</f>
        <v>0</v>
      </c>
      <c r="H12" s="105">
        <f>[23]Total!H37</f>
        <v>11827</v>
      </c>
      <c r="I12" s="106">
        <f t="shared" si="1"/>
        <v>-39526</v>
      </c>
      <c r="K12" s="104"/>
    </row>
    <row r="13" spans="1:11">
      <c r="B13" s="102" t="s">
        <v>85</v>
      </c>
      <c r="C13" s="96" t="s">
        <v>212</v>
      </c>
      <c r="D13" s="229">
        <f>[23]Total!D38</f>
        <v>0</v>
      </c>
      <c r="E13" s="99">
        <f>[23]Total!E38</f>
        <v>-14731</v>
      </c>
      <c r="F13" s="229">
        <f>[23]Total!F38</f>
        <v>0</v>
      </c>
      <c r="G13" s="229">
        <f>[23]Total!G38</f>
        <v>0</v>
      </c>
      <c r="H13" s="229">
        <f>[23]Total!H38</f>
        <v>0</v>
      </c>
      <c r="I13" s="218">
        <f>SUM(D13:H13)</f>
        <v>-14731</v>
      </c>
    </row>
    <row r="14" spans="1:11" ht="14.25">
      <c r="B14" s="102" t="s">
        <v>3</v>
      </c>
      <c r="C14" s="96" t="s">
        <v>212</v>
      </c>
      <c r="D14" s="107">
        <f t="shared" ref="D14:H14" si="2">+SUM(D8:D13)</f>
        <v>2580796</v>
      </c>
      <c r="E14" s="107">
        <f t="shared" si="2"/>
        <v>-1965533</v>
      </c>
      <c r="F14" s="107">
        <f t="shared" si="2"/>
        <v>-128060</v>
      </c>
      <c r="G14" s="107">
        <f t="shared" si="2"/>
        <v>2050554</v>
      </c>
      <c r="H14" s="107">
        <f t="shared" si="2"/>
        <v>1102699</v>
      </c>
      <c r="I14" s="107">
        <f>+SUM(I8:I13)</f>
        <v>3640456</v>
      </c>
    </row>
  </sheetData>
  <mergeCells count="3">
    <mergeCell ref="D6:H6"/>
    <mergeCell ref="B2:I2"/>
    <mergeCell ref="A7:D7"/>
  </mergeCells>
  <printOptions horizontalCentered="1"/>
  <pageMargins left="0.25" right="0.25" top="0.75" bottom="0.75" header="0.3" footer="0.3"/>
  <pageSetup orientation="landscape" r:id="rId1"/>
  <headerFooter>
    <oddFooter>&amp;L&amp;Z
&amp;F&amp;CNYC Office of the Actuary&amp;R&amp;D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E05EC-3265-4EC0-A72E-D073ABF11F80}">
  <sheetPr>
    <tabColor theme="8" tint="0.59999389629810485"/>
  </sheetPr>
  <dimension ref="B1:AC42"/>
  <sheetViews>
    <sheetView zoomScale="85" zoomScaleNormal="85" zoomScaleSheetLayoutView="85" workbookViewId="0">
      <selection activeCell="G16" sqref="G16"/>
    </sheetView>
  </sheetViews>
  <sheetFormatPr defaultColWidth="9.140625" defaultRowHeight="15"/>
  <cols>
    <col min="1" max="1" width="2.85546875" style="2" customWidth="1"/>
    <col min="2" max="2" width="3.7109375" style="2" customWidth="1"/>
    <col min="3" max="3" width="2.85546875" style="2" customWidth="1"/>
    <col min="4" max="4" width="13.5703125" style="2" customWidth="1"/>
    <col min="5" max="5" width="9.140625" style="2"/>
    <col min="6" max="7" width="19.7109375" style="2" customWidth="1"/>
    <col min="8" max="8" width="1.7109375" style="2" customWidth="1"/>
    <col min="9" max="9" width="19.7109375" style="2" customWidth="1"/>
    <col min="10" max="10" width="1.7109375" style="2" customWidth="1"/>
    <col min="11" max="11" width="19.7109375" style="2" customWidth="1"/>
    <col min="12" max="12" width="1.7109375" style="2" customWidth="1"/>
    <col min="13" max="13" width="19.7109375" style="2" customWidth="1"/>
    <col min="14" max="14" width="1.7109375" style="2" customWidth="1"/>
    <col min="15" max="15" width="21.42578125" style="2" customWidth="1"/>
    <col min="16" max="16" width="1.7109375" style="2" customWidth="1"/>
    <col min="17" max="17" width="21.42578125" style="2" customWidth="1"/>
    <col min="18" max="18" width="1.7109375" style="2" customWidth="1"/>
    <col min="19" max="19" width="21.42578125" style="2" customWidth="1"/>
    <col min="20" max="20" width="1.7109375" style="2" customWidth="1"/>
    <col min="21" max="21" width="21.42578125" style="2" customWidth="1"/>
    <col min="22" max="22" width="1.7109375" style="2" customWidth="1"/>
    <col min="23" max="23" width="21.42578125" style="2" customWidth="1"/>
    <col min="24" max="24" width="1.7109375" style="2" customWidth="1"/>
    <col min="25" max="25" width="21.42578125" style="2" customWidth="1"/>
    <col min="26" max="26" width="1.7109375" style="2" hidden="1" customWidth="1"/>
    <col min="27" max="27" width="21.42578125" style="2" hidden="1" customWidth="1"/>
    <col min="28" max="28" width="1.7109375" style="2" customWidth="1"/>
    <col min="29" max="16384" width="9.140625" style="2"/>
  </cols>
  <sheetData>
    <row r="1" spans="2:28">
      <c r="C1" s="58"/>
      <c r="D1" s="59"/>
      <c r="E1" s="59"/>
      <c r="F1" s="59"/>
      <c r="G1" s="59"/>
      <c r="H1" s="59"/>
      <c r="I1" s="59"/>
      <c r="J1" s="59"/>
      <c r="K1" s="59"/>
      <c r="L1" s="59"/>
      <c r="M1" s="59"/>
      <c r="N1" s="59"/>
      <c r="O1" s="60"/>
      <c r="P1" s="60"/>
      <c r="Q1" s="60"/>
      <c r="R1" s="60"/>
      <c r="S1" s="60"/>
      <c r="T1" s="60"/>
      <c r="U1" s="60"/>
      <c r="V1" s="60"/>
    </row>
    <row r="2" spans="2:28" ht="18.75">
      <c r="B2" s="61" t="s">
        <v>123</v>
      </c>
      <c r="C2" s="62"/>
      <c r="D2" s="62"/>
      <c r="E2" s="62"/>
      <c r="F2" s="62"/>
      <c r="G2" s="62"/>
      <c r="H2" s="62"/>
      <c r="I2" s="62"/>
      <c r="J2" s="62"/>
      <c r="K2" s="62"/>
      <c r="L2" s="62"/>
      <c r="M2" s="62"/>
      <c r="N2" s="62"/>
      <c r="O2" s="62"/>
      <c r="P2" s="62"/>
      <c r="Q2" s="62"/>
      <c r="R2" s="62"/>
      <c r="S2" s="62"/>
      <c r="T2" s="62"/>
      <c r="U2" s="62"/>
      <c r="V2" s="62"/>
      <c r="W2" s="62"/>
      <c r="X2" s="62"/>
      <c r="Y2" s="62"/>
      <c r="Z2" s="62"/>
      <c r="AA2" s="62"/>
      <c r="AB2" s="62"/>
    </row>
    <row r="3" spans="2:28" ht="15.75" thickBot="1"/>
    <row r="4" spans="2:28" ht="15.75" thickTop="1">
      <c r="B4" s="63"/>
      <c r="C4" s="64"/>
      <c r="D4" s="64"/>
      <c r="E4" s="64"/>
      <c r="F4" s="64"/>
      <c r="G4" s="64"/>
      <c r="H4" s="64"/>
      <c r="I4" s="64"/>
      <c r="J4" s="64"/>
      <c r="K4" s="64"/>
      <c r="L4" s="64"/>
      <c r="M4" s="64"/>
      <c r="N4" s="64"/>
      <c r="O4" s="64"/>
      <c r="P4" s="64"/>
      <c r="Q4" s="64"/>
      <c r="R4" s="64"/>
      <c r="S4" s="64"/>
      <c r="T4" s="64"/>
      <c r="U4" s="64"/>
      <c r="V4" s="64"/>
      <c r="W4" s="64"/>
      <c r="X4" s="64"/>
      <c r="Y4" s="64"/>
      <c r="Z4" s="64"/>
      <c r="AA4" s="64"/>
      <c r="AB4" s="65"/>
    </row>
    <row r="5" spans="2:28">
      <c r="B5" s="66"/>
      <c r="G5" s="219">
        <v>2023</v>
      </c>
      <c r="I5" s="219">
        <v>2022</v>
      </c>
      <c r="K5" s="67">
        <v>2021</v>
      </c>
      <c r="M5" s="67">
        <v>2020</v>
      </c>
      <c r="O5" s="67">
        <v>2019</v>
      </c>
      <c r="P5" s="67"/>
      <c r="Q5" s="67">
        <v>2018</v>
      </c>
      <c r="R5" s="67"/>
      <c r="S5" s="67">
        <v>2017</v>
      </c>
      <c r="T5" s="67"/>
      <c r="U5" s="67">
        <v>2016</v>
      </c>
      <c r="V5" s="67"/>
      <c r="W5" s="67">
        <v>2015</v>
      </c>
      <c r="X5" s="59"/>
      <c r="Y5" s="67">
        <v>2014</v>
      </c>
      <c r="Z5" s="67"/>
      <c r="AA5" s="67">
        <v>2013</v>
      </c>
      <c r="AB5" s="68"/>
    </row>
    <row r="6" spans="2:28">
      <c r="B6" s="69" t="s">
        <v>34</v>
      </c>
      <c r="C6" s="60" t="s">
        <v>86</v>
      </c>
      <c r="O6" s="6"/>
      <c r="P6" s="70"/>
      <c r="Q6" s="6"/>
      <c r="R6" s="70"/>
      <c r="S6" s="6"/>
      <c r="T6" s="6"/>
      <c r="V6" s="70"/>
      <c r="AB6" s="68"/>
    </row>
    <row r="7" spans="2:28">
      <c r="B7" s="69"/>
      <c r="C7" s="71" t="s">
        <v>36</v>
      </c>
      <c r="D7" s="9" t="s">
        <v>37</v>
      </c>
      <c r="G7" s="3">
        <f>'[5]8. Sch_Cha_NPL_Ratios'!G10</f>
        <v>1418720101</v>
      </c>
      <c r="I7" s="3">
        <f>'[20]7bNPL-Chgs Summary@6-30-TY'!N14</f>
        <v>1431720079</v>
      </c>
      <c r="K7" s="3">
        <f>'[24]7bNPL-Chgs Summary@6-30-TY'!N14</f>
        <v>1473815656</v>
      </c>
      <c r="M7" s="3">
        <v>1483109352</v>
      </c>
      <c r="O7" s="3">
        <v>1498909863</v>
      </c>
      <c r="P7" s="4"/>
      <c r="Q7" s="3">
        <v>1386278934</v>
      </c>
      <c r="R7" s="4"/>
      <c r="S7" s="3">
        <v>1320416462</v>
      </c>
      <c r="T7" s="3"/>
      <c r="U7" s="3">
        <v>1340614909</v>
      </c>
      <c r="V7" s="4"/>
      <c r="W7" s="3">
        <v>1325807839</v>
      </c>
      <c r="Y7" s="3">
        <v>1301753171</v>
      </c>
      <c r="AA7" s="3">
        <v>1263838030</v>
      </c>
      <c r="AB7" s="68"/>
    </row>
    <row r="8" spans="2:28">
      <c r="B8" s="69"/>
      <c r="C8" s="71" t="s">
        <v>38</v>
      </c>
      <c r="D8" s="9" t="s">
        <v>39</v>
      </c>
      <c r="G8" s="4">
        <f>'[5]8. Sch_Cha_NPL_Ratios'!G11</f>
        <v>4257712941</v>
      </c>
      <c r="I8" s="4">
        <f>'[20]7bNPL-Chgs Summary@6-30-TY'!N15</f>
        <v>4120230291</v>
      </c>
      <c r="K8" s="4">
        <f>'[24]7bNPL-Chgs Summary@6-30-TY'!N15</f>
        <v>3980110444</v>
      </c>
      <c r="M8" s="4">
        <v>3833636348</v>
      </c>
      <c r="O8" s="4">
        <v>3782996761</v>
      </c>
      <c r="P8" s="4"/>
      <c r="Q8" s="4">
        <v>3649115174</v>
      </c>
      <c r="R8" s="4"/>
      <c r="S8" s="4">
        <v>3524331362</v>
      </c>
      <c r="T8" s="4"/>
      <c r="U8" s="4">
        <v>3441398429</v>
      </c>
      <c r="V8" s="4"/>
      <c r="W8" s="4">
        <v>3245225246</v>
      </c>
      <c r="Y8" s="4">
        <v>3117317330</v>
      </c>
      <c r="AA8" s="4">
        <v>2998478091</v>
      </c>
      <c r="AB8" s="68"/>
    </row>
    <row r="9" spans="2:28">
      <c r="B9" s="69"/>
      <c r="C9" s="71" t="s">
        <v>40</v>
      </c>
      <c r="D9" s="9" t="s">
        <v>41</v>
      </c>
      <c r="G9" s="4">
        <f>'[5]8. Sch_Cha_NPL_Ratios'!G12</f>
        <v>62622008</v>
      </c>
      <c r="I9" s="4">
        <f>'[20]7bNPL-Chgs Summary@6-30-TY'!N16</f>
        <v>0</v>
      </c>
      <c r="K9" s="4">
        <f>'[24]7bNPL-Chgs Summary@6-30-TY'!N16</f>
        <v>0</v>
      </c>
      <c r="M9" s="4">
        <v>0</v>
      </c>
      <c r="O9" s="4">
        <v>0</v>
      </c>
      <c r="P9" s="4"/>
      <c r="Q9" s="4">
        <v>104671094</v>
      </c>
      <c r="R9" s="4"/>
      <c r="S9" s="4">
        <v>0</v>
      </c>
      <c r="T9" s="4"/>
      <c r="U9" s="4">
        <v>0</v>
      </c>
      <c r="V9" s="4"/>
      <c r="W9" s="4">
        <v>0</v>
      </c>
      <c r="Y9" s="4">
        <v>0</v>
      </c>
      <c r="AA9" s="4">
        <v>0</v>
      </c>
      <c r="AB9" s="68"/>
    </row>
    <row r="10" spans="2:28">
      <c r="B10" s="69"/>
      <c r="C10" s="71" t="s">
        <v>42</v>
      </c>
      <c r="D10" s="9" t="s">
        <v>43</v>
      </c>
      <c r="G10" s="4">
        <f>'[5]8. Sch_Cha_NPL_Ratios'!G13</f>
        <v>563620501</v>
      </c>
      <c r="I10" s="4">
        <f>'[20]7bNPL-Chgs Summary@6-30-TY'!N17</f>
        <v>473140931</v>
      </c>
      <c r="K10" s="4">
        <f>'[24]7bNPL-Chgs Summary@6-30-TY'!N17</f>
        <v>275949731</v>
      </c>
      <c r="M10" s="4">
        <v>441654144</v>
      </c>
      <c r="O10" s="4">
        <v>-818966821</v>
      </c>
      <c r="P10" s="4"/>
      <c r="Q10" s="4">
        <v>-144119939</v>
      </c>
      <c r="R10" s="4"/>
      <c r="S10" s="4">
        <v>-645248116</v>
      </c>
      <c r="T10" s="4"/>
      <c r="U10" s="4">
        <v>233461664</v>
      </c>
      <c r="V10" s="4"/>
      <c r="W10" s="4">
        <v>-215417691</v>
      </c>
      <c r="Y10" s="4">
        <v>0</v>
      </c>
      <c r="AA10" s="4">
        <v>0</v>
      </c>
      <c r="AB10" s="68"/>
    </row>
    <row r="11" spans="2:28">
      <c r="B11" s="69"/>
      <c r="C11" s="71" t="s">
        <v>44</v>
      </c>
      <c r="D11" s="9" t="s">
        <v>87</v>
      </c>
      <c r="G11" s="4">
        <f>'[5]8. Sch_Cha_NPL_Ratios'!G14</f>
        <v>0</v>
      </c>
      <c r="I11" s="4">
        <f>'[20]7bNPL-Chgs Summary@6-30-TY'!N18</f>
        <v>0</v>
      </c>
      <c r="K11" s="4">
        <f>'[24]7bNPL-Chgs Summary@6-30-TY'!N18</f>
        <v>136758940</v>
      </c>
      <c r="M11" s="4">
        <v>0</v>
      </c>
      <c r="O11" s="4">
        <v>-342401789</v>
      </c>
      <c r="P11" s="4"/>
      <c r="Q11" s="4">
        <v>0</v>
      </c>
      <c r="R11" s="4"/>
      <c r="S11" s="4">
        <v>0</v>
      </c>
      <c r="T11" s="4"/>
      <c r="U11" s="4">
        <v>794679950</v>
      </c>
      <c r="V11" s="4"/>
      <c r="W11" s="4">
        <v>0</v>
      </c>
      <c r="Y11" s="4">
        <v>0</v>
      </c>
      <c r="AA11" s="4">
        <v>0</v>
      </c>
      <c r="AB11" s="68"/>
    </row>
    <row r="12" spans="2:28">
      <c r="B12" s="69"/>
      <c r="C12" s="71" t="s">
        <v>45</v>
      </c>
      <c r="D12" s="9" t="s">
        <v>50</v>
      </c>
      <c r="G12" s="5">
        <f>'[5]8. Sch_Cha_NPL_Ratios'!G15</f>
        <v>-4290430000</v>
      </c>
      <c r="I12" s="5">
        <f>'[20]7bNPL-Chgs Summary@6-30-TY'!N19</f>
        <v>-3813713000</v>
      </c>
      <c r="K12" s="5">
        <f>'[24]7bNPL-Chgs Summary@6-30-TY'!N19</f>
        <v>-3831639000</v>
      </c>
      <c r="M12" s="5">
        <v>-3487402000</v>
      </c>
      <c r="O12" s="5">
        <v>-3278745000</v>
      </c>
      <c r="P12" s="4"/>
      <c r="Q12" s="5">
        <v>-3193553000</v>
      </c>
      <c r="R12" s="4"/>
      <c r="S12" s="5">
        <v>-2987000000</v>
      </c>
      <c r="T12" s="4"/>
      <c r="U12" s="5">
        <v>-2878451000</v>
      </c>
      <c r="V12" s="4"/>
      <c r="W12" s="5">
        <v>-2746784000</v>
      </c>
      <c r="Y12" s="5">
        <v>-2682223000</v>
      </c>
      <c r="AA12" s="5">
        <v>-2525475000</v>
      </c>
      <c r="AB12" s="68"/>
    </row>
    <row r="13" spans="2:28">
      <c r="B13" s="69"/>
      <c r="C13" s="72" t="s">
        <v>47</v>
      </c>
      <c r="D13" s="73" t="s">
        <v>53</v>
      </c>
      <c r="G13" s="6">
        <f>SUM(G7:G12)</f>
        <v>2012245551</v>
      </c>
      <c r="I13" s="6">
        <f>SUM(I7:I12)</f>
        <v>2211378301</v>
      </c>
      <c r="K13" s="6">
        <f>SUM(K7:K12)</f>
        <v>2034995771</v>
      </c>
      <c r="M13" s="6">
        <f>SUM(M7:M12)</f>
        <v>2270997844</v>
      </c>
      <c r="O13" s="6">
        <f>SUM(O7:O12)</f>
        <v>841793014</v>
      </c>
      <c r="P13" s="74"/>
      <c r="Q13" s="6">
        <f>SUM(Q7:Q12)</f>
        <v>1802392263</v>
      </c>
      <c r="R13" s="74"/>
      <c r="S13" s="6">
        <f>SUM(S7:S12)</f>
        <v>1212499708</v>
      </c>
      <c r="T13" s="6"/>
      <c r="U13" s="6">
        <f>SUM(U7:U12)</f>
        <v>2931703952</v>
      </c>
      <c r="V13" s="74"/>
      <c r="W13" s="6">
        <f>SUM(W7:W12)</f>
        <v>1608831394</v>
      </c>
      <c r="Y13" s="6">
        <f>SUM(Y7:Y12)</f>
        <v>1736847501</v>
      </c>
      <c r="AA13" s="6">
        <f>SUM(AA7:AA12)</f>
        <v>1736841121</v>
      </c>
      <c r="AB13" s="68"/>
    </row>
    <row r="14" spans="2:28">
      <c r="B14" s="69"/>
      <c r="G14" s="3"/>
      <c r="I14" s="3"/>
      <c r="K14" s="6"/>
      <c r="M14" s="6"/>
      <c r="O14" s="6"/>
      <c r="Q14" s="6"/>
      <c r="S14" s="6"/>
      <c r="T14" s="6"/>
      <c r="U14" s="6"/>
      <c r="W14" s="6"/>
      <c r="Y14" s="6"/>
      <c r="AA14" s="6"/>
      <c r="AB14" s="68"/>
    </row>
    <row r="15" spans="2:28">
      <c r="B15" s="75" t="s">
        <v>35</v>
      </c>
      <c r="C15" s="60" t="s">
        <v>88</v>
      </c>
      <c r="G15" s="6">
        <f>'[5]8. Sch_Cha_NPL_Ratios'!G18</f>
        <v>61514803295</v>
      </c>
      <c r="I15" s="6">
        <f>'[20]7bNPL-Chgs Summary@6-30-TY'!$N$11</f>
        <v>59303424994</v>
      </c>
      <c r="K15" s="6">
        <f>'[24]7bNPL-Chgs Summary@6-30-TY'!$N$11</f>
        <v>57268429223</v>
      </c>
      <c r="M15" s="6">
        <v>54997431379</v>
      </c>
      <c r="O15" s="6">
        <v>54155638365</v>
      </c>
      <c r="P15" s="70"/>
      <c r="Q15" s="6">
        <v>52353246102</v>
      </c>
      <c r="R15" s="70"/>
      <c r="S15" s="6">
        <v>51140746394</v>
      </c>
      <c r="T15" s="6"/>
      <c r="U15" s="6">
        <v>48209042442</v>
      </c>
      <c r="V15" s="70"/>
      <c r="W15" s="6">
        <v>46600211048</v>
      </c>
      <c r="Y15" s="6">
        <v>44549855738</v>
      </c>
      <c r="AA15" s="6">
        <v>42813014617</v>
      </c>
      <c r="AB15" s="68"/>
    </row>
    <row r="16" spans="2:28">
      <c r="B16" s="75" t="s">
        <v>54</v>
      </c>
      <c r="C16" s="60" t="s">
        <v>89</v>
      </c>
      <c r="G16" s="6">
        <f>'[5]8. Sch_Cha_NPL_Ratios'!G19</f>
        <v>63527048846</v>
      </c>
      <c r="I16" s="6">
        <f>'[20]7bNPL-Chgs Summary@6-30-TY'!$N$24</f>
        <v>61514803295</v>
      </c>
      <c r="K16" s="6">
        <f>'[24]7bNPL-Chgs Summary@6-30-TY'!$N$24</f>
        <v>59303424994</v>
      </c>
      <c r="M16" s="6">
        <v>57268429223</v>
      </c>
      <c r="O16" s="6">
        <f>O13+O15</f>
        <v>54997431379</v>
      </c>
      <c r="P16" s="6"/>
      <c r="Q16" s="6">
        <f t="shared" ref="Q16:S16" si="0">Q13+Q15</f>
        <v>54155638365</v>
      </c>
      <c r="R16" s="6">
        <f t="shared" si="0"/>
        <v>0</v>
      </c>
      <c r="S16" s="6">
        <f t="shared" si="0"/>
        <v>52353246102</v>
      </c>
      <c r="T16" s="6"/>
      <c r="U16" s="6">
        <f>U13+U15</f>
        <v>51140746394</v>
      </c>
      <c r="V16" s="6"/>
      <c r="W16" s="6">
        <f t="shared" ref="W16" si="1">W13+W15</f>
        <v>48209042442</v>
      </c>
      <c r="X16" s="6">
        <f t="shared" ref="X16" si="2">X13+X15</f>
        <v>0</v>
      </c>
      <c r="Y16" s="6">
        <f t="shared" ref="Y16:AA16" si="3">Y13+Y15</f>
        <v>46286703239</v>
      </c>
      <c r="AA16" s="6">
        <f t="shared" si="3"/>
        <v>44549855738</v>
      </c>
      <c r="AB16" s="68"/>
    </row>
    <row r="17" spans="2:28">
      <c r="B17" s="69"/>
      <c r="AB17" s="68"/>
    </row>
    <row r="18" spans="2:28">
      <c r="B18" s="75" t="s">
        <v>57</v>
      </c>
      <c r="C18" s="60" t="s">
        <v>90</v>
      </c>
      <c r="U18" s="4"/>
      <c r="W18" s="4"/>
      <c r="Y18" s="4"/>
      <c r="AA18" s="4"/>
      <c r="AB18" s="68"/>
    </row>
    <row r="19" spans="2:28">
      <c r="B19" s="69"/>
      <c r="C19" s="77" t="s">
        <v>36</v>
      </c>
      <c r="D19" s="2" t="s">
        <v>46</v>
      </c>
      <c r="G19" s="3">
        <f>'[5]8. Sch_Cha_NPL_Ratios'!G22</f>
        <v>2333707000</v>
      </c>
      <c r="I19" s="3">
        <f>'[20]7bNPL-Chgs Summary@6-30-TY'!N35</f>
        <v>2490134000</v>
      </c>
      <c r="K19" s="3">
        <f>'[24]7bNPL-Chgs Summary@6-30-TY'!N35</f>
        <v>2437728000</v>
      </c>
      <c r="M19" s="3">
        <v>2458907000</v>
      </c>
      <c r="O19" s="3">
        <v>2558256000</v>
      </c>
      <c r="P19" s="4"/>
      <c r="Q19" s="3">
        <v>2415153000</v>
      </c>
      <c r="R19" s="4"/>
      <c r="S19" s="3">
        <v>2293840000</v>
      </c>
      <c r="T19" s="3"/>
      <c r="U19" s="3">
        <v>2393940000</v>
      </c>
      <c r="V19" s="4"/>
      <c r="W19" s="3">
        <v>2309619000</v>
      </c>
      <c r="Y19" s="3">
        <v>2320910000</v>
      </c>
      <c r="AA19" s="3">
        <v>2424690000</v>
      </c>
      <c r="AB19" s="68"/>
    </row>
    <row r="20" spans="2:28">
      <c r="B20" s="69"/>
      <c r="C20" s="77" t="s">
        <v>38</v>
      </c>
      <c r="D20" s="2" t="s">
        <v>48</v>
      </c>
      <c r="G20" s="4">
        <f>'[5]8. Sch_Cha_NPL_Ratios'!G23</f>
        <v>267720000</v>
      </c>
      <c r="I20" s="4">
        <f>'[20]7bNPL-Chgs Summary@6-30-TY'!N36</f>
        <v>281185000</v>
      </c>
      <c r="K20" s="4">
        <f>'[24]7bNPL-Chgs Summary@6-30-TY'!N36</f>
        <v>255789000</v>
      </c>
      <c r="M20" s="4">
        <v>280129000</v>
      </c>
      <c r="O20" s="4">
        <v>278087000</v>
      </c>
      <c r="P20" s="4"/>
      <c r="Q20" s="4">
        <v>267031000</v>
      </c>
      <c r="R20" s="4"/>
      <c r="S20" s="4">
        <v>276301000</v>
      </c>
      <c r="T20" s="4"/>
      <c r="U20" s="4">
        <v>249921000</v>
      </c>
      <c r="V20" s="4"/>
      <c r="W20" s="4">
        <v>241102000</v>
      </c>
      <c r="Y20" s="4">
        <v>228783000</v>
      </c>
      <c r="AA20" s="4">
        <v>229675000</v>
      </c>
      <c r="AB20" s="68"/>
    </row>
    <row r="21" spans="2:28">
      <c r="B21" s="69"/>
      <c r="C21" s="77" t="s">
        <v>40</v>
      </c>
      <c r="D21" s="2" t="s">
        <v>49</v>
      </c>
      <c r="G21" s="4">
        <f>'[5]8. Sch_Cha_NPL_Ratios'!G24</f>
        <v>4396487000</v>
      </c>
      <c r="I21" s="4">
        <f>'[20]7bNPL-Chgs Summary@6-30-TY'!N37</f>
        <v>-4405904000</v>
      </c>
      <c r="K21" s="4">
        <f>'[24]7bNPL-Chgs Summary@6-30-TY'!N37</f>
        <v>11961703000</v>
      </c>
      <c r="M21" s="4">
        <v>2038305000</v>
      </c>
      <c r="O21" s="4">
        <v>2861544000</v>
      </c>
      <c r="P21" s="4"/>
      <c r="Q21" s="4">
        <v>3964010000</v>
      </c>
      <c r="R21" s="4"/>
      <c r="S21" s="4">
        <v>4286894000</v>
      </c>
      <c r="T21" s="4"/>
      <c r="U21" s="4">
        <v>403534000</v>
      </c>
      <c r="V21" s="4"/>
      <c r="W21" s="4">
        <v>1098220000</v>
      </c>
      <c r="Y21" s="4">
        <v>5147483000</v>
      </c>
      <c r="AA21" s="4">
        <v>3101564000</v>
      </c>
      <c r="AB21" s="68"/>
    </row>
    <row r="22" spans="2:28">
      <c r="B22" s="69"/>
      <c r="C22" s="77" t="s">
        <v>42</v>
      </c>
      <c r="D22" s="2" t="s">
        <v>50</v>
      </c>
      <c r="G22" s="4">
        <f>'[5]8. Sch_Cha_NPL_Ratios'!G25</f>
        <v>-4290430000</v>
      </c>
      <c r="I22" s="4">
        <f>'[20]7bNPL-Chgs Summary@6-30-TY'!N38</f>
        <v>-3813713000</v>
      </c>
      <c r="K22" s="4">
        <f>'[24]7bNPL-Chgs Summary@6-30-TY'!N38</f>
        <v>-3831639000</v>
      </c>
      <c r="M22" s="4">
        <v>-3487402000</v>
      </c>
      <c r="O22" s="4">
        <v>-3278745000</v>
      </c>
      <c r="P22" s="4"/>
      <c r="Q22" s="4">
        <v>-3193553000</v>
      </c>
      <c r="R22" s="4"/>
      <c r="S22" s="4">
        <v>-2987000000</v>
      </c>
      <c r="T22" s="4"/>
      <c r="U22" s="4">
        <v>-2878451000</v>
      </c>
      <c r="V22" s="4"/>
      <c r="W22" s="4">
        <v>-2746784000</v>
      </c>
      <c r="Y22" s="4">
        <v>-2682223000</v>
      </c>
      <c r="AA22" s="4">
        <v>-2525475000</v>
      </c>
      <c r="AB22" s="68"/>
    </row>
    <row r="23" spans="2:28">
      <c r="B23" s="69"/>
      <c r="C23" s="77" t="s">
        <v>44</v>
      </c>
      <c r="D23" s="2" t="s">
        <v>51</v>
      </c>
      <c r="G23" s="4">
        <f>'[5]8. Sch_Cha_NPL_Ratios'!G26</f>
        <v>-30348000</v>
      </c>
      <c r="I23" s="4">
        <f>'[20]7bNPL-Chgs Summary@6-30-TY'!N39</f>
        <v>-24301000</v>
      </c>
      <c r="K23" s="4">
        <f>'[24]7bNPL-Chgs Summary@6-30-TY'!N39</f>
        <v>-24925000</v>
      </c>
      <c r="M23" s="4">
        <v>-26803000</v>
      </c>
      <c r="O23" s="4">
        <v>-29005000</v>
      </c>
      <c r="P23" s="4"/>
      <c r="Q23" s="4">
        <v>-21146000</v>
      </c>
      <c r="R23" s="4"/>
      <c r="S23" s="4">
        <v>-18917000</v>
      </c>
      <c r="T23" s="4"/>
      <c r="U23" s="4">
        <v>-18478000</v>
      </c>
      <c r="V23" s="4"/>
      <c r="W23" s="4">
        <v>-17903000</v>
      </c>
      <c r="Y23" s="4">
        <v>-17450000</v>
      </c>
      <c r="AA23" s="4">
        <v>-17548000</v>
      </c>
      <c r="AB23" s="68"/>
    </row>
    <row r="24" spans="2:28">
      <c r="B24" s="69"/>
      <c r="C24" s="77" t="s">
        <v>45</v>
      </c>
      <c r="D24" s="2" t="s">
        <v>52</v>
      </c>
      <c r="G24" s="5">
        <f>'[5]8. Sch_Cha_NPL_Ratios'!G27</f>
        <v>4458000</v>
      </c>
      <c r="I24" s="5">
        <f>'[20]7bNPL-Chgs Summary@6-30-TY'!N40</f>
        <v>5301000</v>
      </c>
      <c r="K24" s="5">
        <f>'[24]7bNPL-Chgs Summary@6-30-TY'!N40</f>
        <v>4458000</v>
      </c>
      <c r="M24" s="5">
        <v>6541000</v>
      </c>
      <c r="O24" s="5">
        <v>4183000</v>
      </c>
      <c r="P24" s="4"/>
      <c r="Q24" s="5">
        <v>3465000</v>
      </c>
      <c r="R24" s="4"/>
      <c r="S24" s="5">
        <v>10507000</v>
      </c>
      <c r="T24" s="4"/>
      <c r="U24" s="5">
        <v>6756000</v>
      </c>
      <c r="V24" s="4"/>
      <c r="W24" s="5">
        <v>4616000</v>
      </c>
      <c r="Y24" s="5">
        <v>6911000</v>
      </c>
      <c r="AA24" s="5">
        <v>6118000</v>
      </c>
      <c r="AB24" s="68"/>
    </row>
    <row r="25" spans="2:28">
      <c r="B25" s="69"/>
      <c r="C25" s="78" t="s">
        <v>47</v>
      </c>
      <c r="D25" s="60" t="s">
        <v>53</v>
      </c>
      <c r="G25" s="6">
        <f>SUM(G19:G24)</f>
        <v>2681594000</v>
      </c>
      <c r="I25" s="6">
        <f>SUM(I19:I24)</f>
        <v>-5467298000</v>
      </c>
      <c r="K25" s="6">
        <f>SUM(K19:K24)</f>
        <v>10803114000</v>
      </c>
      <c r="M25" s="6">
        <f>SUM(M19:M24)</f>
        <v>1269677000</v>
      </c>
      <c r="O25" s="6">
        <f>SUM(O19:O24)</f>
        <v>2394320000</v>
      </c>
      <c r="P25" s="74"/>
      <c r="Q25" s="6">
        <f>SUM(Q19:Q24)</f>
        <v>3434960000</v>
      </c>
      <c r="R25" s="74"/>
      <c r="S25" s="6">
        <f>SUM(S19:S24)</f>
        <v>3861625000</v>
      </c>
      <c r="T25" s="6"/>
      <c r="U25" s="6">
        <f>SUM(U19:U24)</f>
        <v>157222000</v>
      </c>
      <c r="V25" s="74"/>
      <c r="W25" s="6">
        <f>SUM(W19:W24)</f>
        <v>888870000</v>
      </c>
      <c r="Y25" s="6">
        <f>SUM(Y19:Y24)</f>
        <v>5004414000</v>
      </c>
      <c r="AA25" s="6">
        <f>SUM(AA19:AA24)</f>
        <v>3219024000</v>
      </c>
      <c r="AB25" s="68"/>
    </row>
    <row r="26" spans="2:28">
      <c r="B26" s="69"/>
      <c r="G26" s="3"/>
      <c r="I26" s="3"/>
      <c r="K26" s="6"/>
      <c r="M26" s="6"/>
      <c r="O26" s="6"/>
      <c r="Q26" s="6"/>
      <c r="S26" s="6"/>
      <c r="T26" s="6"/>
      <c r="U26" s="6"/>
      <c r="W26" s="6"/>
      <c r="Y26" s="6"/>
      <c r="AA26" s="6"/>
      <c r="AB26" s="68"/>
    </row>
    <row r="27" spans="2:28">
      <c r="B27" s="75" t="s">
        <v>58</v>
      </c>
      <c r="C27" s="60" t="s">
        <v>91</v>
      </c>
      <c r="G27" s="220">
        <f>'[5]7bNPL-Chgs Summary@6-30-TY'!$N$29</f>
        <v>51798672000</v>
      </c>
      <c r="I27" s="220">
        <f>'[20]7bNPL-Chgs Summary@6-30-TY'!$N$29</f>
        <v>57265970000</v>
      </c>
      <c r="K27" s="207">
        <f>'[24]7bNPL-Chgs Summary@6-30-TY'!$N$29</f>
        <v>46462856000</v>
      </c>
      <c r="M27" s="6">
        <v>45193179000</v>
      </c>
      <c r="O27" s="6">
        <v>42798859000</v>
      </c>
      <c r="P27" s="70"/>
      <c r="Q27" s="6">
        <v>39363899000</v>
      </c>
      <c r="R27" s="70"/>
      <c r="S27" s="6">
        <v>35502274000</v>
      </c>
      <c r="T27" s="6"/>
      <c r="U27" s="6">
        <v>35345052000</v>
      </c>
      <c r="V27" s="70"/>
      <c r="W27" s="6">
        <v>34456182000</v>
      </c>
      <c r="Y27" s="6">
        <v>29451768000</v>
      </c>
      <c r="AA27" s="6">
        <v>26232744000</v>
      </c>
      <c r="AB27" s="68"/>
    </row>
    <row r="28" spans="2:28">
      <c r="B28" s="75" t="s">
        <v>92</v>
      </c>
      <c r="C28" s="60" t="s">
        <v>93</v>
      </c>
      <c r="G28" s="6">
        <f>G25+G27</f>
        <v>54480266000</v>
      </c>
      <c r="I28" s="6">
        <f>I25+I27</f>
        <v>51798672000</v>
      </c>
      <c r="K28" s="6">
        <f>K25+K27</f>
        <v>57265970000</v>
      </c>
      <c r="M28" s="6">
        <f>M25+M27</f>
        <v>46462856000</v>
      </c>
      <c r="O28" s="6">
        <f>O25+O27</f>
        <v>45193179000</v>
      </c>
      <c r="P28" s="6"/>
      <c r="Q28" s="6">
        <f t="shared" ref="Q28" si="4">Q25+Q27</f>
        <v>42798859000</v>
      </c>
      <c r="R28" s="6">
        <f t="shared" ref="R28" si="5">R25+R27</f>
        <v>0</v>
      </c>
      <c r="S28" s="6">
        <f t="shared" ref="S28" si="6">S25+S27</f>
        <v>39363899000</v>
      </c>
      <c r="T28" s="6"/>
      <c r="U28" s="6">
        <f>U25+U27</f>
        <v>35502274000</v>
      </c>
      <c r="V28" s="6"/>
      <c r="W28" s="6">
        <f t="shared" ref="W28" si="7">W25+W27</f>
        <v>35345052000</v>
      </c>
      <c r="X28" s="6">
        <f t="shared" ref="X28" si="8">X25+X27</f>
        <v>0</v>
      </c>
      <c r="Y28" s="6">
        <f t="shared" ref="Y28" si="9">Y25+Y27</f>
        <v>34456182000</v>
      </c>
      <c r="AA28" s="6">
        <f t="shared" ref="AA28" si="10">AA25+AA27</f>
        <v>29451768000</v>
      </c>
      <c r="AB28" s="68"/>
    </row>
    <row r="29" spans="2:28">
      <c r="B29" s="69"/>
      <c r="AB29" s="68"/>
    </row>
    <row r="30" spans="2:28">
      <c r="B30" s="69" t="s">
        <v>94</v>
      </c>
      <c r="C30" s="60" t="s">
        <v>95</v>
      </c>
      <c r="G30" s="6">
        <f>+G16-G28</f>
        <v>9046782846</v>
      </c>
      <c r="I30" s="6">
        <f>+I16-I28</f>
        <v>9716131295</v>
      </c>
      <c r="K30" s="6">
        <f>+K16-K28</f>
        <v>2037454994</v>
      </c>
      <c r="M30" s="6">
        <f>+M16-M28</f>
        <v>10805573223</v>
      </c>
      <c r="O30" s="6">
        <f>+O16-O28</f>
        <v>9804252379</v>
      </c>
      <c r="P30" s="70"/>
      <c r="Q30" s="6">
        <f>+Q16-Q28</f>
        <v>11356779365</v>
      </c>
      <c r="R30" s="70"/>
      <c r="S30" s="6">
        <f>+S16-S28</f>
        <v>12989347102</v>
      </c>
      <c r="T30" s="6"/>
      <c r="U30" s="6">
        <f>+U16-U28</f>
        <v>15638472394</v>
      </c>
      <c r="V30" s="70"/>
      <c r="W30" s="6">
        <f>+W16-W28</f>
        <v>12863990442</v>
      </c>
      <c r="Y30" s="6">
        <f>+Y16-Y28</f>
        <v>11830521239</v>
      </c>
      <c r="AA30" s="6">
        <f>+AA16-AA28</f>
        <v>15098087738</v>
      </c>
      <c r="AB30" s="68"/>
    </row>
    <row r="31" spans="2:28">
      <c r="B31" s="69"/>
      <c r="AB31" s="68"/>
    </row>
    <row r="32" spans="2:28">
      <c r="B32" s="69" t="s">
        <v>96</v>
      </c>
      <c r="C32" s="60" t="s">
        <v>97</v>
      </c>
      <c r="AB32" s="68"/>
    </row>
    <row r="33" spans="2:29">
      <c r="B33" s="69"/>
      <c r="C33" s="60"/>
      <c r="D33" s="60" t="s">
        <v>98</v>
      </c>
      <c r="G33" s="7">
        <f>ROUND(G28/G16,3)</f>
        <v>0.85799999999999998</v>
      </c>
      <c r="I33" s="7">
        <f>ROUND(I28/I16,3)</f>
        <v>0.84199999999999997</v>
      </c>
      <c r="K33" s="7">
        <f>ROUND(K28/K16,3)</f>
        <v>0.96599999999999997</v>
      </c>
      <c r="M33" s="7">
        <f>ROUND(M28/M16,3)</f>
        <v>0.81100000000000005</v>
      </c>
      <c r="O33" s="7">
        <f>ROUND(O28/O16,3)</f>
        <v>0.82199999999999995</v>
      </c>
      <c r="Q33" s="7">
        <f>ROUND(Q28/Q16,3)</f>
        <v>0.79</v>
      </c>
      <c r="S33" s="7">
        <f>ROUND(S28/S16,3)</f>
        <v>0.752</v>
      </c>
      <c r="T33" s="7"/>
      <c r="U33" s="7">
        <f>ROUND(U28/U16,3)</f>
        <v>0.69399999999999995</v>
      </c>
      <c r="W33" s="7">
        <f>ROUND(W28/W16,3)</f>
        <v>0.73299999999999998</v>
      </c>
      <c r="Y33" s="7">
        <f>ROUND(Y28/Y16,3)</f>
        <v>0.74399999999999999</v>
      </c>
      <c r="AA33" s="7">
        <f>ROUND(AA28/AA16,3)</f>
        <v>0.66100000000000003</v>
      </c>
      <c r="AB33" s="68"/>
    </row>
    <row r="34" spans="2:29">
      <c r="B34" s="69"/>
      <c r="C34" s="60"/>
      <c r="D34" s="60"/>
      <c r="AB34" s="68"/>
    </row>
    <row r="35" spans="2:29" ht="17.25">
      <c r="B35" s="75" t="s">
        <v>99</v>
      </c>
      <c r="C35" s="60" t="s">
        <v>205</v>
      </c>
      <c r="G35" s="6">
        <f>'[5]8. Sch_Cha_NPL_Ratios'!$G$38</f>
        <v>4316368272</v>
      </c>
      <c r="I35" s="6">
        <f>'[20]8. Sch_Cha_NPL_Ratios'!$G$38</f>
        <v>4262625521</v>
      </c>
      <c r="K35" s="6">
        <f>'[24]8. Sch_Cha_NPL_Ratios'!$G$38</f>
        <v>4299648848</v>
      </c>
      <c r="M35" s="6">
        <v>4244806289</v>
      </c>
      <c r="O35" s="6">
        <v>4047772414</v>
      </c>
      <c r="Q35" s="6">
        <v>3673054287</v>
      </c>
      <c r="S35" s="6">
        <v>3509985075.3000002</v>
      </c>
      <c r="T35" s="6"/>
      <c r="U35" s="6">
        <v>3540326198</v>
      </c>
      <c r="W35" s="6">
        <v>3512777844</v>
      </c>
      <c r="Y35" s="6">
        <v>3420312390</v>
      </c>
      <c r="AA35" s="6">
        <v>3459871779</v>
      </c>
      <c r="AB35" s="68"/>
    </row>
    <row r="36" spans="2:29">
      <c r="B36" s="69"/>
      <c r="G36" s="3"/>
      <c r="I36" s="3"/>
      <c r="K36" s="6"/>
      <c r="M36" s="6"/>
      <c r="O36" s="6"/>
      <c r="Q36" s="6"/>
      <c r="S36" s="6"/>
      <c r="T36" s="6"/>
      <c r="U36" s="6"/>
      <c r="W36" s="6"/>
      <c r="Y36" s="6"/>
      <c r="AA36" s="6"/>
      <c r="AB36" s="68"/>
    </row>
    <row r="37" spans="2:29">
      <c r="B37" s="75" t="s">
        <v>100</v>
      </c>
      <c r="C37" s="60" t="s">
        <v>101</v>
      </c>
      <c r="G37" s="3"/>
      <c r="I37" s="3"/>
      <c r="K37" s="6"/>
      <c r="M37" s="6"/>
      <c r="O37" s="6"/>
      <c r="P37" s="70"/>
      <c r="Q37" s="6"/>
      <c r="R37" s="70"/>
      <c r="S37" s="6"/>
      <c r="T37" s="6"/>
      <c r="U37" s="6"/>
      <c r="V37" s="70"/>
      <c r="W37" s="6"/>
      <c r="Y37" s="6"/>
      <c r="AA37" s="6"/>
      <c r="AB37" s="68"/>
    </row>
    <row r="38" spans="2:29">
      <c r="B38" s="66"/>
      <c r="D38" s="60" t="s">
        <v>103</v>
      </c>
      <c r="G38" s="7">
        <f>ROUND(G30/G35,3)</f>
        <v>2.0960000000000001</v>
      </c>
      <c r="I38" s="7">
        <f>ROUND(I30/I35,3)</f>
        <v>2.2789999999999999</v>
      </c>
      <c r="K38" s="7">
        <f>ROUND(K30/K35,3)</f>
        <v>0.47399999999999998</v>
      </c>
      <c r="M38" s="7">
        <f>ROUND(M30/M35,3)</f>
        <v>2.5459999999999998</v>
      </c>
      <c r="O38" s="7">
        <f>ROUND(O30/O35,3)</f>
        <v>2.4220000000000002</v>
      </c>
      <c r="Q38" s="7">
        <f>ROUND(Q30/Q35,3)</f>
        <v>3.0920000000000001</v>
      </c>
      <c r="S38" s="7">
        <f>ROUND(S30/S35,3)</f>
        <v>3.7010000000000001</v>
      </c>
      <c r="T38" s="7"/>
      <c r="U38" s="7">
        <f>ROUND(U30/U35,3)</f>
        <v>4.4169999999999998</v>
      </c>
      <c r="W38" s="7">
        <f>ROUND(W30/W35,3)</f>
        <v>3.6619999999999999</v>
      </c>
      <c r="X38" s="7"/>
      <c r="Y38" s="7">
        <f>ROUND(Y30/Y35,3)</f>
        <v>3.4590000000000001</v>
      </c>
      <c r="Z38" s="7"/>
      <c r="AA38" s="7">
        <f>ROUND(AA30/AA35,3)</f>
        <v>4.3639999999999999</v>
      </c>
      <c r="AB38" s="79"/>
      <c r="AC38" s="7"/>
    </row>
    <row r="39" spans="2:29">
      <c r="B39" s="66"/>
      <c r="D39" s="60"/>
      <c r="O39" s="7"/>
      <c r="Q39" s="7"/>
      <c r="S39" s="7"/>
      <c r="T39" s="7"/>
      <c r="U39" s="7"/>
      <c r="AB39" s="68"/>
    </row>
    <row r="40" spans="2:29" ht="18">
      <c r="B40" s="80" t="s">
        <v>102</v>
      </c>
      <c r="C40" s="81" t="s">
        <v>332</v>
      </c>
      <c r="AB40" s="68"/>
    </row>
    <row r="41" spans="2:29" ht="15.75" thickBot="1">
      <c r="B41" s="8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4"/>
    </row>
    <row r="42" spans="2:29" ht="15.75" thickTop="1"/>
  </sheetData>
  <printOptions horizontalCentered="1"/>
  <pageMargins left="0.5" right="0.5" top="0.75" bottom="0.5" header="0.25" footer="0.25"/>
  <pageSetup scale="58" orientation="landscape" r:id="rId1"/>
  <headerFooter>
    <oddFooter>&amp;L&amp;Z
&amp;F&amp;CNYC Office of the Actuary&amp;R&amp;D</oddFooter>
  </headerFooter>
  <ignoredErrors>
    <ignoredError sqref="B6 B15:B16 B18 B27:B28 B30 B32 B35 B37 B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C20A9-CA59-478C-959A-887199C8413A}">
  <sheetPr>
    <tabColor theme="8" tint="0.59999389629810485"/>
  </sheetPr>
  <dimension ref="B1:AC42"/>
  <sheetViews>
    <sheetView zoomScaleNormal="100" zoomScaleSheetLayoutView="85" workbookViewId="0">
      <selection activeCell="G30" sqref="G30"/>
    </sheetView>
  </sheetViews>
  <sheetFormatPr defaultColWidth="9.140625" defaultRowHeight="15"/>
  <cols>
    <col min="1" max="1" width="2.85546875" style="2" customWidth="1"/>
    <col min="2" max="2" width="3.7109375" style="2" customWidth="1"/>
    <col min="3" max="3" width="2.85546875" style="2" customWidth="1"/>
    <col min="4" max="4" width="13.5703125" style="2" customWidth="1"/>
    <col min="5" max="5" width="9.140625" style="2"/>
    <col min="6" max="7" width="19.7109375" style="2" customWidth="1"/>
    <col min="8" max="8" width="1.7109375" style="2" customWidth="1"/>
    <col min="9" max="9" width="19.7109375" style="2" customWidth="1"/>
    <col min="10" max="10" width="1.7109375" style="2" customWidth="1"/>
    <col min="11" max="11" width="19.7109375" style="2" customWidth="1"/>
    <col min="12" max="12" width="1.7109375" style="2" customWidth="1"/>
    <col min="13" max="13" width="19.7109375" style="2" customWidth="1"/>
    <col min="14" max="14" width="1.7109375" style="2" customWidth="1"/>
    <col min="15" max="15" width="21.42578125" style="2" customWidth="1"/>
    <col min="16" max="16" width="1.7109375" style="2" customWidth="1"/>
    <col min="17" max="17" width="21.42578125" style="2" customWidth="1"/>
    <col min="18" max="18" width="1.7109375" style="2" customWidth="1"/>
    <col min="19" max="19" width="21.42578125" style="2" customWidth="1"/>
    <col min="20" max="20" width="1.7109375" style="2" customWidth="1"/>
    <col min="21" max="21" width="21.42578125" style="2" customWidth="1"/>
    <col min="22" max="22" width="1.7109375" style="2" customWidth="1"/>
    <col min="23" max="23" width="21.42578125" style="2" customWidth="1"/>
    <col min="24" max="24" width="1.7109375" style="2" customWidth="1"/>
    <col min="25" max="25" width="21.42578125" style="2" customWidth="1"/>
    <col min="26" max="26" width="1.7109375" style="2" hidden="1" customWidth="1"/>
    <col min="27" max="27" width="21.42578125" style="2" hidden="1" customWidth="1"/>
    <col min="28" max="28" width="1.7109375" style="2" customWidth="1"/>
    <col min="29" max="16384" width="9.140625" style="2"/>
  </cols>
  <sheetData>
    <row r="1" spans="2:28">
      <c r="C1" s="58"/>
      <c r="D1" s="59"/>
      <c r="E1" s="59"/>
      <c r="F1" s="59"/>
      <c r="G1" s="59"/>
      <c r="H1" s="60"/>
      <c r="I1" s="59"/>
      <c r="J1" s="60"/>
      <c r="K1" s="59"/>
      <c r="L1" s="60"/>
      <c r="M1" s="59"/>
      <c r="N1" s="60"/>
      <c r="O1" s="60"/>
      <c r="P1" s="60"/>
      <c r="Q1" s="60"/>
      <c r="R1" s="60"/>
      <c r="S1" s="60"/>
      <c r="T1" s="60"/>
      <c r="U1" s="60"/>
      <c r="V1" s="60"/>
    </row>
    <row r="2" spans="2:28" ht="18.75">
      <c r="B2" s="61" t="s">
        <v>124</v>
      </c>
      <c r="C2" s="62"/>
      <c r="D2" s="62"/>
      <c r="E2" s="62"/>
      <c r="F2" s="62"/>
      <c r="G2" s="62"/>
      <c r="H2" s="62"/>
      <c r="I2" s="62"/>
      <c r="J2" s="62"/>
      <c r="K2" s="62"/>
      <c r="L2" s="62"/>
      <c r="M2" s="62"/>
      <c r="N2" s="62"/>
      <c r="O2" s="62"/>
      <c r="P2" s="62"/>
      <c r="Q2" s="62"/>
      <c r="R2" s="62"/>
      <c r="S2" s="62"/>
      <c r="T2" s="62"/>
      <c r="U2" s="62"/>
      <c r="V2" s="62"/>
      <c r="W2" s="62"/>
      <c r="X2" s="62"/>
      <c r="Y2" s="62"/>
      <c r="Z2" s="62"/>
      <c r="AA2" s="62"/>
      <c r="AB2" s="62"/>
    </row>
    <row r="3" spans="2:28" ht="15.75" thickBot="1"/>
    <row r="4" spans="2:28" ht="15.75" thickTop="1">
      <c r="B4" s="63"/>
      <c r="C4" s="64"/>
      <c r="D4" s="64"/>
      <c r="E4" s="64"/>
      <c r="F4" s="64"/>
      <c r="G4" s="64"/>
      <c r="H4" s="64"/>
      <c r="I4" s="64"/>
      <c r="J4" s="64"/>
      <c r="K4" s="64"/>
      <c r="L4" s="64"/>
      <c r="M4" s="64"/>
      <c r="N4" s="64"/>
      <c r="O4" s="64"/>
      <c r="P4" s="64"/>
      <c r="Q4" s="64"/>
      <c r="R4" s="64"/>
      <c r="S4" s="64"/>
      <c r="T4" s="64"/>
      <c r="U4" s="64"/>
      <c r="V4" s="64"/>
      <c r="W4" s="64"/>
      <c r="X4" s="64"/>
      <c r="Y4" s="64"/>
      <c r="Z4" s="64"/>
      <c r="AA4" s="64"/>
      <c r="AB4" s="65"/>
    </row>
    <row r="5" spans="2:28">
      <c r="B5" s="66"/>
      <c r="G5" s="67">
        <v>2023</v>
      </c>
      <c r="H5" s="67"/>
      <c r="I5" s="67">
        <v>2022</v>
      </c>
      <c r="J5" s="67"/>
      <c r="K5" s="67">
        <v>2021</v>
      </c>
      <c r="L5" s="67"/>
      <c r="M5" s="67">
        <v>2020</v>
      </c>
      <c r="N5" s="67"/>
      <c r="O5" s="67">
        <v>2019</v>
      </c>
      <c r="P5" s="67"/>
      <c r="Q5" s="67">
        <v>2018</v>
      </c>
      <c r="R5" s="67"/>
      <c r="S5" s="67">
        <v>2017</v>
      </c>
      <c r="T5" s="67"/>
      <c r="U5" s="67">
        <v>2016</v>
      </c>
      <c r="V5" s="67"/>
      <c r="W5" s="67">
        <v>2015</v>
      </c>
      <c r="X5" s="59"/>
      <c r="Y5" s="67">
        <v>2014</v>
      </c>
      <c r="Z5" s="67"/>
      <c r="AA5" s="67">
        <v>2013</v>
      </c>
      <c r="AB5" s="68"/>
    </row>
    <row r="6" spans="2:28">
      <c r="B6" s="69" t="s">
        <v>34</v>
      </c>
      <c r="C6" s="60" t="s">
        <v>86</v>
      </c>
      <c r="H6" s="70"/>
      <c r="J6" s="70"/>
      <c r="L6" s="70"/>
      <c r="N6" s="70"/>
      <c r="O6" s="6"/>
      <c r="P6" s="70"/>
      <c r="Q6" s="6"/>
      <c r="R6" s="70"/>
      <c r="S6" s="6"/>
      <c r="T6" s="6"/>
      <c r="V6" s="70"/>
      <c r="AB6" s="68"/>
    </row>
    <row r="7" spans="2:28">
      <c r="B7" s="69"/>
      <c r="C7" s="71" t="s">
        <v>36</v>
      </c>
      <c r="D7" s="9" t="s">
        <v>37</v>
      </c>
      <c r="G7" s="3">
        <f>'[6]8. Sch_Cha_NPL_Ratios'!G10</f>
        <v>592612807</v>
      </c>
      <c r="H7" s="4"/>
      <c r="I7" s="3">
        <f>'[21]7b(5)NPL-Chgs Summary@6-30-TY'!$N$14</f>
        <v>586319415</v>
      </c>
      <c r="J7" s="4"/>
      <c r="K7" s="3">
        <v>570829158</v>
      </c>
      <c r="L7" s="4"/>
      <c r="M7" s="3">
        <v>572654633</v>
      </c>
      <c r="N7" s="4"/>
      <c r="O7" s="3">
        <v>484827782</v>
      </c>
      <c r="P7" s="4"/>
      <c r="Q7" s="3">
        <v>436368702</v>
      </c>
      <c r="R7" s="4"/>
      <c r="S7" s="3">
        <v>432482302</v>
      </c>
      <c r="T7" s="3"/>
      <c r="U7" s="3">
        <v>431267723</v>
      </c>
      <c r="V7" s="4"/>
      <c r="W7" s="3">
        <v>419575546</v>
      </c>
      <c r="Y7" s="3">
        <v>412911205</v>
      </c>
      <c r="AA7" s="3">
        <v>400884665</v>
      </c>
      <c r="AB7" s="68"/>
    </row>
    <row r="8" spans="2:28">
      <c r="B8" s="69"/>
      <c r="C8" s="71" t="s">
        <v>38</v>
      </c>
      <c r="D8" s="9" t="s">
        <v>39</v>
      </c>
      <c r="G8" s="4">
        <f>'[6]8. Sch_Cha_NPL_Ratios'!G11</f>
        <v>1781262396</v>
      </c>
      <c r="H8" s="4"/>
      <c r="I8" s="4">
        <f>'[21]7b(5)NPL-Chgs Summary@6-30-TY'!$N$15</f>
        <v>1726200591</v>
      </c>
      <c r="J8" s="4"/>
      <c r="K8" s="4">
        <v>1672680868</v>
      </c>
      <c r="L8" s="4"/>
      <c r="M8" s="4">
        <v>1616535939</v>
      </c>
      <c r="N8" s="4"/>
      <c r="O8" s="4">
        <v>1523611014</v>
      </c>
      <c r="P8" s="4"/>
      <c r="Q8" s="4">
        <v>1484608815</v>
      </c>
      <c r="R8" s="4"/>
      <c r="S8" s="4">
        <v>1438804602</v>
      </c>
      <c r="T8" s="4"/>
      <c r="U8" s="4">
        <v>1395735250</v>
      </c>
      <c r="V8" s="4"/>
      <c r="W8" s="4">
        <v>1312813977</v>
      </c>
      <c r="Y8" s="4">
        <v>1215276517</v>
      </c>
      <c r="AA8" s="4">
        <v>1184217313</v>
      </c>
      <c r="AB8" s="68"/>
    </row>
    <row r="9" spans="2:28">
      <c r="B9" s="69"/>
      <c r="C9" s="71" t="s">
        <v>40</v>
      </c>
      <c r="D9" s="9" t="s">
        <v>41</v>
      </c>
      <c r="G9" s="4">
        <f>'[6]8. Sch_Cha_NPL_Ratios'!G12</f>
        <v>36205947</v>
      </c>
      <c r="H9" s="4"/>
      <c r="I9" s="4">
        <f>'[21]7b(5)NPL-Chgs Summary@6-30-TY'!$N$16</f>
        <v>0</v>
      </c>
      <c r="J9" s="4"/>
      <c r="K9" s="4">
        <v>0</v>
      </c>
      <c r="L9" s="4"/>
      <c r="M9" s="4">
        <v>0</v>
      </c>
      <c r="N9" s="4"/>
      <c r="O9" s="4">
        <v>0</v>
      </c>
      <c r="P9" s="4"/>
      <c r="Q9" s="4">
        <v>11602422</v>
      </c>
      <c r="R9" s="4"/>
      <c r="S9" s="4">
        <v>0</v>
      </c>
      <c r="T9" s="4"/>
      <c r="U9" s="4">
        <v>0</v>
      </c>
      <c r="V9" s="4"/>
      <c r="W9" s="4">
        <v>0</v>
      </c>
      <c r="Y9" s="4">
        <v>0</v>
      </c>
      <c r="AA9" s="4">
        <v>0</v>
      </c>
      <c r="AB9" s="68"/>
    </row>
    <row r="10" spans="2:28">
      <c r="B10" s="69"/>
      <c r="C10" s="71" t="s">
        <v>42</v>
      </c>
      <c r="D10" s="9" t="s">
        <v>43</v>
      </c>
      <c r="G10" s="4">
        <f>'[6]8. Sch_Cha_NPL_Ratios'!G13</f>
        <v>340357109</v>
      </c>
      <c r="H10" s="4"/>
      <c r="I10" s="4">
        <f>'[21]7b(5)NPL-Chgs Summary@6-30-TY'!$N$17</f>
        <v>165148630</v>
      </c>
      <c r="J10" s="4"/>
      <c r="K10" s="4">
        <v>-27513079</v>
      </c>
      <c r="L10" s="4"/>
      <c r="M10" s="4">
        <v>143725611</v>
      </c>
      <c r="N10" s="4"/>
      <c r="O10" s="4">
        <v>140780365</v>
      </c>
      <c r="P10" s="4"/>
      <c r="Q10" s="4">
        <v>124635710</v>
      </c>
      <c r="R10" s="4"/>
      <c r="S10" s="4">
        <v>134478099</v>
      </c>
      <c r="T10" s="4"/>
      <c r="U10" s="4">
        <v>323609267</v>
      </c>
      <c r="V10" s="4"/>
      <c r="W10" s="4">
        <v>171347136</v>
      </c>
      <c r="Y10" s="4">
        <v>0</v>
      </c>
      <c r="AA10" s="4">
        <v>0</v>
      </c>
      <c r="AB10" s="68"/>
    </row>
    <row r="11" spans="2:28">
      <c r="B11" s="69"/>
      <c r="C11" s="71" t="s">
        <v>44</v>
      </c>
      <c r="D11" s="9" t="s">
        <v>87</v>
      </c>
      <c r="G11" s="4">
        <f>'[6]8. Sch_Cha_NPL_Ratios'!G14</f>
        <v>0</v>
      </c>
      <c r="H11" s="4"/>
      <c r="I11" s="4">
        <f>'[21]7b(5)NPL-Chgs Summary@6-30-TY'!$N$18</f>
        <v>0</v>
      </c>
      <c r="J11" s="4"/>
      <c r="K11" s="4">
        <v>113160630</v>
      </c>
      <c r="L11" s="4"/>
      <c r="M11" s="4">
        <v>0</v>
      </c>
      <c r="N11" s="4"/>
      <c r="O11" s="4">
        <v>571767848</v>
      </c>
      <c r="P11" s="4"/>
      <c r="Q11" s="4">
        <v>0</v>
      </c>
      <c r="R11" s="4"/>
      <c r="S11" s="4">
        <v>0</v>
      </c>
      <c r="T11" s="4"/>
      <c r="U11" s="4">
        <v>405497988</v>
      </c>
      <c r="V11" s="4"/>
      <c r="W11" s="4">
        <v>0</v>
      </c>
      <c r="Y11" s="4">
        <v>0</v>
      </c>
      <c r="AA11" s="4">
        <v>0</v>
      </c>
      <c r="AB11" s="68"/>
    </row>
    <row r="12" spans="2:28">
      <c r="B12" s="69"/>
      <c r="C12" s="71" t="s">
        <v>45</v>
      </c>
      <c r="D12" s="9" t="s">
        <v>50</v>
      </c>
      <c r="G12" s="5">
        <f>'[6]8. Sch_Cha_NPL_Ratios'!G15</f>
        <v>-1776549000</v>
      </c>
      <c r="H12" s="4"/>
      <c r="I12" s="5">
        <f>'[21]7b(5)NPL-Chgs Summary@6-30-TY'!$N$22</f>
        <v>-1620806000</v>
      </c>
      <c r="J12" s="4"/>
      <c r="K12" s="5">
        <v>-1540705000</v>
      </c>
      <c r="L12" s="4"/>
      <c r="M12" s="5">
        <v>-1517723000</v>
      </c>
      <c r="N12" s="4"/>
      <c r="O12" s="5">
        <v>-1446114000</v>
      </c>
      <c r="P12" s="4"/>
      <c r="Q12" s="5">
        <v>-1379533000</v>
      </c>
      <c r="R12" s="4"/>
      <c r="S12" s="5">
        <v>-1335343000</v>
      </c>
      <c r="T12" s="4"/>
      <c r="U12" s="5">
        <v>-1359095000</v>
      </c>
      <c r="V12" s="4"/>
      <c r="W12" s="5">
        <v>-1220441000</v>
      </c>
      <c r="Y12" s="5">
        <v>-1171998000</v>
      </c>
      <c r="AA12" s="5">
        <v>-1135469000</v>
      </c>
      <c r="AB12" s="68"/>
    </row>
    <row r="13" spans="2:28">
      <c r="B13" s="69"/>
      <c r="C13" s="72" t="s">
        <v>47</v>
      </c>
      <c r="D13" s="73" t="s">
        <v>53</v>
      </c>
      <c r="G13" s="6">
        <f>SUM(G7:G12)</f>
        <v>973889259</v>
      </c>
      <c r="H13" s="74"/>
      <c r="I13" s="6">
        <f>SUM(I7:I12)</f>
        <v>856862636</v>
      </c>
      <c r="J13" s="74"/>
      <c r="K13" s="6">
        <v>788452577</v>
      </c>
      <c r="L13" s="74"/>
      <c r="M13" s="6">
        <f>SUM(M7:M12)</f>
        <v>815193183</v>
      </c>
      <c r="N13" s="74"/>
      <c r="O13" s="6">
        <f>SUM(O7:O12)</f>
        <v>1274873009</v>
      </c>
      <c r="P13" s="74"/>
      <c r="Q13" s="6">
        <f>SUM(Q7:Q12)</f>
        <v>677682649</v>
      </c>
      <c r="R13" s="74"/>
      <c r="S13" s="6">
        <f>SUM(S7:S12)</f>
        <v>670422003</v>
      </c>
      <c r="T13" s="6"/>
      <c r="U13" s="6">
        <f>SUM(U7:U12)</f>
        <v>1197015228</v>
      </c>
      <c r="V13" s="74"/>
      <c r="W13" s="6">
        <f>SUM(W7:W12)</f>
        <v>683295659</v>
      </c>
      <c r="Y13" s="6">
        <f>SUM(Y7:Y12)</f>
        <v>456189722</v>
      </c>
      <c r="AA13" s="6">
        <f>SUM(AA7:AA12)</f>
        <v>449632978</v>
      </c>
      <c r="AB13" s="68"/>
    </row>
    <row r="14" spans="2:28">
      <c r="B14" s="69"/>
      <c r="G14" s="3"/>
      <c r="I14" s="3"/>
      <c r="K14" s="3"/>
      <c r="M14" s="3"/>
      <c r="O14" s="3"/>
      <c r="Q14" s="3"/>
      <c r="S14" s="3"/>
      <c r="T14" s="6"/>
      <c r="U14" s="3"/>
      <c r="W14" s="3"/>
      <c r="Y14" s="3"/>
      <c r="AA14" s="6"/>
      <c r="AB14" s="68"/>
    </row>
    <row r="15" spans="2:28">
      <c r="B15" s="75" t="s">
        <v>35</v>
      </c>
      <c r="C15" s="60" t="s">
        <v>88</v>
      </c>
      <c r="G15" s="6">
        <f>'[6]8. Sch_Cha_NPL_Ratios'!G18</f>
        <v>25727293585</v>
      </c>
      <c r="H15" s="70"/>
      <c r="I15" s="6">
        <f>'[21]7b(5)NPL-Chgs Summary@6-30-TY'!$N$11</f>
        <v>24870430949</v>
      </c>
      <c r="J15" s="70"/>
      <c r="K15" s="6">
        <v>24081978372</v>
      </c>
      <c r="L15" s="70"/>
      <c r="M15" s="6">
        <v>23266785189</v>
      </c>
      <c r="N15" s="70"/>
      <c r="O15" s="6">
        <v>21991912180</v>
      </c>
      <c r="P15" s="70"/>
      <c r="Q15" s="6">
        <v>21314229531</v>
      </c>
      <c r="R15" s="70"/>
      <c r="S15" s="6">
        <v>20643807528</v>
      </c>
      <c r="T15" s="6"/>
      <c r="U15" s="6">
        <v>19446792300</v>
      </c>
      <c r="V15" s="70"/>
      <c r="W15" s="6">
        <v>18763496641</v>
      </c>
      <c r="Y15" s="6">
        <v>17524302616</v>
      </c>
      <c r="AA15" s="6">
        <v>17074669638</v>
      </c>
      <c r="AB15" s="68"/>
    </row>
    <row r="16" spans="2:28">
      <c r="B16" s="75" t="s">
        <v>54</v>
      </c>
      <c r="C16" s="60" t="s">
        <v>89</v>
      </c>
      <c r="G16" s="6">
        <f>'[6]8. Sch_Cha_NPL_Ratios'!G19</f>
        <v>26701182844</v>
      </c>
      <c r="H16" s="6"/>
      <c r="I16" s="6">
        <f>I13+I15</f>
        <v>25727293585</v>
      </c>
      <c r="J16" s="6"/>
      <c r="K16" s="6">
        <v>24870430949</v>
      </c>
      <c r="L16" s="6"/>
      <c r="M16" s="6">
        <f>M13+M15</f>
        <v>24081978372</v>
      </c>
      <c r="N16" s="6"/>
      <c r="O16" s="6">
        <f>O13+O15</f>
        <v>23266785189</v>
      </c>
      <c r="P16" s="6"/>
      <c r="Q16" s="6">
        <f t="shared" ref="Q16:S16" si="0">Q13+Q15</f>
        <v>21991912180</v>
      </c>
      <c r="R16" s="6">
        <f t="shared" si="0"/>
        <v>0</v>
      </c>
      <c r="S16" s="6">
        <f t="shared" si="0"/>
        <v>21314229531</v>
      </c>
      <c r="T16" s="6"/>
      <c r="U16" s="6">
        <f>U13+U15</f>
        <v>20643807528</v>
      </c>
      <c r="V16" s="6"/>
      <c r="W16" s="6">
        <f t="shared" ref="W16:AA16" si="1">W13+W15</f>
        <v>19446792300</v>
      </c>
      <c r="X16" s="6">
        <f t="shared" si="1"/>
        <v>0</v>
      </c>
      <c r="Y16" s="6">
        <f t="shared" si="1"/>
        <v>17980492338</v>
      </c>
      <c r="AA16" s="6">
        <f t="shared" si="1"/>
        <v>17524302616</v>
      </c>
      <c r="AB16" s="68"/>
    </row>
    <row r="17" spans="2:28">
      <c r="B17" s="69"/>
      <c r="AB17" s="68"/>
    </row>
    <row r="18" spans="2:28">
      <c r="B18" s="75" t="s">
        <v>57</v>
      </c>
      <c r="C18" s="60" t="s">
        <v>90</v>
      </c>
      <c r="AA18" s="4"/>
      <c r="AB18" s="68"/>
    </row>
    <row r="19" spans="2:28">
      <c r="B19" s="69"/>
      <c r="C19" s="77" t="s">
        <v>36</v>
      </c>
      <c r="D19" s="2" t="s">
        <v>46</v>
      </c>
      <c r="G19" s="3">
        <f>'[6]8. Sch_Cha_NPL_Ratios'!G22</f>
        <v>1423679000</v>
      </c>
      <c r="H19" s="4"/>
      <c r="I19" s="3">
        <f>'[21]7b(5)NPL-Chgs Summary@6-30-TY'!$N$39</f>
        <v>1446992000</v>
      </c>
      <c r="J19" s="4"/>
      <c r="K19" s="3">
        <v>1436977000</v>
      </c>
      <c r="L19" s="4"/>
      <c r="M19" s="3">
        <v>1419270000</v>
      </c>
      <c r="N19" s="4"/>
      <c r="O19" s="3">
        <v>1398565000</v>
      </c>
      <c r="P19" s="4"/>
      <c r="Q19" s="3">
        <v>1200417000</v>
      </c>
      <c r="R19" s="4"/>
      <c r="S19" s="3">
        <v>1061170000</v>
      </c>
      <c r="T19" s="3"/>
      <c r="U19" s="3">
        <v>1054478000</v>
      </c>
      <c r="V19" s="4"/>
      <c r="W19" s="3">
        <v>988784000</v>
      </c>
      <c r="Y19" s="3">
        <v>969956000</v>
      </c>
      <c r="AA19" s="3">
        <v>962173000</v>
      </c>
      <c r="AB19" s="68"/>
    </row>
    <row r="20" spans="2:28">
      <c r="B20" s="69"/>
      <c r="C20" s="77" t="s">
        <v>38</v>
      </c>
      <c r="D20" s="2" t="s">
        <v>48</v>
      </c>
      <c r="G20" s="4">
        <f>'[6]8. Sch_Cha_NPL_Ratios'!G23</f>
        <v>118264000</v>
      </c>
      <c r="H20" s="4"/>
      <c r="I20" s="4">
        <f>'[21]7b(5)NPL-Chgs Summary@6-30-TY'!$N$40</f>
        <v>134469000</v>
      </c>
      <c r="J20" s="4"/>
      <c r="K20" s="4">
        <v>112566000</v>
      </c>
      <c r="L20" s="4"/>
      <c r="M20" s="4">
        <v>106821000</v>
      </c>
      <c r="N20" s="4"/>
      <c r="O20" s="4">
        <v>108015000</v>
      </c>
      <c r="P20" s="4"/>
      <c r="Q20" s="4">
        <v>108338000</v>
      </c>
      <c r="R20" s="4"/>
      <c r="S20" s="4">
        <v>108368000</v>
      </c>
      <c r="T20" s="4"/>
      <c r="U20" s="4">
        <v>116619000</v>
      </c>
      <c r="V20" s="4"/>
      <c r="W20" s="4">
        <v>108582000</v>
      </c>
      <c r="Y20" s="4">
        <v>108859000</v>
      </c>
      <c r="AA20" s="4">
        <v>104816000</v>
      </c>
      <c r="AB20" s="68"/>
    </row>
    <row r="21" spans="2:28">
      <c r="B21" s="69"/>
      <c r="C21" s="77" t="s">
        <v>40</v>
      </c>
      <c r="D21" s="2" t="s">
        <v>49</v>
      </c>
      <c r="G21" s="4">
        <f>'[6]8. Sch_Cha_NPL_Ratios'!G24</f>
        <v>1426616000</v>
      </c>
      <c r="H21" s="4"/>
      <c r="I21" s="4">
        <f>'[21]7b(5)NPL-Chgs Summary@6-30-TY'!$N$41</f>
        <v>-1582857000</v>
      </c>
      <c r="J21" s="4"/>
      <c r="K21" s="4">
        <v>3963257000</v>
      </c>
      <c r="L21" s="4"/>
      <c r="M21" s="4">
        <v>718739000</v>
      </c>
      <c r="N21" s="4"/>
      <c r="O21" s="4">
        <v>982348000</v>
      </c>
      <c r="P21" s="4"/>
      <c r="Q21" s="4">
        <v>1249731000</v>
      </c>
      <c r="R21" s="4"/>
      <c r="S21" s="4">
        <v>1371721000</v>
      </c>
      <c r="T21" s="4"/>
      <c r="U21" s="4">
        <v>203104000</v>
      </c>
      <c r="V21" s="4"/>
      <c r="W21" s="4">
        <v>302567000</v>
      </c>
      <c r="Y21" s="4">
        <v>1689485000</v>
      </c>
      <c r="AA21" s="4">
        <v>1042431000</v>
      </c>
      <c r="AB21" s="68"/>
    </row>
    <row r="22" spans="2:28">
      <c r="B22" s="69"/>
      <c r="C22" s="77" t="s">
        <v>42</v>
      </c>
      <c r="D22" s="2" t="s">
        <v>50</v>
      </c>
      <c r="G22" s="4">
        <f>'[6]8. Sch_Cha_NPL_Ratios'!G25</f>
        <v>-1776549000</v>
      </c>
      <c r="H22" s="4"/>
      <c r="I22" s="4">
        <f>'[21]7b(5)NPL-Chgs Summary@6-30-TY'!$N$42</f>
        <v>-1620806000</v>
      </c>
      <c r="J22" s="4"/>
      <c r="K22" s="4">
        <v>-1540705000</v>
      </c>
      <c r="L22" s="4"/>
      <c r="M22" s="4">
        <v>-1517723000</v>
      </c>
      <c r="N22" s="4"/>
      <c r="O22" s="4">
        <v>-1446114000</v>
      </c>
      <c r="P22" s="4"/>
      <c r="Q22" s="4">
        <v>-1379533000</v>
      </c>
      <c r="R22" s="4"/>
      <c r="S22" s="4">
        <v>-1335343000</v>
      </c>
      <c r="T22" s="4"/>
      <c r="U22" s="4">
        <v>-1359095000</v>
      </c>
      <c r="V22" s="4"/>
      <c r="W22" s="4">
        <v>-1220441000</v>
      </c>
      <c r="Y22" s="4">
        <v>-1171998000</v>
      </c>
      <c r="AA22" s="4">
        <v>-1135469000</v>
      </c>
      <c r="AB22" s="68"/>
    </row>
    <row r="23" spans="2:28">
      <c r="B23" s="69"/>
      <c r="C23" s="77" t="s">
        <v>44</v>
      </c>
      <c r="D23" s="2" t="s">
        <v>51</v>
      </c>
      <c r="G23" s="4">
        <f>'[6]8. Sch_Cha_NPL_Ratios'!G26</f>
        <v>-13020000</v>
      </c>
      <c r="H23" s="4"/>
      <c r="I23" s="4">
        <f>'[21]7b(5)NPL-Chgs Summary@6-30-TY'!$N$43</f>
        <v>-12711000</v>
      </c>
      <c r="J23" s="4"/>
      <c r="K23" s="4">
        <v>-10345000</v>
      </c>
      <c r="L23" s="4"/>
      <c r="M23" s="4">
        <v>-9131000</v>
      </c>
      <c r="N23" s="4"/>
      <c r="O23" s="4">
        <v>-9861000</v>
      </c>
      <c r="P23" s="4"/>
      <c r="Q23" s="4">
        <v>-6412000</v>
      </c>
      <c r="R23" s="4"/>
      <c r="S23" s="4">
        <v>0</v>
      </c>
      <c r="T23" s="4"/>
      <c r="U23" s="4">
        <v>0</v>
      </c>
      <c r="V23" s="4"/>
      <c r="W23" s="4">
        <v>0</v>
      </c>
      <c r="Y23" s="4">
        <v>0</v>
      </c>
      <c r="AA23" s="4">
        <v>0</v>
      </c>
      <c r="AB23" s="68"/>
    </row>
    <row r="24" spans="2:28">
      <c r="B24" s="69"/>
      <c r="C24" s="77" t="s">
        <v>45</v>
      </c>
      <c r="D24" s="2" t="s">
        <v>52</v>
      </c>
      <c r="G24" s="5">
        <f>'[6]8. Sch_Cha_NPL_Ratios'!G27</f>
        <v>838000</v>
      </c>
      <c r="H24" s="4"/>
      <c r="I24" s="5">
        <f>'[21]7b(5)NPL-Chgs Summary@6-30-TY'!$N$44</f>
        <v>953000</v>
      </c>
      <c r="J24" s="4"/>
      <c r="K24" s="5">
        <v>758000</v>
      </c>
      <c r="L24" s="4"/>
      <c r="M24" s="5">
        <v>2842000</v>
      </c>
      <c r="N24" s="4"/>
      <c r="O24" s="5">
        <v>2057000</v>
      </c>
      <c r="P24" s="4"/>
      <c r="Q24" s="5">
        <v>9411000</v>
      </c>
      <c r="R24" s="4"/>
      <c r="S24" s="5">
        <v>47284000</v>
      </c>
      <c r="T24" s="4"/>
      <c r="U24" s="5">
        <v>43673000</v>
      </c>
      <c r="V24" s="4"/>
      <c r="W24" s="5">
        <v>41201000</v>
      </c>
      <c r="Y24" s="5">
        <v>39980000</v>
      </c>
      <c r="AA24" s="5">
        <v>38965000</v>
      </c>
      <c r="AB24" s="68"/>
    </row>
    <row r="25" spans="2:28">
      <c r="B25" s="69"/>
      <c r="C25" s="78" t="s">
        <v>47</v>
      </c>
      <c r="D25" s="60" t="s">
        <v>53</v>
      </c>
      <c r="G25" s="6">
        <f>SUM(G19:G24)</f>
        <v>1179828000</v>
      </c>
      <c r="H25" s="74"/>
      <c r="I25" s="6">
        <f>SUM(I19:I24)</f>
        <v>-1633960000</v>
      </c>
      <c r="J25" s="74"/>
      <c r="K25" s="6">
        <v>3962508000</v>
      </c>
      <c r="L25" s="74"/>
      <c r="M25" s="6">
        <f>SUM(M19:M24)</f>
        <v>720818000</v>
      </c>
      <c r="N25" s="74"/>
      <c r="O25" s="6">
        <f>SUM(O19:O24)</f>
        <v>1035010000</v>
      </c>
      <c r="P25" s="74"/>
      <c r="Q25" s="6">
        <f>SUM(Q19:Q24)</f>
        <v>1181952000</v>
      </c>
      <c r="R25" s="74"/>
      <c r="S25" s="6">
        <f>SUM(S19:S24)</f>
        <v>1253200000</v>
      </c>
      <c r="T25" s="6"/>
      <c r="U25" s="6">
        <f>SUM(U19:U24)</f>
        <v>58779000</v>
      </c>
      <c r="V25" s="74"/>
      <c r="W25" s="6">
        <f>SUM(W19:W24)</f>
        <v>220693000</v>
      </c>
      <c r="Y25" s="6">
        <f>SUM(Y19:Y24)</f>
        <v>1636282000</v>
      </c>
      <c r="AA25" s="6">
        <f>SUM(AA19:AA24)</f>
        <v>1012916000</v>
      </c>
      <c r="AB25" s="68"/>
    </row>
    <row r="26" spans="2:28">
      <c r="B26" s="69"/>
      <c r="G26" s="3"/>
      <c r="I26" s="3"/>
      <c r="K26" s="3"/>
      <c r="M26" s="3"/>
      <c r="O26" s="3"/>
      <c r="Q26" s="3"/>
      <c r="S26" s="3"/>
      <c r="T26" s="6"/>
      <c r="U26" s="3"/>
      <c r="W26" s="3"/>
      <c r="Y26" s="3"/>
      <c r="AA26" s="6"/>
      <c r="AB26" s="68"/>
    </row>
    <row r="27" spans="2:28">
      <c r="B27" s="75" t="s">
        <v>58</v>
      </c>
      <c r="C27" s="60" t="s">
        <v>91</v>
      </c>
      <c r="G27" s="220">
        <f>I28</f>
        <v>18257638000</v>
      </c>
      <c r="H27" s="70"/>
      <c r="I27" s="220">
        <f>'[21]7b(5)NPL-Chgs Summary@6-30-TY'!$N$32</f>
        <v>19891598000</v>
      </c>
      <c r="J27" s="70"/>
      <c r="K27" s="220">
        <v>15929090000</v>
      </c>
      <c r="L27" s="70"/>
      <c r="M27" s="220">
        <v>15208272000</v>
      </c>
      <c r="N27" s="70"/>
      <c r="O27" s="220">
        <v>14173262000</v>
      </c>
      <c r="P27" s="70"/>
      <c r="Q27" s="220">
        <v>12991310000</v>
      </c>
      <c r="R27" s="70"/>
      <c r="S27" s="220">
        <v>11738110000</v>
      </c>
      <c r="T27" s="6"/>
      <c r="U27" s="220">
        <v>11679331000</v>
      </c>
      <c r="V27" s="70"/>
      <c r="W27" s="220">
        <v>11458638000</v>
      </c>
      <c r="Y27" s="220">
        <v>9822356000</v>
      </c>
      <c r="AA27" s="6">
        <v>8809440000</v>
      </c>
      <c r="AB27" s="68"/>
    </row>
    <row r="28" spans="2:28">
      <c r="B28" s="75" t="s">
        <v>92</v>
      </c>
      <c r="C28" s="60" t="s">
        <v>93</v>
      </c>
      <c r="G28" s="6">
        <f>G25+G27</f>
        <v>19437466000</v>
      </c>
      <c r="H28" s="6"/>
      <c r="I28" s="6">
        <f>I25+I27</f>
        <v>18257638000</v>
      </c>
      <c r="J28" s="6"/>
      <c r="K28" s="6">
        <v>19891598000</v>
      </c>
      <c r="L28" s="6"/>
      <c r="M28" s="6">
        <f>M25+M27</f>
        <v>15929090000</v>
      </c>
      <c r="N28" s="6"/>
      <c r="O28" s="6">
        <f>O25+O27</f>
        <v>15208272000</v>
      </c>
      <c r="P28" s="6"/>
      <c r="Q28" s="6">
        <f t="shared" ref="Q28:S28" si="2">Q25+Q27</f>
        <v>14173262000</v>
      </c>
      <c r="R28" s="6">
        <f t="shared" si="2"/>
        <v>0</v>
      </c>
      <c r="S28" s="6">
        <f t="shared" si="2"/>
        <v>12991310000</v>
      </c>
      <c r="T28" s="6"/>
      <c r="U28" s="6">
        <f>U25+U27</f>
        <v>11738110000</v>
      </c>
      <c r="V28" s="6"/>
      <c r="W28" s="6">
        <f t="shared" ref="W28:Y28" si="3">W25+W27</f>
        <v>11679331000</v>
      </c>
      <c r="X28" s="6">
        <f t="shared" si="3"/>
        <v>0</v>
      </c>
      <c r="Y28" s="6">
        <f t="shared" si="3"/>
        <v>11458638000</v>
      </c>
      <c r="AA28" s="6">
        <f t="shared" ref="AA28" si="4">AA25+AA27</f>
        <v>9822356000</v>
      </c>
      <c r="AB28" s="68"/>
    </row>
    <row r="29" spans="2:28">
      <c r="B29" s="69"/>
      <c r="AB29" s="68"/>
    </row>
    <row r="30" spans="2:28">
      <c r="B30" s="69" t="s">
        <v>94</v>
      </c>
      <c r="C30" s="60" t="s">
        <v>104</v>
      </c>
      <c r="G30" s="6">
        <f>G16-G28</f>
        <v>7263716844</v>
      </c>
      <c r="H30" s="70"/>
      <c r="I30" s="6">
        <f>+I16-I28</f>
        <v>7469655585</v>
      </c>
      <c r="J30" s="70"/>
      <c r="K30" s="6">
        <v>4978832949</v>
      </c>
      <c r="L30" s="70"/>
      <c r="M30" s="6">
        <f>+M16-M28</f>
        <v>8152888372</v>
      </c>
      <c r="N30" s="70"/>
      <c r="O30" s="6">
        <f>+O16-O28</f>
        <v>8058513189</v>
      </c>
      <c r="P30" s="70"/>
      <c r="Q30" s="6">
        <f>+Q16-Q28</f>
        <v>7818650180</v>
      </c>
      <c r="R30" s="70"/>
      <c r="S30" s="6">
        <f>+S16-S28</f>
        <v>8322919531</v>
      </c>
      <c r="T30" s="6"/>
      <c r="U30" s="6">
        <f>+U16-U28</f>
        <v>8905697528</v>
      </c>
      <c r="V30" s="70"/>
      <c r="W30" s="6">
        <f>+W16-W28</f>
        <v>7767461300</v>
      </c>
      <c r="Y30" s="6">
        <f>+Y16-Y28</f>
        <v>6521854338</v>
      </c>
      <c r="AA30" s="6">
        <f>+AA16-AA28</f>
        <v>7701946616</v>
      </c>
      <c r="AB30" s="68"/>
    </row>
    <row r="31" spans="2:28">
      <c r="B31" s="69"/>
      <c r="AB31" s="68"/>
    </row>
    <row r="32" spans="2:28">
      <c r="B32" s="69" t="s">
        <v>96</v>
      </c>
      <c r="C32" s="60" t="s">
        <v>97</v>
      </c>
      <c r="AB32" s="68"/>
    </row>
    <row r="33" spans="2:29">
      <c r="B33" s="69"/>
      <c r="C33" s="60"/>
      <c r="D33" s="60" t="s">
        <v>98</v>
      </c>
      <c r="G33" s="7">
        <f>ROUND(G28/G16,3)</f>
        <v>0.72799999999999998</v>
      </c>
      <c r="I33" s="7">
        <f>ROUND(I28/I16,3)</f>
        <v>0.71</v>
      </c>
      <c r="K33" s="7">
        <v>0.8</v>
      </c>
      <c r="M33" s="7">
        <f>ROUND(M28/M16,3)</f>
        <v>0.66100000000000003</v>
      </c>
      <c r="O33" s="7">
        <f>ROUND(O28/O16,3)</f>
        <v>0.65400000000000003</v>
      </c>
      <c r="Q33" s="7">
        <f>ROUND(Q28/Q16,3)</f>
        <v>0.64400000000000002</v>
      </c>
      <c r="S33" s="7">
        <f>ROUND(S28/S16,3)</f>
        <v>0.61</v>
      </c>
      <c r="T33" s="7"/>
      <c r="U33" s="7">
        <f>ROUND(U28/U16,3)</f>
        <v>0.56899999999999995</v>
      </c>
      <c r="W33" s="7">
        <f>ROUND(W28/W16,3)</f>
        <v>0.60099999999999998</v>
      </c>
      <c r="Y33" s="7">
        <f>ROUND(Y28/Y16,3)</f>
        <v>0.63700000000000001</v>
      </c>
      <c r="AA33" s="7">
        <f>ROUND(AA28/AA16,3)</f>
        <v>0.56000000000000005</v>
      </c>
      <c r="AB33" s="68"/>
    </row>
    <row r="34" spans="2:29">
      <c r="B34" s="69"/>
      <c r="C34" s="60"/>
      <c r="D34" s="60"/>
      <c r="AB34" s="68"/>
    </row>
    <row r="35" spans="2:29" ht="17.25">
      <c r="B35" s="75" t="s">
        <v>99</v>
      </c>
      <c r="C35" s="60" t="s">
        <v>205</v>
      </c>
      <c r="G35" s="6">
        <f>'[6]8. Sch_Cha_NPL_Ratios'!$G$38</f>
        <v>1438282242</v>
      </c>
      <c r="I35" s="6">
        <f>'[21]8. Sch_Cha_NPL_Ratios'!$G$38</f>
        <v>1401377517</v>
      </c>
      <c r="K35" s="6">
        <v>1348006398</v>
      </c>
      <c r="M35" s="6">
        <v>1336843002</v>
      </c>
      <c r="O35" s="6">
        <v>1302871992</v>
      </c>
      <c r="Q35" s="6">
        <v>1164528195</v>
      </c>
      <c r="S35" s="6">
        <v>1145919396</v>
      </c>
      <c r="T35" s="6"/>
      <c r="U35" s="6">
        <v>1129469957</v>
      </c>
      <c r="W35" s="6">
        <v>1111744091</v>
      </c>
      <c r="Y35" s="6">
        <v>1102396453</v>
      </c>
      <c r="AA35" s="6">
        <v>1129926037</v>
      </c>
      <c r="AB35" s="68"/>
    </row>
    <row r="36" spans="2:29">
      <c r="B36" s="69"/>
      <c r="G36" s="3"/>
      <c r="I36" s="3"/>
      <c r="K36" s="3"/>
      <c r="M36" s="3"/>
      <c r="O36" s="3"/>
      <c r="Q36" s="3"/>
      <c r="S36" s="3"/>
      <c r="T36" s="6"/>
      <c r="U36" s="3"/>
      <c r="W36" s="3"/>
      <c r="Y36" s="3"/>
      <c r="AA36" s="6"/>
      <c r="AB36" s="68"/>
    </row>
    <row r="37" spans="2:29">
      <c r="B37" s="75" t="s">
        <v>100</v>
      </c>
      <c r="C37" s="60" t="s">
        <v>105</v>
      </c>
      <c r="G37" s="3"/>
      <c r="H37" s="70"/>
      <c r="I37" s="3"/>
      <c r="J37" s="70"/>
      <c r="K37" s="3"/>
      <c r="L37" s="70"/>
      <c r="M37" s="3"/>
      <c r="N37" s="70"/>
      <c r="O37" s="3"/>
      <c r="P37" s="70"/>
      <c r="Q37" s="3"/>
      <c r="R37" s="70"/>
      <c r="S37" s="3"/>
      <c r="T37" s="6"/>
      <c r="U37" s="3"/>
      <c r="V37" s="70"/>
      <c r="W37" s="3"/>
      <c r="Y37" s="3"/>
      <c r="AA37" s="6"/>
      <c r="AB37" s="68"/>
    </row>
    <row r="38" spans="2:29">
      <c r="B38" s="66"/>
      <c r="D38" s="60" t="s">
        <v>103</v>
      </c>
      <c r="G38" s="7">
        <f>ROUND(G30/G35,3)</f>
        <v>5.05</v>
      </c>
      <c r="I38" s="7">
        <f>ROUND(I30/I35,3)</f>
        <v>5.33</v>
      </c>
      <c r="K38" s="7">
        <v>3.6930000000000001</v>
      </c>
      <c r="M38" s="7">
        <f>ROUND(M30/M35,3)</f>
        <v>6.0990000000000002</v>
      </c>
      <c r="O38" s="7">
        <f>ROUND(O30/O35,3)</f>
        <v>6.1849999999999996</v>
      </c>
      <c r="Q38" s="7">
        <f>ROUND(Q30/Q35,3)</f>
        <v>6.7140000000000004</v>
      </c>
      <c r="S38" s="7">
        <f>ROUND(S30/S35,3)</f>
        <v>7.2629999999999999</v>
      </c>
      <c r="T38" s="7"/>
      <c r="U38" s="7">
        <f>ROUND(U30/U35,3)</f>
        <v>7.8849999999999998</v>
      </c>
      <c r="W38" s="7">
        <f>ROUND(W30/W35,3)</f>
        <v>6.9870000000000001</v>
      </c>
      <c r="X38" s="7"/>
      <c r="Y38" s="7">
        <f>ROUND(Y30/Y35,3)</f>
        <v>5.9160000000000004</v>
      </c>
      <c r="Z38" s="7"/>
      <c r="AA38" s="7">
        <f>ROUND(AA30/AA35,3)</f>
        <v>6.8159999999999998</v>
      </c>
      <c r="AB38" s="79"/>
      <c r="AC38" s="7"/>
    </row>
    <row r="39" spans="2:29">
      <c r="B39" s="66"/>
      <c r="D39" s="60"/>
      <c r="O39" s="7"/>
      <c r="Q39" s="7"/>
      <c r="S39" s="7"/>
      <c r="T39" s="7"/>
      <c r="U39" s="7"/>
      <c r="AB39" s="68"/>
    </row>
    <row r="40" spans="2:29" ht="18">
      <c r="B40" s="80" t="s">
        <v>102</v>
      </c>
      <c r="C40" s="81" t="s">
        <v>332</v>
      </c>
      <c r="AB40" s="68"/>
    </row>
    <row r="41" spans="2:29" ht="15.75" thickBot="1">
      <c r="B41" s="8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4"/>
    </row>
    <row r="42" spans="2:29" ht="15.75" thickTop="1"/>
  </sheetData>
  <printOptions horizontalCentered="1"/>
  <pageMargins left="0.5" right="0.5" top="0.75" bottom="0.5" header="0.25" footer="0.25"/>
  <pageSetup scale="58" orientation="landscape" r:id="rId1"/>
  <headerFooter>
    <oddFooter>&amp;L&amp;Z
&amp;F&amp;CNYC Office of the Actuary&amp;R&amp;D</oddFooter>
  </headerFooter>
  <ignoredErrors>
    <ignoredError sqref="B6 B15:B16 B18 B27:B28 B30 B32 B35 B37 B40"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2514-5B52-4BA6-800C-96B566001251}">
  <sheetPr>
    <tabColor theme="8" tint="0.59999389629810485"/>
    <pageSetUpPr fitToPage="1"/>
  </sheetPr>
  <dimension ref="B1:AB31"/>
  <sheetViews>
    <sheetView showGridLines="0" zoomScale="85" zoomScaleNormal="85" zoomScaleSheetLayoutView="85" workbookViewId="0">
      <selection activeCell="I43" sqref="I43"/>
    </sheetView>
  </sheetViews>
  <sheetFormatPr defaultColWidth="9.140625" defaultRowHeight="15"/>
  <cols>
    <col min="1" max="1" width="2.85546875" style="2" customWidth="1"/>
    <col min="2" max="2" width="3.7109375" style="2" customWidth="1"/>
    <col min="3" max="3" width="2.85546875" style="2" customWidth="1"/>
    <col min="4" max="4" width="13.5703125" style="2" customWidth="1"/>
    <col min="5" max="5" width="10.42578125" style="2" customWidth="1"/>
    <col min="6" max="6" width="21.42578125" style="2" customWidth="1"/>
    <col min="7" max="7" width="12.7109375" style="2" customWidth="1"/>
    <col min="8" max="8" width="1.7109375" style="2" customWidth="1"/>
    <col min="9" max="9" width="12.7109375" style="2" customWidth="1"/>
    <col min="10" max="10" width="1.7109375" style="2" customWidth="1"/>
    <col min="11" max="11" width="12.7109375" style="2" customWidth="1"/>
    <col min="12" max="12" width="1.7109375" style="2" customWidth="1"/>
    <col min="13" max="13" width="12.7109375" style="2" customWidth="1"/>
    <col min="14" max="14" width="1.7109375" style="2" customWidth="1"/>
    <col min="15" max="15" width="12.7109375" style="2" customWidth="1"/>
    <col min="16" max="16" width="1.7109375" style="2" customWidth="1"/>
    <col min="17" max="17" width="12.7109375" style="2" customWidth="1"/>
    <col min="18" max="18" width="1.7109375" style="2" customWidth="1"/>
    <col min="19" max="19" width="12.7109375" style="2" customWidth="1"/>
    <col min="20" max="20" width="1.7109375" style="2" customWidth="1"/>
    <col min="21" max="21" width="12.7109375" style="2" customWidth="1"/>
    <col min="22" max="22" width="1.7109375" style="2" customWidth="1"/>
    <col min="23" max="23" width="12.7109375" style="2" customWidth="1"/>
    <col min="24" max="24" width="1.7109375" style="2" customWidth="1"/>
    <col min="25" max="25" width="12.7109375" style="2" customWidth="1"/>
    <col min="26" max="26" width="1.7109375" style="2" customWidth="1"/>
    <col min="27" max="27" width="12.7109375" style="2" hidden="1" customWidth="1"/>
    <col min="28" max="28" width="1.7109375" style="2" customWidth="1"/>
    <col min="29" max="16384" width="9.140625" style="2"/>
  </cols>
  <sheetData>
    <row r="1" spans="2:28">
      <c r="C1" s="58"/>
      <c r="D1" s="59"/>
      <c r="E1" s="59"/>
      <c r="F1" s="59"/>
      <c r="G1" s="59"/>
      <c r="H1" s="59"/>
      <c r="I1" s="59"/>
      <c r="J1" s="59"/>
      <c r="K1" s="59"/>
      <c r="L1" s="59"/>
      <c r="M1" s="59"/>
      <c r="N1" s="59"/>
      <c r="O1" s="60"/>
      <c r="P1" s="60"/>
      <c r="Q1" s="60"/>
      <c r="R1" s="60"/>
      <c r="S1" s="60"/>
      <c r="T1" s="60"/>
      <c r="U1" s="60"/>
      <c r="V1" s="60"/>
    </row>
    <row r="2" spans="2:28" ht="18.75">
      <c r="B2" s="61" t="s">
        <v>125</v>
      </c>
      <c r="C2" s="62"/>
      <c r="D2" s="62"/>
      <c r="E2" s="62"/>
      <c r="F2" s="62"/>
      <c r="G2" s="62"/>
      <c r="H2" s="62"/>
      <c r="I2" s="62"/>
      <c r="J2" s="62"/>
      <c r="K2" s="62"/>
      <c r="L2" s="62"/>
      <c r="M2" s="62"/>
      <c r="N2" s="62"/>
      <c r="O2" s="62"/>
      <c r="P2" s="62"/>
      <c r="Q2" s="62"/>
      <c r="R2" s="62"/>
      <c r="S2" s="62"/>
      <c r="T2" s="62"/>
      <c r="U2" s="62"/>
      <c r="V2" s="62"/>
      <c r="W2" s="62"/>
      <c r="X2" s="62"/>
      <c r="Y2" s="62"/>
      <c r="Z2" s="62"/>
      <c r="AA2" s="62"/>
      <c r="AB2" s="62"/>
    </row>
    <row r="4" spans="2:28" ht="15.75" thickBot="1">
      <c r="B4" s="87"/>
      <c r="C4" s="87"/>
      <c r="D4" s="87"/>
      <c r="E4" s="87"/>
      <c r="F4" s="87"/>
      <c r="G4" s="87"/>
      <c r="H4" s="87"/>
      <c r="I4" s="87"/>
      <c r="J4" s="87"/>
      <c r="K4" s="87"/>
      <c r="L4" s="87"/>
      <c r="M4" s="87"/>
      <c r="N4" s="87"/>
      <c r="O4" s="87"/>
      <c r="P4" s="87"/>
      <c r="Q4" s="87"/>
      <c r="R4" s="87"/>
      <c r="S4" s="87"/>
      <c r="T4" s="87"/>
      <c r="U4" s="87"/>
      <c r="V4" s="87"/>
      <c r="W4" s="87"/>
      <c r="X4" s="87"/>
      <c r="Y4" s="87"/>
      <c r="Z4" s="87"/>
      <c r="AA4" s="87"/>
    </row>
    <row r="5" spans="2:28">
      <c r="G5" s="67">
        <v>2023</v>
      </c>
      <c r="I5" s="67">
        <v>2022</v>
      </c>
      <c r="K5" s="67">
        <v>2021</v>
      </c>
      <c r="M5" s="67">
        <v>2020</v>
      </c>
      <c r="O5" s="67">
        <v>2019</v>
      </c>
      <c r="P5" s="67"/>
      <c r="Q5" s="67">
        <v>2018</v>
      </c>
      <c r="R5" s="67"/>
      <c r="S5" s="67">
        <v>2017</v>
      </c>
      <c r="T5" s="67"/>
      <c r="U5" s="67">
        <v>2016</v>
      </c>
      <c r="V5" s="67"/>
      <c r="W5" s="67">
        <v>2015</v>
      </c>
      <c r="X5" s="59"/>
      <c r="Y5" s="67">
        <v>2014</v>
      </c>
      <c r="Z5" s="67"/>
      <c r="AA5" s="67">
        <v>2013</v>
      </c>
    </row>
    <row r="6" spans="2:28">
      <c r="B6" s="88" t="s">
        <v>34</v>
      </c>
      <c r="C6" s="60" t="s">
        <v>4</v>
      </c>
      <c r="O6" s="6"/>
      <c r="P6" s="6"/>
      <c r="Q6" s="6"/>
      <c r="R6" s="6"/>
      <c r="S6" s="6"/>
      <c r="T6" s="6"/>
      <c r="V6" s="70"/>
    </row>
    <row r="7" spans="2:28">
      <c r="B7" s="88"/>
      <c r="C7" s="71" t="s">
        <v>36</v>
      </c>
      <c r="D7" s="9" t="s">
        <v>75</v>
      </c>
      <c r="G7" s="221">
        <f>'9-Page 156'!D9</f>
        <v>0.59154087612823547</v>
      </c>
      <c r="I7" s="89">
        <f>'9-Page 156'!J9</f>
        <v>0.59576982614986196</v>
      </c>
      <c r="K7" s="89">
        <v>0.58942755072508923</v>
      </c>
      <c r="M7" s="89">
        <v>0.55979999999999996</v>
      </c>
      <c r="O7" s="89">
        <v>0.55469999999999997</v>
      </c>
      <c r="P7" s="3"/>
      <c r="Q7" s="89">
        <v>0.5444</v>
      </c>
      <c r="R7" s="3"/>
      <c r="S7" s="89">
        <v>0.54330000000000001</v>
      </c>
      <c r="T7" s="3"/>
      <c r="U7" s="89">
        <v>0.54769999999999996</v>
      </c>
      <c r="V7" s="4"/>
      <c r="W7" s="89">
        <v>0.55640000000000001</v>
      </c>
      <c r="X7" s="3"/>
      <c r="Y7" s="89">
        <v>0.5554</v>
      </c>
      <c r="Z7" s="3"/>
      <c r="AA7" s="89">
        <v>0.5554</v>
      </c>
    </row>
    <row r="8" spans="2:28">
      <c r="B8" s="88"/>
      <c r="C8" s="71" t="s">
        <v>38</v>
      </c>
      <c r="D8" s="9" t="s">
        <v>106</v>
      </c>
      <c r="G8" s="224">
        <f>ROUND('[2]7d.NPL-Chg Obligors @6-30-T (3)'!$K$91,-5)/1000000</f>
        <v>10554.3</v>
      </c>
      <c r="I8" s="224">
        <f>ROUND('[17]7d.NPL-Chg Obligors @6-30-T (3)'!$K$91,-5)/1000000</f>
        <v>10786.4</v>
      </c>
      <c r="K8" s="90">
        <f>ROUND('[25]7d.NPL-Chg Obligors @6-30-T (3)'!$K$91,-5)/1000000</f>
        <v>3780.4</v>
      </c>
      <c r="M8" s="90">
        <v>11799.2</v>
      </c>
      <c r="O8" s="91">
        <v>10274.299999999999</v>
      </c>
      <c r="P8" s="4"/>
      <c r="Q8" s="92">
        <v>9898.5</v>
      </c>
      <c r="R8" s="92"/>
      <c r="S8" s="92">
        <v>11281.7</v>
      </c>
      <c r="T8" s="92"/>
      <c r="U8" s="92">
        <v>13307.9</v>
      </c>
      <c r="V8" s="92"/>
      <c r="W8" s="92">
        <v>11262</v>
      </c>
      <c r="X8" s="92"/>
      <c r="Y8" s="92">
        <v>10008.200000000001</v>
      </c>
      <c r="Z8" s="92"/>
      <c r="AA8" s="92">
        <v>12815.3</v>
      </c>
    </row>
    <row r="9" spans="2:28">
      <c r="B9" s="88"/>
      <c r="C9" s="71" t="s">
        <v>40</v>
      </c>
      <c r="D9" s="9" t="s">
        <v>107</v>
      </c>
      <c r="G9" s="223">
        <f>ROUND('[26]Total Summary'!$N$13+'[26]Total Summary'!$W$13,-5)/1000000</f>
        <v>8454.2000000000007</v>
      </c>
      <c r="I9" s="223">
        <f>ROUND('[27]Total Summary'!$N$13+'[27]Total Summary'!$W$13,-5)/1000000</f>
        <v>8412.5</v>
      </c>
      <c r="K9" s="90">
        <f>ROUND('[28]Total Summary'!$N$13+'[28]Total Summary'!$W$13,-5)/1000000</f>
        <v>8436.7999999999993</v>
      </c>
      <c r="M9" s="90">
        <v>8203.9</v>
      </c>
      <c r="O9" s="91">
        <v>7833.4</v>
      </c>
      <c r="P9" s="4"/>
      <c r="Q9" s="92">
        <v>6729.9</v>
      </c>
      <c r="R9" s="92"/>
      <c r="S9" s="92">
        <v>6556.7</v>
      </c>
      <c r="T9" s="92"/>
      <c r="U9" s="92">
        <v>6462.2</v>
      </c>
      <c r="V9" s="92"/>
      <c r="W9" s="92">
        <v>6500.5</v>
      </c>
      <c r="X9" s="92"/>
      <c r="Y9" s="92">
        <v>6506.4</v>
      </c>
      <c r="Z9" s="92"/>
      <c r="AA9" s="92">
        <v>6322.1</v>
      </c>
    </row>
    <row r="10" spans="2:28">
      <c r="B10" s="88"/>
      <c r="C10" s="71" t="s">
        <v>42</v>
      </c>
      <c r="D10" s="9" t="s">
        <v>106</v>
      </c>
      <c r="K10" s="208"/>
      <c r="M10" s="208"/>
      <c r="O10" s="4"/>
      <c r="P10" s="4"/>
      <c r="Q10" s="4"/>
      <c r="R10" s="4"/>
      <c r="S10" s="4"/>
      <c r="T10" s="4"/>
      <c r="U10" s="4"/>
      <c r="V10" s="4"/>
      <c r="W10" s="4"/>
      <c r="Y10" s="4"/>
      <c r="AA10" s="4"/>
    </row>
    <row r="11" spans="2:28">
      <c r="B11" s="88"/>
      <c r="C11" s="71"/>
      <c r="D11" s="2" t="s">
        <v>109</v>
      </c>
      <c r="G11" s="89">
        <f>G8/G9</f>
        <v>1.2484090747793994</v>
      </c>
      <c r="I11" s="89">
        <f>I8/I9</f>
        <v>1.2821872213967309</v>
      </c>
      <c r="K11" s="89">
        <f>K8/K9</f>
        <v>0.44808458183197425</v>
      </c>
      <c r="M11" s="89">
        <f>M8/M9</f>
        <v>1.4382427869671743</v>
      </c>
      <c r="O11" s="89">
        <v>1.3116000000000001</v>
      </c>
      <c r="P11" s="4"/>
      <c r="Q11" s="89">
        <v>1.4708000000000001</v>
      </c>
      <c r="R11" s="4"/>
      <c r="S11" s="89">
        <v>1.7205999999999999</v>
      </c>
      <c r="T11" s="4"/>
      <c r="U11" s="89">
        <v>2.0592999999999999</v>
      </c>
      <c r="V11" s="4"/>
      <c r="W11" s="89">
        <v>1.7324999999999999</v>
      </c>
      <c r="X11" s="4"/>
      <c r="Y11" s="89">
        <v>1.5383</v>
      </c>
      <c r="Z11" s="4"/>
      <c r="AA11" s="89">
        <v>2.0270999999999999</v>
      </c>
    </row>
    <row r="12" spans="2:28">
      <c r="B12" s="88"/>
      <c r="C12" s="71" t="s">
        <v>44</v>
      </c>
      <c r="D12" s="2" t="s">
        <v>108</v>
      </c>
      <c r="O12" s="4"/>
      <c r="P12" s="4"/>
      <c r="Q12" s="4"/>
      <c r="R12" s="4"/>
      <c r="S12" s="4"/>
      <c r="T12" s="4"/>
      <c r="U12" s="4"/>
      <c r="V12" s="4"/>
      <c r="W12" s="4"/>
      <c r="Y12" s="4"/>
      <c r="AA12" s="4"/>
    </row>
    <row r="13" spans="2:28">
      <c r="B13" s="88"/>
      <c r="D13" s="2" t="s">
        <v>110</v>
      </c>
      <c r="G13" s="222">
        <f>'[2]8. Sch_Cha_NPL_Ratios'!$G$33/'[2]8. Sch_Cha_NPL_Ratios'!$G$19</f>
        <v>0.82216572934245791</v>
      </c>
      <c r="I13" s="222">
        <f>'[17]8. Sch_Cha_NPL_Ratios'!$G$33/'[17]8. Sch_Cha_NPL_Ratios'!$G$19</f>
        <v>0.81275965442723141</v>
      </c>
      <c r="K13" s="89">
        <f>('[25]8. Sch_Cha_NPL_Ratios'!$G$33/'[25]8. Sch_Cha_NPL_Ratios'!$G$19)</f>
        <v>0.93144359127517917</v>
      </c>
      <c r="M13" s="89">
        <v>0.76929999999999998</v>
      </c>
      <c r="O13" s="89">
        <v>0.78839999999999999</v>
      </c>
      <c r="P13" s="6"/>
      <c r="Q13" s="89">
        <v>0.78820000000000001</v>
      </c>
      <c r="S13" s="89">
        <v>0.748</v>
      </c>
      <c r="T13" s="3"/>
      <c r="U13" s="89">
        <v>0.69569999999999999</v>
      </c>
      <c r="V13" s="3"/>
      <c r="W13" s="89">
        <v>0.73129999999999995</v>
      </c>
      <c r="X13" s="4"/>
      <c r="Y13" s="89">
        <v>0.75319999999999998</v>
      </c>
      <c r="Z13" s="3"/>
      <c r="AA13" s="89">
        <v>0.67179999999999995</v>
      </c>
    </row>
    <row r="14" spans="2:28">
      <c r="B14" s="88"/>
      <c r="O14" s="6"/>
      <c r="P14" s="6"/>
      <c r="Q14" s="6"/>
      <c r="R14" s="6"/>
      <c r="S14" s="6"/>
      <c r="T14" s="6"/>
      <c r="U14" s="6"/>
      <c r="W14" s="6"/>
      <c r="Y14" s="6"/>
      <c r="AA14" s="6"/>
    </row>
    <row r="15" spans="2:28">
      <c r="B15" s="93" t="s">
        <v>35</v>
      </c>
      <c r="C15" s="60" t="s">
        <v>5</v>
      </c>
      <c r="O15" s="6"/>
      <c r="P15" s="6"/>
      <c r="Q15" s="6"/>
      <c r="R15" s="76"/>
      <c r="S15" s="6"/>
      <c r="T15" s="6"/>
      <c r="U15" s="6"/>
      <c r="V15" s="70"/>
      <c r="W15" s="6"/>
      <c r="Y15" s="6"/>
      <c r="AA15" s="6"/>
    </row>
    <row r="16" spans="2:28">
      <c r="B16" s="93"/>
      <c r="C16" s="71" t="s">
        <v>36</v>
      </c>
      <c r="D16" s="9" t="s">
        <v>75</v>
      </c>
      <c r="G16" s="221">
        <f>'9-Page 156'!F9</f>
        <v>0.96645484631612244</v>
      </c>
      <c r="I16" s="89">
        <f>'9-Page 156'!L9</f>
        <v>0.96884203242425626</v>
      </c>
      <c r="K16" s="89">
        <v>0.96932661554920663</v>
      </c>
      <c r="M16" s="89">
        <v>0.97119999999999995</v>
      </c>
      <c r="O16" s="89">
        <v>0.97219999999999995</v>
      </c>
      <c r="P16" s="6"/>
      <c r="Q16" s="89">
        <v>0.97189999999999999</v>
      </c>
      <c r="R16" s="3"/>
      <c r="S16" s="89">
        <v>0.97619999999999996</v>
      </c>
      <c r="T16" s="3"/>
      <c r="U16" s="89">
        <v>0.97070000000000001</v>
      </c>
      <c r="V16" s="4"/>
      <c r="W16" s="89">
        <v>0.97270000000000001</v>
      </c>
      <c r="X16" s="3"/>
      <c r="Y16" s="89">
        <v>0.9728</v>
      </c>
      <c r="Z16" s="3"/>
      <c r="AA16" s="89">
        <v>0.9728</v>
      </c>
    </row>
    <row r="17" spans="2:27">
      <c r="B17" s="93"/>
      <c r="C17" s="71" t="s">
        <v>38</v>
      </c>
      <c r="D17" s="9" t="s">
        <v>106</v>
      </c>
      <c r="G17" s="223">
        <f>ROUND('[3]7d. NPL-Changes @ 6-30-TY'!$H$76+'[3]7d. NPL-Changes @ 6-30-TY'!$J$76,-5)/1000000</f>
        <v>13220</v>
      </c>
      <c r="I17" s="223">
        <f>ROUND('[18]7d. NPL-Changes @ 6-30-TY'!$H$76+'[18]7d. NPL-Changes @ 6-30-TY'!$J$76,-5)/1000000</f>
        <v>14253</v>
      </c>
      <c r="K17" s="90">
        <f>ROUND('[29]7d. NPL-Changes @ 6-30-TY'!$H$76+'[29]7d. NPL-Changes @ 6-30-TY'!$J$76,-5)/1000000</f>
        <v>69</v>
      </c>
      <c r="M17" s="90">
        <v>15342.1</v>
      </c>
      <c r="O17" s="91">
        <v>14929</v>
      </c>
      <c r="P17" s="6"/>
      <c r="Q17" s="92">
        <v>18184.900000000001</v>
      </c>
      <c r="R17" s="92"/>
      <c r="S17" s="92">
        <v>22674</v>
      </c>
      <c r="T17" s="92"/>
      <c r="U17" s="92">
        <v>25599.9</v>
      </c>
      <c r="V17" s="92"/>
      <c r="W17" s="92">
        <v>20219.099999999999</v>
      </c>
      <c r="X17" s="92"/>
      <c r="Y17" s="92">
        <v>17331.099999999999</v>
      </c>
      <c r="Z17" s="92"/>
      <c r="AA17" s="92">
        <v>23010.2</v>
      </c>
    </row>
    <row r="18" spans="2:27">
      <c r="B18" s="93"/>
      <c r="C18" s="71" t="s">
        <v>40</v>
      </c>
      <c r="D18" s="9" t="s">
        <v>107</v>
      </c>
      <c r="G18" s="223">
        <f>ROUND('[30]Preliminary FY24'!$K$18+'[30]Preliminary FY24'!$AA$18,-5)/1000000</f>
        <v>11444.2</v>
      </c>
      <c r="I18" s="223">
        <f>ROUND('[31]Upd Prelim FY23'!$K$18+'[31]Upd Prelim FY23'!$AA$18,-5)/1000000</f>
        <v>11119</v>
      </c>
      <c r="K18" s="94">
        <f>ROUND('[32]Prelim FY22 - OWBPA'!$Y$18+'[32]Prelim FY22 - OWBPA'!$K$18,-5)/1000000</f>
        <v>10863.8</v>
      </c>
      <c r="M18" s="94">
        <v>10572.4</v>
      </c>
      <c r="O18" s="91">
        <v>10107.6</v>
      </c>
      <c r="P18" s="6"/>
      <c r="Q18" s="92">
        <v>8961.5</v>
      </c>
      <c r="R18" s="92"/>
      <c r="S18" s="92">
        <v>8612.7999999999993</v>
      </c>
      <c r="T18" s="92"/>
      <c r="U18" s="92">
        <v>8039.3</v>
      </c>
      <c r="V18" s="92"/>
      <c r="W18" s="92">
        <v>7869.8</v>
      </c>
      <c r="X18" s="92"/>
      <c r="Y18" s="92">
        <v>7772.8</v>
      </c>
      <c r="Z18" s="92"/>
      <c r="AA18" s="92">
        <v>7683.5</v>
      </c>
    </row>
    <row r="19" spans="2:27">
      <c r="B19" s="93"/>
      <c r="C19" s="71" t="s">
        <v>42</v>
      </c>
      <c r="D19" s="9" t="s">
        <v>106</v>
      </c>
      <c r="O19" s="4"/>
      <c r="P19" s="6"/>
      <c r="Q19" s="4"/>
      <c r="R19" s="4"/>
      <c r="S19" s="4"/>
      <c r="T19" s="4"/>
      <c r="U19" s="4"/>
      <c r="V19" s="4"/>
      <c r="W19" s="4"/>
      <c r="Y19" s="4"/>
      <c r="AA19" s="4"/>
    </row>
    <row r="20" spans="2:27">
      <c r="B20" s="93"/>
      <c r="C20" s="71"/>
      <c r="D20" s="2" t="s">
        <v>109</v>
      </c>
      <c r="G20" s="89">
        <f>G17/G18</f>
        <v>1.1551703046084478</v>
      </c>
      <c r="I20" s="89">
        <f>I17/I18</f>
        <v>1.2818598794855653</v>
      </c>
      <c r="K20" s="89">
        <f>K17/K18</f>
        <v>6.3513687659934835E-3</v>
      </c>
      <c r="M20" s="89">
        <f>M17/M18</f>
        <v>1.4511463811433545</v>
      </c>
      <c r="O20" s="89">
        <v>1.4770000000000001</v>
      </c>
      <c r="P20" s="6"/>
      <c r="Q20" s="89">
        <v>2.0291999999999999</v>
      </c>
      <c r="R20" s="4"/>
      <c r="S20" s="89">
        <v>2.6326000000000001</v>
      </c>
      <c r="T20" s="4"/>
      <c r="U20" s="89">
        <v>3.1842999999999999</v>
      </c>
      <c r="V20" s="4"/>
      <c r="W20" s="89">
        <v>2.5691999999999999</v>
      </c>
      <c r="X20" s="4"/>
      <c r="Y20" s="89">
        <v>2.2296999999999998</v>
      </c>
      <c r="Z20" s="4"/>
      <c r="AA20" s="89">
        <v>2.9948000000000001</v>
      </c>
    </row>
    <row r="21" spans="2:27">
      <c r="B21" s="93"/>
      <c r="C21" s="71" t="s">
        <v>44</v>
      </c>
      <c r="D21" s="2" t="s">
        <v>108</v>
      </c>
      <c r="O21" s="4"/>
      <c r="P21" s="6"/>
      <c r="Q21" s="4"/>
      <c r="R21" s="4"/>
      <c r="S21" s="4"/>
      <c r="T21" s="4"/>
      <c r="U21" s="4"/>
      <c r="V21" s="4"/>
      <c r="W21" s="4"/>
      <c r="Y21" s="4"/>
      <c r="AA21" s="4"/>
    </row>
    <row r="22" spans="2:27">
      <c r="B22" s="93"/>
      <c r="D22" s="2" t="s">
        <v>110</v>
      </c>
      <c r="G22" s="222">
        <f>'[3]8. Sch_Cha_NPL_Ratios'!$H$34/'[3]8. Sch_Cha_NPL_Ratios'!$H$20</f>
        <v>0.83239335059260433</v>
      </c>
      <c r="I22" s="222">
        <f>'[18]8. Sch_Cha_NPL_Ratios'!$H$34/'[18]8. Sch_Cha_NPL_Ratios'!$H$20</f>
        <v>0.81312001641108489</v>
      </c>
      <c r="K22" s="89">
        <f>('[29]8. Sch_Cha_NPL_Ratios'!$H$34/'[29]8. Sch_Cha_NPL_Ratios'!$H$20)</f>
        <v>0.99909239403641714</v>
      </c>
      <c r="M22" s="89">
        <v>0.78969999999999996</v>
      </c>
      <c r="O22" s="89">
        <v>0.79059999999999997</v>
      </c>
      <c r="P22" s="6"/>
      <c r="Q22" s="89">
        <v>0.74450000000000005</v>
      </c>
      <c r="S22" s="89">
        <v>0.68320000000000003</v>
      </c>
      <c r="T22" s="3"/>
      <c r="U22" s="89">
        <v>0.62329999999999997</v>
      </c>
      <c r="V22" s="3"/>
      <c r="W22" s="89">
        <v>0.6804</v>
      </c>
      <c r="X22" s="4"/>
      <c r="Y22" s="89">
        <v>0.71409999999999996</v>
      </c>
      <c r="Z22" s="3"/>
      <c r="AA22" s="89">
        <v>0.60909999999999997</v>
      </c>
    </row>
    <row r="23" spans="2:27">
      <c r="B23" s="93"/>
      <c r="O23" s="89"/>
      <c r="P23" s="6"/>
      <c r="Q23" s="6"/>
      <c r="R23" s="76"/>
      <c r="S23" s="6"/>
      <c r="T23" s="6"/>
      <c r="U23" s="6"/>
      <c r="V23" s="70"/>
      <c r="W23" s="6"/>
      <c r="Y23" s="6"/>
      <c r="AA23" s="6"/>
    </row>
    <row r="24" spans="2:27">
      <c r="B24" s="93" t="s">
        <v>54</v>
      </c>
      <c r="C24" s="60" t="s">
        <v>6</v>
      </c>
      <c r="O24" s="6"/>
      <c r="P24" s="6"/>
      <c r="Q24" s="6"/>
      <c r="R24" s="6"/>
      <c r="S24" s="6"/>
      <c r="T24" s="6"/>
      <c r="U24" s="6"/>
      <c r="V24" s="6"/>
      <c r="W24" s="6"/>
      <c r="X24" s="6"/>
      <c r="Y24" s="6"/>
      <c r="AA24" s="6"/>
    </row>
    <row r="25" spans="2:27">
      <c r="B25" s="88"/>
      <c r="C25" s="71" t="s">
        <v>36</v>
      </c>
      <c r="D25" s="9" t="s">
        <v>75</v>
      </c>
      <c r="G25" s="221">
        <f>'9-Page 156'!H9</f>
        <v>0.99959477089148197</v>
      </c>
      <c r="I25" s="89">
        <f>'9-Page 156'!N9</f>
        <v>0.99952286608602503</v>
      </c>
      <c r="K25" s="89">
        <v>0.99929997330995612</v>
      </c>
      <c r="M25" s="89">
        <v>0.99950000000000006</v>
      </c>
      <c r="O25" s="89">
        <v>0.99980000000000002</v>
      </c>
      <c r="Q25" s="89">
        <v>0.99970000000000003</v>
      </c>
      <c r="R25" s="3"/>
      <c r="S25" s="89">
        <v>0.99960000000000004</v>
      </c>
      <c r="T25" s="3"/>
      <c r="U25" s="89">
        <v>0.99990000000000001</v>
      </c>
      <c r="V25" s="4"/>
      <c r="W25" s="89">
        <v>0.99980000000000002</v>
      </c>
      <c r="X25" s="3"/>
      <c r="Y25" s="89">
        <v>0.99990000000000001</v>
      </c>
      <c r="Z25" s="3"/>
      <c r="AA25" s="89">
        <v>0.99990000000000001</v>
      </c>
    </row>
    <row r="26" spans="2:27">
      <c r="B26" s="93"/>
      <c r="C26" s="71" t="s">
        <v>38</v>
      </c>
      <c r="D26" s="9" t="s">
        <v>106</v>
      </c>
      <c r="G26" s="223">
        <f>ROUND('[14]8. Sch_Cha_NPL_Ratios'!$G$34*G25,-5)/1000000</f>
        <v>73</v>
      </c>
      <c r="I26" s="223">
        <f>ROUND('[19]8. Sch_Cha_NPL_Ratios'!$G$34*I25,-5)/1000000</f>
        <v>124.4</v>
      </c>
      <c r="K26" s="90">
        <f>ROUND('[33]8. Sch_Cha_NPL_Ratios'!$G$34*K25,-5)/1000000</f>
        <v>-1267.3</v>
      </c>
      <c r="M26" s="90">
        <v>277.10000000000002</v>
      </c>
      <c r="O26" s="91">
        <v>274.2</v>
      </c>
      <c r="Q26" s="92">
        <v>501.2</v>
      </c>
      <c r="R26" s="92"/>
      <c r="S26" s="92">
        <v>973.4</v>
      </c>
      <c r="T26" s="92"/>
      <c r="U26" s="92">
        <v>1384.1</v>
      </c>
      <c r="V26" s="92"/>
      <c r="W26" s="92">
        <v>1006.1</v>
      </c>
      <c r="X26" s="92"/>
      <c r="Y26" s="92">
        <v>906.5</v>
      </c>
      <c r="Z26" s="92"/>
      <c r="AA26" s="92">
        <v>1315.6</v>
      </c>
    </row>
    <row r="27" spans="2:27">
      <c r="B27" s="88"/>
      <c r="C27" s="71" t="s">
        <v>40</v>
      </c>
      <c r="D27" s="9" t="s">
        <v>107</v>
      </c>
      <c r="G27" s="223">
        <f>ROUND('[34]Prelim FY24 L1'!$J$18+'[34]Prelim FY24 L1'!$K$18,-5)/1000000</f>
        <v>1426.7</v>
      </c>
      <c r="I27" s="223">
        <f>ROUND('[35]Prelim FY23 L3'!$J$18+'[35]Prelim FY23 L3'!$K$18,-5)/1000000</f>
        <v>1483.7</v>
      </c>
      <c r="K27" s="90">
        <f>ROUND('[36]Prelim FY22 L1'!$J$18+'[36]Prelim FY22 L1'!$K$18,-5)/1000000</f>
        <v>1476</v>
      </c>
      <c r="M27" s="90">
        <v>1352.7</v>
      </c>
      <c r="O27" s="91">
        <v>1263.5</v>
      </c>
      <c r="P27" s="3"/>
      <c r="Q27" s="92">
        <v>1101.5999999999999</v>
      </c>
      <c r="R27" s="92"/>
      <c r="S27" s="92">
        <v>1051.5999999999999</v>
      </c>
      <c r="T27" s="92"/>
      <c r="U27" s="92">
        <v>1007.5</v>
      </c>
      <c r="V27" s="92"/>
      <c r="W27" s="92">
        <v>1016.8</v>
      </c>
      <c r="X27" s="92"/>
      <c r="Y27" s="92">
        <v>988.8</v>
      </c>
      <c r="Z27" s="92"/>
      <c r="AA27" s="92">
        <v>885.5</v>
      </c>
    </row>
    <row r="28" spans="2:27">
      <c r="B28" s="88"/>
      <c r="C28" s="71" t="s">
        <v>42</v>
      </c>
      <c r="D28" s="9" t="s">
        <v>106</v>
      </c>
      <c r="O28" s="4"/>
      <c r="P28" s="3"/>
      <c r="Q28" s="4"/>
      <c r="R28" s="4"/>
      <c r="S28" s="4"/>
      <c r="T28" s="4"/>
      <c r="U28" s="4"/>
      <c r="V28" s="4"/>
      <c r="W28" s="4"/>
      <c r="Y28" s="4"/>
      <c r="AA28" s="4"/>
    </row>
    <row r="29" spans="2:27">
      <c r="B29" s="88"/>
      <c r="C29" s="71"/>
      <c r="D29" s="2" t="s">
        <v>109</v>
      </c>
      <c r="G29" s="89">
        <f>G26/G27</f>
        <v>5.1167028807738137E-2</v>
      </c>
      <c r="I29" s="89">
        <f>I26/I27</f>
        <v>8.3844442946687331E-2</v>
      </c>
      <c r="K29" s="89">
        <f>K26/K27</f>
        <v>-0.85860433604336039</v>
      </c>
      <c r="M29" s="89">
        <f>M26/M27</f>
        <v>0.20484956013898131</v>
      </c>
      <c r="O29" s="89">
        <v>0.217</v>
      </c>
      <c r="P29" s="3"/>
      <c r="Q29" s="89">
        <v>0.45500000000000002</v>
      </c>
      <c r="R29" s="4"/>
      <c r="S29" s="89">
        <v>0.92559999999999998</v>
      </c>
      <c r="T29" s="4"/>
      <c r="U29" s="89">
        <v>1.3737999999999999</v>
      </c>
      <c r="V29" s="4"/>
      <c r="W29" s="89">
        <v>0.98950000000000005</v>
      </c>
      <c r="X29" s="4"/>
      <c r="Y29" s="89">
        <v>0.91679999999999995</v>
      </c>
      <c r="Z29" s="4"/>
      <c r="AA29" s="89">
        <v>1.4857</v>
      </c>
    </row>
    <row r="30" spans="2:27">
      <c r="B30" s="88"/>
      <c r="C30" s="71" t="s">
        <v>44</v>
      </c>
      <c r="D30" s="2" t="s">
        <v>108</v>
      </c>
      <c r="O30" s="4"/>
      <c r="P30" s="4"/>
      <c r="Q30" s="4"/>
      <c r="R30" s="4"/>
      <c r="S30" s="4"/>
      <c r="T30" s="4"/>
      <c r="U30" s="4"/>
      <c r="V30" s="4"/>
      <c r="W30" s="4"/>
      <c r="Y30" s="4"/>
      <c r="AA30" s="4"/>
    </row>
    <row r="31" spans="2:27">
      <c r="B31" s="88"/>
      <c r="D31" s="2" t="s">
        <v>110</v>
      </c>
      <c r="G31" s="222">
        <f>'[14]8. Sch_Cha_NPL_Ratios'!$G$32/'[14]8. Sch_Cha_NPL_Ratios'!$G$19</f>
        <v>0.9882654993840867</v>
      </c>
      <c r="I31" s="222">
        <f>'[19]8. Sch_Cha_NPL_Ratios'!$G$32/'[19]8. Sch_Cha_NPL_Ratios'!$G$19</f>
        <v>0.97926575967949725</v>
      </c>
      <c r="K31" s="89">
        <f>'[33]8. Sch_Cha_NPL_Ratios'!$G$32/'[33]8. Sch_Cha_NPL_Ratios'!$G$19</f>
        <v>1.2195589193453347</v>
      </c>
      <c r="M31" s="89">
        <v>0.94920000000000004</v>
      </c>
      <c r="O31" s="89">
        <v>0.94789999999999996</v>
      </c>
      <c r="P31" s="4"/>
      <c r="Q31" s="89">
        <v>0.90310000000000001</v>
      </c>
      <c r="S31" s="89">
        <v>0.80810000000000004</v>
      </c>
      <c r="T31" s="3"/>
      <c r="U31" s="89">
        <v>0.7117</v>
      </c>
      <c r="V31" s="3"/>
      <c r="W31" s="89">
        <v>0.77439999999999998</v>
      </c>
      <c r="X31" s="4"/>
      <c r="Y31" s="89">
        <v>0.78339999999999999</v>
      </c>
      <c r="Z31" s="3"/>
      <c r="AA31" s="89">
        <v>0.66849999999999998</v>
      </c>
    </row>
  </sheetData>
  <printOptions horizontalCentered="1"/>
  <pageMargins left="0.5" right="0.5" top="0.75" bottom="0.5" header="0.25" footer="0.25"/>
  <pageSetup scale="70" orientation="landscape" r:id="rId1"/>
  <headerFooter>
    <oddFooter>&amp;L&amp;Z
&amp;F&amp;CNYC Office of the Actuary&amp;R&amp;D</oddFooter>
  </headerFooter>
  <ignoredErrors>
    <ignoredError sqref="B6 B15 B2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5307-FA21-4ED1-84E4-66C96D3DC4D3}">
  <sheetPr>
    <tabColor theme="8" tint="0.59999389629810485"/>
    <pageSetUpPr fitToPage="1"/>
  </sheetPr>
  <dimension ref="B2:V52"/>
  <sheetViews>
    <sheetView showGridLines="0" zoomScale="85" zoomScaleNormal="85" workbookViewId="0">
      <selection activeCell="D22" sqref="D22"/>
    </sheetView>
  </sheetViews>
  <sheetFormatPr defaultColWidth="9.140625" defaultRowHeight="15"/>
  <cols>
    <col min="1" max="2" width="3.7109375" style="9" customWidth="1"/>
    <col min="3" max="3" width="35.7109375" style="9" customWidth="1"/>
    <col min="4" max="13" width="12.7109375" style="9" customWidth="1"/>
    <col min="14" max="16" width="12.7109375" style="9" hidden="1" customWidth="1"/>
    <col min="17" max="19" width="9.140625" style="9"/>
    <col min="20" max="20" width="25" style="9" bestFit="1" customWidth="1"/>
    <col min="21" max="21" width="12.28515625" style="9" bestFit="1" customWidth="1"/>
    <col min="22" max="22" width="16.28515625" style="9" bestFit="1" customWidth="1"/>
    <col min="23" max="16384" width="9.140625" style="9"/>
  </cols>
  <sheetData>
    <row r="2" spans="2:22" ht="19.5" thickBot="1">
      <c r="B2" s="237" t="s">
        <v>121</v>
      </c>
      <c r="C2" s="238"/>
      <c r="D2" s="238"/>
      <c r="E2" s="238"/>
      <c r="F2" s="238"/>
      <c r="G2" s="238"/>
      <c r="H2" s="239"/>
      <c r="I2" s="239"/>
      <c r="J2" s="239"/>
      <c r="K2" s="239"/>
      <c r="L2" s="239"/>
      <c r="M2" s="239"/>
      <c r="N2" s="239"/>
      <c r="O2" s="239"/>
      <c r="P2" s="239"/>
    </row>
    <row r="3" spans="2:22" ht="18.75">
      <c r="C3" s="240"/>
      <c r="D3" s="240"/>
      <c r="E3" s="240"/>
      <c r="F3" s="240"/>
      <c r="G3" s="240"/>
      <c r="H3" s="240"/>
      <c r="I3" s="240"/>
      <c r="J3" s="240"/>
      <c r="K3" s="240"/>
      <c r="L3" s="240"/>
      <c r="M3" s="240"/>
      <c r="N3" s="240"/>
      <c r="O3" s="240"/>
      <c r="P3" s="240"/>
    </row>
    <row r="5" spans="2:22">
      <c r="D5" s="171">
        <v>2023</v>
      </c>
      <c r="E5" s="171">
        <v>2022</v>
      </c>
      <c r="F5" s="67">
        <v>2021</v>
      </c>
      <c r="G5" s="67">
        <v>2020</v>
      </c>
      <c r="H5" s="67">
        <v>2019</v>
      </c>
      <c r="I5" s="67">
        <v>2018</v>
      </c>
      <c r="J5" s="67">
        <v>2017</v>
      </c>
      <c r="K5" s="67">
        <v>2016</v>
      </c>
      <c r="L5" s="67">
        <v>2015</v>
      </c>
      <c r="M5" s="67">
        <v>2014</v>
      </c>
      <c r="N5" s="67">
        <v>2013</v>
      </c>
      <c r="O5" s="67" t="s">
        <v>119</v>
      </c>
      <c r="P5" s="67" t="s">
        <v>120</v>
      </c>
    </row>
    <row r="6" spans="2:22">
      <c r="C6" s="73" t="s">
        <v>4</v>
      </c>
      <c r="D6" s="300" t="s">
        <v>210</v>
      </c>
      <c r="E6" s="300"/>
      <c r="F6" s="300"/>
      <c r="G6" s="300"/>
      <c r="H6" s="300"/>
      <c r="I6" s="300"/>
      <c r="J6" s="300"/>
      <c r="K6" s="300"/>
      <c r="L6" s="300"/>
      <c r="M6" s="300"/>
    </row>
    <row r="7" spans="2:22">
      <c r="C7" s="9" t="s">
        <v>111</v>
      </c>
      <c r="D7" s="241">
        <f>ROUND(SUM('[2]7c. EmpAllocations 6-30-TY'!$H$16,'[2]7c. EmpAllocations 6-30-TY'!$H$22,'[2]7c. EmpAllocations 6-30-TY'!$H$28,'[2]7c. EmpAllocations 6-30-TY'!$H$36),-3)/1000</f>
        <v>2044824</v>
      </c>
      <c r="E7" s="241">
        <f>ROUND('[17]7c. EmpAllocations 6-30-TY'!$I$16+'[17]7c. EmpAllocations 6-30-TY'!$I$22+'[17]7c. EmpAllocations 6-30-TY'!$I$28+'[17]7c. EmpAllocations 6-30-TY'!$I$36,-3)/1000</f>
        <v>2282671</v>
      </c>
      <c r="F7" s="242">
        <f>ROUND('[25]7c. EmpAllocations 6-30-TY'!$I$16+'[25]7c. EmpAllocations 6-30-TY'!$I$22+'[25]7c. EmpAllocations 6-30-TY'!$I$28+'[25]7c. EmpAllocations 6-30-TY'!$I$36,-3)/1000</f>
        <v>2217956</v>
      </c>
      <c r="G7" s="242">
        <v>2086530</v>
      </c>
      <c r="H7" s="242">
        <v>2049222</v>
      </c>
      <c r="I7" s="242">
        <v>1838554</v>
      </c>
      <c r="J7" s="242">
        <v>1808067</v>
      </c>
      <c r="K7" s="242">
        <v>1843323</v>
      </c>
      <c r="L7" s="242">
        <v>1758378</v>
      </c>
      <c r="M7" s="242">
        <v>1729616</v>
      </c>
      <c r="N7" s="242">
        <v>1692278</v>
      </c>
      <c r="O7" s="242">
        <v>3017004</v>
      </c>
      <c r="P7" s="242">
        <v>2387216</v>
      </c>
    </row>
    <row r="8" spans="2:22">
      <c r="C8" s="9" t="s">
        <v>114</v>
      </c>
      <c r="F8" s="33"/>
      <c r="G8" s="33"/>
      <c r="H8" s="33"/>
      <c r="I8" s="33"/>
      <c r="J8" s="33"/>
      <c r="K8" s="33"/>
      <c r="L8" s="33"/>
      <c r="M8" s="33"/>
      <c r="N8" s="33"/>
      <c r="O8" s="33"/>
      <c r="P8" s="33"/>
      <c r="Q8" s="48"/>
    </row>
    <row r="9" spans="2:22">
      <c r="C9" s="9" t="s">
        <v>115</v>
      </c>
      <c r="D9" s="243">
        <f>D7</f>
        <v>2044824</v>
      </c>
      <c r="E9" s="243">
        <f>E7</f>
        <v>2282671</v>
      </c>
      <c r="F9" s="243">
        <f>F7</f>
        <v>2217956</v>
      </c>
      <c r="G9" s="243">
        <f>G7</f>
        <v>2086530</v>
      </c>
      <c r="H9" s="243">
        <v>2049222</v>
      </c>
      <c r="I9" s="243">
        <v>1838554</v>
      </c>
      <c r="J9" s="243">
        <v>1808067</v>
      </c>
      <c r="K9" s="243">
        <v>1843323</v>
      </c>
      <c r="L9" s="243">
        <v>1758378</v>
      </c>
      <c r="M9" s="243">
        <v>1729616</v>
      </c>
      <c r="N9" s="243">
        <v>1692278</v>
      </c>
      <c r="O9" s="243">
        <v>3017004</v>
      </c>
      <c r="P9" s="243">
        <v>2387216</v>
      </c>
    </row>
    <row r="10" spans="2:22" ht="17.25">
      <c r="C10" s="9" t="s">
        <v>112</v>
      </c>
      <c r="D10" s="86" t="s">
        <v>211</v>
      </c>
      <c r="E10" s="86" t="s">
        <v>211</v>
      </c>
      <c r="F10" s="86" t="s">
        <v>211</v>
      </c>
      <c r="G10" s="86" t="s">
        <v>211</v>
      </c>
      <c r="H10" s="86" t="s">
        <v>211</v>
      </c>
      <c r="I10" s="86" t="s">
        <v>211</v>
      </c>
      <c r="J10" s="86" t="s">
        <v>211</v>
      </c>
      <c r="K10" s="86" t="s">
        <v>211</v>
      </c>
      <c r="L10" s="86" t="s">
        <v>211</v>
      </c>
      <c r="M10" s="86" t="s">
        <v>211</v>
      </c>
      <c r="N10" s="86" t="s">
        <v>211</v>
      </c>
      <c r="O10" s="86" t="s">
        <v>211</v>
      </c>
      <c r="P10" s="86" t="s">
        <v>211</v>
      </c>
    </row>
    <row r="11" spans="2:22">
      <c r="C11" s="9" t="s">
        <v>116</v>
      </c>
      <c r="D11" s="244">
        <f>ROUND('[26]Total Summary'!$N$13+'[26]Total Summary'!$W$13,-3)/1000</f>
        <v>8454187</v>
      </c>
      <c r="E11" s="244">
        <f>ROUND('[27]Total Summary'!$N$13+'[27]Total Summary'!$W$13,-3)/1000</f>
        <v>8412517</v>
      </c>
      <c r="F11" s="242">
        <f>ROUND('[28]Total Summary'!$N$13+'[28]Total Summary'!$W$13,-3)/1000</f>
        <v>8436814</v>
      </c>
      <c r="G11" s="242">
        <v>8203879</v>
      </c>
      <c r="H11" s="242">
        <v>7833362</v>
      </c>
      <c r="I11" s="242">
        <v>6729880</v>
      </c>
      <c r="J11" s="242">
        <v>6556720</v>
      </c>
      <c r="K11" s="242">
        <v>6462231</v>
      </c>
      <c r="L11" s="242">
        <v>6500475</v>
      </c>
      <c r="M11" s="242">
        <v>6506353</v>
      </c>
      <c r="N11" s="242">
        <v>6322125</v>
      </c>
      <c r="O11" s="242">
        <v>11812858</v>
      </c>
      <c r="P11" s="242">
        <v>11465975</v>
      </c>
    </row>
    <row r="12" spans="2:22">
      <c r="C12" s="9" t="s">
        <v>117</v>
      </c>
      <c r="F12" s="33"/>
      <c r="G12" s="33"/>
      <c r="H12" s="33"/>
      <c r="I12" s="33"/>
      <c r="J12" s="33"/>
      <c r="K12" s="33"/>
      <c r="L12" s="33"/>
      <c r="M12" s="33"/>
      <c r="N12" s="33"/>
      <c r="O12" s="33"/>
      <c r="P12" s="33"/>
    </row>
    <row r="13" spans="2:22">
      <c r="C13" s="9" t="s">
        <v>118</v>
      </c>
      <c r="D13" s="245">
        <f>D7/D11</f>
        <v>0.24187115804275444</v>
      </c>
      <c r="E13" s="245">
        <f>E7/E11</f>
        <v>0.27134221541543391</v>
      </c>
      <c r="F13" s="85">
        <f>F7/F11</f>
        <v>0.26289023320888666</v>
      </c>
      <c r="G13" s="85">
        <f>G7/G11</f>
        <v>0.25433456539278554</v>
      </c>
      <c r="H13" s="85">
        <v>0.2616</v>
      </c>
      <c r="I13" s="85">
        <v>0.27318999999999999</v>
      </c>
      <c r="J13" s="85">
        <v>0.27576000000000001</v>
      </c>
      <c r="K13" s="85">
        <v>0.28523999999999999</v>
      </c>
      <c r="L13" s="85">
        <v>0.27050000000000002</v>
      </c>
      <c r="M13" s="85">
        <v>0.26583000000000001</v>
      </c>
      <c r="N13" s="85">
        <v>0.26767999999999997</v>
      </c>
      <c r="O13" s="85">
        <v>0.25540000000000002</v>
      </c>
      <c r="P13" s="85">
        <v>0.2082</v>
      </c>
    </row>
    <row r="14" spans="2:22">
      <c r="F14" s="33"/>
      <c r="G14" s="33"/>
      <c r="H14" s="85"/>
      <c r="I14" s="85"/>
      <c r="J14" s="85"/>
      <c r="K14" s="85"/>
      <c r="L14" s="85"/>
      <c r="M14" s="33"/>
      <c r="N14" s="33"/>
      <c r="O14" s="33"/>
      <c r="P14" s="33"/>
      <c r="T14" s="246"/>
      <c r="U14" s="246"/>
      <c r="V14" s="246"/>
    </row>
    <row r="15" spans="2:22">
      <c r="C15" s="73" t="s">
        <v>5</v>
      </c>
      <c r="D15" s="73"/>
      <c r="E15" s="73"/>
      <c r="F15" s="33"/>
      <c r="G15" s="33"/>
      <c r="H15" s="33"/>
      <c r="I15" s="33"/>
      <c r="J15" s="33"/>
      <c r="K15" s="33"/>
      <c r="L15" s="33"/>
      <c r="M15" s="33"/>
      <c r="N15" s="33"/>
      <c r="O15" s="33"/>
      <c r="P15" s="33"/>
      <c r="T15" s="246"/>
      <c r="U15" s="246"/>
      <c r="V15" s="246"/>
    </row>
    <row r="16" spans="2:22">
      <c r="C16" s="9" t="s">
        <v>111</v>
      </c>
      <c r="D16" s="241">
        <f>('[37]Final FY23 w 5yr Vst'!$K$190+'[37]Final FY23 w 5yr Vst'!$AA$190)/1000</f>
        <v>2982558.73</v>
      </c>
      <c r="E16" s="241">
        <f>('[38]Prelim FY22 - OWBPA'!$K$184+'[38]Prelim FY22 - OWBPA'!$Y$184)/1000</f>
        <v>3200857.94</v>
      </c>
      <c r="F16" s="242">
        <f>(+'[39]Final FY21 - Tier 4,6 Loans'!$K$179+'[39]Final FY21 - Tier 4,6 Loans'!$Z$179)/1000</f>
        <v>3035549.5419999999</v>
      </c>
      <c r="G16" s="242">
        <f>(+'[40]Final FY20'!$Z$173+'[40]Final FY20'!$K$173)/1000</f>
        <v>3487379.2570000002</v>
      </c>
      <c r="H16" s="242">
        <v>3593742</v>
      </c>
      <c r="I16" s="242">
        <v>3779638</v>
      </c>
      <c r="J16" s="242">
        <v>3795657</v>
      </c>
      <c r="K16" s="242">
        <v>3594301</v>
      </c>
      <c r="L16" s="242">
        <v>3180865</v>
      </c>
      <c r="M16" s="242">
        <v>2917129</v>
      </c>
      <c r="N16" s="242">
        <v>2777966</v>
      </c>
      <c r="O16" s="242">
        <v>2673078</v>
      </c>
      <c r="P16" s="242">
        <v>2468973</v>
      </c>
    </row>
    <row r="17" spans="3:22" ht="15" customHeight="1">
      <c r="C17" s="9" t="s">
        <v>114</v>
      </c>
      <c r="F17" s="33"/>
      <c r="G17" s="33"/>
      <c r="H17" s="33"/>
      <c r="I17" s="33"/>
      <c r="J17" s="33"/>
      <c r="K17" s="33"/>
      <c r="L17" s="33"/>
      <c r="M17" s="33"/>
      <c r="N17" s="33"/>
      <c r="O17" s="33"/>
      <c r="P17" s="33"/>
    </row>
    <row r="18" spans="3:22">
      <c r="C18" s="9" t="s">
        <v>115</v>
      </c>
      <c r="D18" s="247">
        <f>D16</f>
        <v>2982558.73</v>
      </c>
      <c r="E18" s="247">
        <f>E16</f>
        <v>3200857.94</v>
      </c>
      <c r="F18" s="243">
        <f>F16</f>
        <v>3035549.5419999999</v>
      </c>
      <c r="G18" s="243">
        <f>+G16</f>
        <v>3487379.2570000002</v>
      </c>
      <c r="H18" s="248" t="s">
        <v>113</v>
      </c>
      <c r="I18" s="243">
        <v>3779638</v>
      </c>
      <c r="J18" s="243">
        <v>3795657</v>
      </c>
      <c r="K18" s="243">
        <v>3594301</v>
      </c>
      <c r="L18" s="243">
        <v>3180865</v>
      </c>
      <c r="M18" s="243">
        <v>2917129</v>
      </c>
      <c r="N18" s="243">
        <v>2777966</v>
      </c>
      <c r="O18" s="243">
        <v>2673078</v>
      </c>
      <c r="P18" s="243">
        <v>2468973</v>
      </c>
    </row>
    <row r="19" spans="3:22" ht="17.25">
      <c r="C19" s="9" t="s">
        <v>112</v>
      </c>
      <c r="D19" s="86" t="s">
        <v>211</v>
      </c>
      <c r="E19" s="86" t="s">
        <v>211</v>
      </c>
      <c r="F19" s="86" t="s">
        <v>211</v>
      </c>
      <c r="G19" s="86" t="s">
        <v>211</v>
      </c>
      <c r="H19" s="86" t="s">
        <v>211</v>
      </c>
      <c r="I19" s="86" t="s">
        <v>211</v>
      </c>
      <c r="J19" s="86" t="s">
        <v>211</v>
      </c>
      <c r="K19" s="86" t="s">
        <v>211</v>
      </c>
      <c r="L19" s="86" t="s">
        <v>211</v>
      </c>
      <c r="M19" s="86" t="s">
        <v>211</v>
      </c>
      <c r="N19" s="86" t="s">
        <v>211</v>
      </c>
      <c r="O19" s="86" t="s">
        <v>211</v>
      </c>
      <c r="P19" s="86" t="s">
        <v>211</v>
      </c>
    </row>
    <row r="20" spans="3:22">
      <c r="C20" s="9" t="s">
        <v>116</v>
      </c>
      <c r="D20" s="241">
        <f>ROUND('[30]Preliminary FY24'!$K$18+'[30]Preliminary FY24'!$AA$18,-3)/1000</f>
        <v>11444231</v>
      </c>
      <c r="E20" s="241">
        <f>ROUND('[31]Upd Prelim FY23'!$K$18+'[31]Upd Prelim FY23'!$AA$18,-3)/1000</f>
        <v>11118967</v>
      </c>
      <c r="F20" s="242">
        <f>ROUND('[32]Prelim FY22 - OWBPA'!$Y$18+'[32]Prelim FY22 - OWBPA'!$K$18,-3)/1000</f>
        <v>10863830</v>
      </c>
      <c r="G20" s="242">
        <v>10572449</v>
      </c>
      <c r="H20" s="242">
        <v>10107561</v>
      </c>
      <c r="I20" s="242">
        <v>8961509</v>
      </c>
      <c r="J20" s="242">
        <v>8612809</v>
      </c>
      <c r="K20" s="242">
        <v>8039326</v>
      </c>
      <c r="L20" s="242">
        <v>7869774</v>
      </c>
      <c r="M20" s="242">
        <v>7772827</v>
      </c>
      <c r="N20" s="242">
        <v>7683465</v>
      </c>
      <c r="O20" s="242">
        <v>7920935</v>
      </c>
      <c r="P20" s="242">
        <v>7935248</v>
      </c>
    </row>
    <row r="21" spans="3:22" ht="15" customHeight="1">
      <c r="C21" s="9" t="s">
        <v>117</v>
      </c>
      <c r="F21" s="33"/>
      <c r="G21" s="33"/>
      <c r="H21" s="33"/>
      <c r="I21" s="33"/>
      <c r="J21" s="33"/>
      <c r="K21" s="33"/>
      <c r="M21" s="33"/>
      <c r="N21" s="33"/>
      <c r="O21" s="33"/>
      <c r="P21" s="33"/>
      <c r="T21" s="249"/>
      <c r="V21" s="249"/>
    </row>
    <row r="22" spans="3:22">
      <c r="C22" s="9" t="s">
        <v>118</v>
      </c>
      <c r="D22" s="245">
        <f>D16/D20</f>
        <v>0.26061678849369607</v>
      </c>
      <c r="E22" s="245">
        <f>E16/E20</f>
        <v>0.28787367927254393</v>
      </c>
      <c r="F22" s="85">
        <f>F16/F20</f>
        <v>0.27941798997222894</v>
      </c>
      <c r="G22" s="85">
        <f>G16/G20</f>
        <v>0.32985538705365242</v>
      </c>
      <c r="H22" s="85">
        <v>0.35554999999999998</v>
      </c>
      <c r="I22" s="85">
        <v>0.42176000000000002</v>
      </c>
      <c r="J22" s="85">
        <v>0.44069999999999998</v>
      </c>
      <c r="K22" s="85">
        <v>0.44708999999999999</v>
      </c>
      <c r="L22" s="85">
        <v>0.40418999999999999</v>
      </c>
      <c r="M22" s="85">
        <v>0.37530000000000002</v>
      </c>
      <c r="N22" s="85">
        <v>0.36154999999999998</v>
      </c>
      <c r="O22" s="85">
        <v>0.33746999999999999</v>
      </c>
      <c r="P22" s="85">
        <v>0.31114000000000003</v>
      </c>
      <c r="T22" s="250"/>
      <c r="U22" s="251"/>
      <c r="V22" s="249"/>
    </row>
    <row r="23" spans="3:22">
      <c r="F23" s="33"/>
      <c r="G23" s="33"/>
      <c r="H23" s="33"/>
      <c r="I23" s="33"/>
      <c r="J23" s="33"/>
      <c r="K23" s="33"/>
      <c r="L23" s="33"/>
      <c r="M23" s="33"/>
      <c r="N23" s="33"/>
      <c r="O23" s="33"/>
      <c r="P23" s="33"/>
      <c r="U23" s="251"/>
      <c r="V23" s="249"/>
    </row>
    <row r="24" spans="3:22">
      <c r="C24" s="73" t="s">
        <v>6</v>
      </c>
      <c r="D24" s="73"/>
      <c r="E24" s="73"/>
      <c r="F24" s="33"/>
      <c r="G24" s="33"/>
      <c r="H24" s="33"/>
      <c r="I24" s="33"/>
      <c r="J24" s="33"/>
      <c r="K24" s="33"/>
      <c r="L24" s="33"/>
      <c r="M24" s="33"/>
      <c r="N24" s="33"/>
      <c r="O24" s="33"/>
      <c r="P24" s="33"/>
      <c r="T24" s="85"/>
    </row>
    <row r="25" spans="3:22">
      <c r="C25" s="9" t="s">
        <v>111</v>
      </c>
      <c r="D25" s="241">
        <f>ROUND(SUM('[41]Final FY23'!$J$237:$K$237),-3)/1000</f>
        <v>233452</v>
      </c>
      <c r="E25" s="241">
        <f>ROUND('[42]Final FY22'!$J$200+'[42]Final FY22'!$K$200,-3)/1000</f>
        <v>262279</v>
      </c>
      <c r="F25" s="242">
        <f>ROUND('[43]Upd Prelim FY21 L4'!$K$189+'[43]Upd Prelim FY21 L4'!$J$189,-3)/1000</f>
        <v>182855</v>
      </c>
      <c r="G25" s="242">
        <v>257367</v>
      </c>
      <c r="H25" s="242">
        <v>269594</v>
      </c>
      <c r="I25" s="242">
        <v>318540</v>
      </c>
      <c r="J25" s="242">
        <v>288116</v>
      </c>
      <c r="K25" s="242">
        <v>265497</v>
      </c>
      <c r="L25" s="242">
        <v>258055</v>
      </c>
      <c r="M25" s="242">
        <v>214574</v>
      </c>
      <c r="N25" s="242">
        <v>196231</v>
      </c>
      <c r="O25" s="242">
        <v>213651</v>
      </c>
      <c r="P25" s="242">
        <v>180191</v>
      </c>
      <c r="T25" s="249"/>
    </row>
    <row r="26" spans="3:22">
      <c r="C26" s="9" t="s">
        <v>114</v>
      </c>
      <c r="F26" s="33"/>
      <c r="G26" s="33"/>
      <c r="H26" s="33"/>
      <c r="I26" s="33"/>
      <c r="J26" s="33"/>
      <c r="K26" s="33"/>
      <c r="L26" s="33"/>
      <c r="M26" s="33"/>
      <c r="N26" s="33"/>
      <c r="O26" s="33"/>
      <c r="P26" s="33"/>
      <c r="T26" s="250"/>
    </row>
    <row r="27" spans="3:22">
      <c r="C27" s="9" t="s">
        <v>115</v>
      </c>
      <c r="D27" s="247">
        <f>D25</f>
        <v>233452</v>
      </c>
      <c r="E27" s="247">
        <f>E25</f>
        <v>262279</v>
      </c>
      <c r="F27" s="243">
        <f>F25</f>
        <v>182855</v>
      </c>
      <c r="G27" s="243">
        <v>257367</v>
      </c>
      <c r="H27" s="243">
        <v>269594</v>
      </c>
      <c r="I27" s="243">
        <v>318540</v>
      </c>
      <c r="J27" s="243">
        <v>288116</v>
      </c>
      <c r="K27" s="243">
        <v>265497</v>
      </c>
      <c r="L27" s="243">
        <v>258055</v>
      </c>
      <c r="M27" s="243">
        <v>214574</v>
      </c>
      <c r="N27" s="243">
        <v>196231</v>
      </c>
      <c r="O27" s="243">
        <v>213651</v>
      </c>
      <c r="P27" s="243">
        <v>180191</v>
      </c>
    </row>
    <row r="28" spans="3:22" ht="17.25">
      <c r="C28" s="9" t="s">
        <v>112</v>
      </c>
      <c r="D28" s="86" t="s">
        <v>211</v>
      </c>
      <c r="E28" s="86" t="s">
        <v>211</v>
      </c>
      <c r="F28" s="86" t="s">
        <v>211</v>
      </c>
      <c r="G28" s="86" t="s">
        <v>211</v>
      </c>
      <c r="H28" s="86" t="s">
        <v>211</v>
      </c>
      <c r="I28" s="86" t="s">
        <v>211</v>
      </c>
      <c r="J28" s="86" t="s">
        <v>211</v>
      </c>
      <c r="K28" s="86" t="s">
        <v>211</v>
      </c>
      <c r="L28" s="86" t="s">
        <v>211</v>
      </c>
      <c r="M28" s="86" t="s">
        <v>211</v>
      </c>
      <c r="N28" s="86" t="s">
        <v>211</v>
      </c>
      <c r="O28" s="86" t="s">
        <v>211</v>
      </c>
      <c r="P28" s="86" t="s">
        <v>211</v>
      </c>
      <c r="T28" s="249"/>
    </row>
    <row r="29" spans="3:22">
      <c r="C29" s="9" t="s">
        <v>116</v>
      </c>
      <c r="D29" s="241">
        <f>ROUND(SUM('[34]Prelim FY24 L1'!$J$18:$K$18),-3)/1000</f>
        <v>1426694</v>
      </c>
      <c r="E29" s="241">
        <f>ROUND('[35]Prelim FY23 L3'!$J$18+'[35]Prelim FY23 L3'!$K$18,-3)/1000</f>
        <v>1483750</v>
      </c>
      <c r="F29" s="242">
        <f>ROUND('[36]Prelim FY22 L1'!$J$18+'[36]Prelim FY22 L1'!$K$18,-3)/1000</f>
        <v>1476030</v>
      </c>
      <c r="G29" s="242">
        <v>1352676</v>
      </c>
      <c r="H29" s="242">
        <v>1263450</v>
      </c>
      <c r="I29" s="242">
        <v>1101553</v>
      </c>
      <c r="J29" s="242">
        <v>1051567</v>
      </c>
      <c r="K29" s="242">
        <v>1007499</v>
      </c>
      <c r="L29" s="242">
        <v>1016277</v>
      </c>
      <c r="M29" s="242">
        <v>988757</v>
      </c>
      <c r="N29" s="242">
        <v>885491</v>
      </c>
      <c r="O29" s="242">
        <v>879476</v>
      </c>
      <c r="P29" s="242">
        <v>880656</v>
      </c>
      <c r="T29" s="250"/>
      <c r="V29" s="251"/>
    </row>
    <row r="30" spans="3:22">
      <c r="C30" s="9" t="s">
        <v>117</v>
      </c>
      <c r="F30" s="33"/>
      <c r="G30" s="33"/>
      <c r="H30" s="33"/>
      <c r="I30" s="33"/>
      <c r="J30" s="33"/>
      <c r="K30" s="33"/>
      <c r="L30" s="33"/>
      <c r="M30" s="33"/>
      <c r="N30" s="33"/>
      <c r="O30" s="33"/>
      <c r="P30" s="33"/>
    </row>
    <row r="31" spans="3:22">
      <c r="C31" s="9" t="s">
        <v>118</v>
      </c>
      <c r="D31" s="245">
        <f>D25/D29</f>
        <v>0.16363144444428868</v>
      </c>
      <c r="E31" s="245">
        <f>E25/E29</f>
        <v>0.176767649536647</v>
      </c>
      <c r="F31" s="85">
        <f>F25/F29</f>
        <v>0.12388298340819631</v>
      </c>
      <c r="G31" s="85">
        <f>G25/G29</f>
        <v>0.19026507456331007</v>
      </c>
      <c r="H31" s="85">
        <v>0.21337999999999999</v>
      </c>
      <c r="I31" s="85">
        <v>0.28916999999999998</v>
      </c>
      <c r="J31" s="85">
        <v>0.27399000000000001</v>
      </c>
      <c r="K31" s="85">
        <v>0.26351999999999998</v>
      </c>
      <c r="L31" s="85">
        <v>0.25391999999999998</v>
      </c>
      <c r="M31" s="85">
        <v>0.21701000000000001</v>
      </c>
      <c r="N31" s="85">
        <v>0.22161</v>
      </c>
      <c r="O31" s="85">
        <v>0.24293000000000001</v>
      </c>
      <c r="P31" s="85">
        <v>0.20460999999999999</v>
      </c>
    </row>
    <row r="32" spans="3:22">
      <c r="F32" s="33"/>
      <c r="G32" s="33"/>
      <c r="H32" s="33"/>
      <c r="I32" s="33"/>
      <c r="J32" s="33"/>
      <c r="K32" s="33"/>
      <c r="L32" s="33"/>
      <c r="M32" s="33"/>
      <c r="N32" s="33"/>
      <c r="O32" s="33"/>
      <c r="P32" s="33"/>
    </row>
    <row r="33" spans="3:16">
      <c r="C33" s="73" t="s">
        <v>83</v>
      </c>
      <c r="D33" s="73"/>
      <c r="E33" s="73"/>
      <c r="F33" s="33"/>
      <c r="G33" s="33"/>
      <c r="H33" s="33"/>
      <c r="I33" s="33"/>
      <c r="J33" s="33"/>
      <c r="K33" s="33"/>
      <c r="L33" s="33"/>
      <c r="M33" s="33"/>
      <c r="N33" s="33"/>
      <c r="O33" s="33"/>
      <c r="P33" s="33"/>
    </row>
    <row r="34" spans="3:16">
      <c r="C34" s="9" t="s">
        <v>111</v>
      </c>
      <c r="D34" s="241">
        <f>'[5]2a. ChgsNetFidPos-POL'!$J$13</f>
        <v>2333707</v>
      </c>
      <c r="E34" s="241">
        <f>'[20]2a. ChgsNetFidPos-POL'!$J$13</f>
        <v>2490134</v>
      </c>
      <c r="F34" s="242">
        <f>'[24]2a. ChgsNetFidPos-POL'!$J$13</f>
        <v>2437728</v>
      </c>
      <c r="G34" s="242">
        <v>2458907</v>
      </c>
      <c r="H34" s="242">
        <v>2558256</v>
      </c>
      <c r="I34" s="242">
        <v>2415153</v>
      </c>
      <c r="J34" s="242">
        <v>2293840</v>
      </c>
      <c r="K34" s="242">
        <v>2393940</v>
      </c>
      <c r="L34" s="242">
        <v>2309619</v>
      </c>
      <c r="M34" s="242">
        <v>2320910</v>
      </c>
      <c r="N34" s="242">
        <v>2424690</v>
      </c>
      <c r="O34" s="242">
        <v>2385731</v>
      </c>
      <c r="P34" s="242">
        <v>2083633</v>
      </c>
    </row>
    <row r="35" spans="3:16">
      <c r="C35" s="9" t="s">
        <v>114</v>
      </c>
      <c r="F35" s="33"/>
      <c r="G35" s="33"/>
      <c r="H35" s="33"/>
      <c r="I35" s="33"/>
      <c r="J35" s="33"/>
      <c r="K35" s="33"/>
      <c r="L35" s="33"/>
      <c r="M35" s="33"/>
      <c r="N35" s="33"/>
      <c r="O35" s="33"/>
      <c r="P35" s="33"/>
    </row>
    <row r="36" spans="3:16">
      <c r="C36" s="9" t="s">
        <v>115</v>
      </c>
      <c r="D36" s="247">
        <f>D34</f>
        <v>2333707</v>
      </c>
      <c r="E36" s="247">
        <f>E34</f>
        <v>2490134</v>
      </c>
      <c r="F36" s="243">
        <f>F34</f>
        <v>2437728</v>
      </c>
      <c r="G36" s="243">
        <v>2458907</v>
      </c>
      <c r="H36" s="243">
        <v>2558256</v>
      </c>
      <c r="I36" s="243">
        <v>2415153</v>
      </c>
      <c r="J36" s="243">
        <v>2293840</v>
      </c>
      <c r="K36" s="243">
        <v>2393940</v>
      </c>
      <c r="L36" s="243">
        <v>2309619</v>
      </c>
      <c r="M36" s="243">
        <v>2320910</v>
      </c>
      <c r="N36" s="243">
        <v>2424690</v>
      </c>
      <c r="O36" s="243">
        <v>2385731</v>
      </c>
      <c r="P36" s="243">
        <v>2083633</v>
      </c>
    </row>
    <row r="37" spans="3:16" ht="17.25">
      <c r="C37" s="9" t="s">
        <v>112</v>
      </c>
      <c r="D37" s="86" t="s">
        <v>211</v>
      </c>
      <c r="E37" s="86" t="s">
        <v>211</v>
      </c>
      <c r="F37" s="86" t="s">
        <v>211</v>
      </c>
      <c r="G37" s="86" t="s">
        <v>211</v>
      </c>
      <c r="H37" s="86" t="s">
        <v>211</v>
      </c>
      <c r="I37" s="86" t="s">
        <v>211</v>
      </c>
      <c r="J37" s="86" t="s">
        <v>211</v>
      </c>
      <c r="K37" s="86" t="s">
        <v>211</v>
      </c>
      <c r="L37" s="86" t="s">
        <v>211</v>
      </c>
      <c r="M37" s="86" t="s">
        <v>211</v>
      </c>
      <c r="N37" s="86" t="s">
        <v>211</v>
      </c>
      <c r="O37" s="86" t="s">
        <v>211</v>
      </c>
      <c r="P37" s="86" t="s">
        <v>211</v>
      </c>
    </row>
    <row r="38" spans="3:16">
      <c r="C38" s="9" t="s">
        <v>116</v>
      </c>
      <c r="D38" s="241">
        <f>[5]WorkPage!$Z$7/1000</f>
        <v>4316368.2719999999</v>
      </c>
      <c r="E38" s="241">
        <f>[20]WorkPage!$Z$7/1000</f>
        <v>4262625.5209999997</v>
      </c>
      <c r="F38" s="242">
        <f>ROUND([24]WorkPage!$Z$7,-3)/1000</f>
        <v>4299649</v>
      </c>
      <c r="G38" s="242">
        <v>4244806</v>
      </c>
      <c r="H38" s="242">
        <v>4047772</v>
      </c>
      <c r="I38" s="242">
        <v>3673054</v>
      </c>
      <c r="J38" s="242">
        <v>3509985</v>
      </c>
      <c r="K38" s="242">
        <v>3540326</v>
      </c>
      <c r="L38" s="242">
        <v>3512778</v>
      </c>
      <c r="M38" s="242">
        <v>3420312</v>
      </c>
      <c r="N38" s="242">
        <v>3459872</v>
      </c>
      <c r="O38" s="242">
        <v>3448784</v>
      </c>
      <c r="P38" s="242">
        <v>3252729</v>
      </c>
    </row>
    <row r="39" spans="3:16">
      <c r="C39" s="9" t="s">
        <v>117</v>
      </c>
      <c r="F39" s="33"/>
      <c r="G39" s="33"/>
      <c r="H39" s="33"/>
      <c r="I39" s="33"/>
      <c r="J39" s="33"/>
      <c r="K39" s="33"/>
      <c r="L39" s="33"/>
      <c r="M39" s="33"/>
      <c r="N39" s="33"/>
      <c r="O39" s="33"/>
      <c r="P39" s="33"/>
    </row>
    <row r="40" spans="3:16">
      <c r="C40" s="9" t="s">
        <v>118</v>
      </c>
      <c r="D40" s="245">
        <f>D34/D38</f>
        <v>0.54066447831585762</v>
      </c>
      <c r="E40" s="245">
        <f>E34/E38</f>
        <v>0.58417845708759841</v>
      </c>
      <c r="F40" s="85">
        <f>F34/F38</f>
        <v>0.566959768111304</v>
      </c>
      <c r="G40" s="85">
        <v>0.57926999999999995</v>
      </c>
      <c r="H40" s="85">
        <v>0.63202000000000003</v>
      </c>
      <c r="I40" s="85">
        <v>0.65752999999999995</v>
      </c>
      <c r="J40" s="85">
        <v>0.65351999999999999</v>
      </c>
      <c r="K40" s="85">
        <v>0.67618999999999996</v>
      </c>
      <c r="L40" s="85">
        <v>0.65749000000000002</v>
      </c>
      <c r="M40" s="85">
        <v>0.67857000000000001</v>
      </c>
      <c r="N40" s="85">
        <v>0.70079999999999998</v>
      </c>
      <c r="O40" s="85">
        <v>0.69176000000000004</v>
      </c>
      <c r="P40" s="85">
        <v>0.64058000000000004</v>
      </c>
    </row>
    <row r="41" spans="3:16">
      <c r="F41" s="33"/>
      <c r="G41" s="33"/>
      <c r="H41" s="33"/>
      <c r="I41" s="33"/>
      <c r="J41" s="33"/>
      <c r="K41" s="33"/>
      <c r="L41" s="33"/>
      <c r="M41" s="33"/>
      <c r="N41" s="33"/>
      <c r="O41" s="33"/>
      <c r="P41" s="33"/>
    </row>
    <row r="42" spans="3:16">
      <c r="C42" s="73" t="s">
        <v>8</v>
      </c>
      <c r="D42" s="73"/>
      <c r="E42" s="73"/>
      <c r="F42" s="33"/>
      <c r="G42" s="33"/>
      <c r="H42" s="33"/>
      <c r="I42" s="33"/>
      <c r="J42" s="33"/>
      <c r="K42" s="33"/>
      <c r="L42" s="33"/>
      <c r="M42" s="33"/>
      <c r="N42" s="33"/>
      <c r="O42" s="33"/>
      <c r="P42" s="33"/>
    </row>
    <row r="43" spans="3:16">
      <c r="C43" s="9" t="s">
        <v>111</v>
      </c>
      <c r="D43" s="241">
        <f>'[6]9. SchedEmplrContrib'!$G$9</f>
        <v>1423600.676</v>
      </c>
      <c r="E43" s="241">
        <f>'[21]2a. ChgsNetFidPos-FIRE'!$J$13</f>
        <v>1446992</v>
      </c>
      <c r="F43" s="242">
        <f>'[44]2a. ChgsNetFidPos-FIRE'!$J$13</f>
        <v>1436977</v>
      </c>
      <c r="G43" s="242">
        <v>1419269.763</v>
      </c>
      <c r="H43" s="242">
        <v>1398565</v>
      </c>
      <c r="I43" s="242">
        <v>1200417</v>
      </c>
      <c r="J43" s="242">
        <v>1061170</v>
      </c>
      <c r="K43" s="242">
        <v>1054478</v>
      </c>
      <c r="L43" s="242">
        <v>988784</v>
      </c>
      <c r="M43" s="242">
        <v>969956</v>
      </c>
      <c r="N43" s="242">
        <v>962173</v>
      </c>
      <c r="O43" s="242">
        <v>976895</v>
      </c>
      <c r="P43" s="242">
        <v>890706</v>
      </c>
    </row>
    <row r="44" spans="3:16">
      <c r="C44" s="9" t="s">
        <v>114</v>
      </c>
      <c r="F44" s="33"/>
      <c r="G44" s="33"/>
      <c r="H44" s="33"/>
      <c r="I44" s="33"/>
      <c r="J44" s="33"/>
      <c r="K44" s="33"/>
      <c r="L44" s="33"/>
      <c r="M44" s="33"/>
      <c r="N44" s="33"/>
      <c r="O44" s="33"/>
      <c r="P44" s="33"/>
    </row>
    <row r="45" spans="3:16">
      <c r="C45" s="9" t="s">
        <v>115</v>
      </c>
      <c r="D45" s="247">
        <f>D43</f>
        <v>1423600.676</v>
      </c>
      <c r="E45" s="247">
        <f>E43</f>
        <v>1446992</v>
      </c>
      <c r="F45" s="243">
        <f>F43</f>
        <v>1436977</v>
      </c>
      <c r="G45" s="243">
        <v>1419269.763</v>
      </c>
      <c r="H45" s="243">
        <v>1398565</v>
      </c>
      <c r="I45" s="243">
        <v>1200417</v>
      </c>
      <c r="J45" s="243">
        <v>1061170</v>
      </c>
      <c r="K45" s="243">
        <v>1054478</v>
      </c>
      <c r="L45" s="243">
        <v>988784</v>
      </c>
      <c r="M45" s="243">
        <v>969956</v>
      </c>
      <c r="N45" s="243">
        <v>962173</v>
      </c>
      <c r="O45" s="243">
        <v>976895</v>
      </c>
      <c r="P45" s="243">
        <v>890706</v>
      </c>
    </row>
    <row r="46" spans="3:16" ht="17.25">
      <c r="C46" s="9" t="s">
        <v>112</v>
      </c>
      <c r="D46" s="86" t="s">
        <v>211</v>
      </c>
      <c r="E46" s="86" t="s">
        <v>211</v>
      </c>
      <c r="F46" s="86" t="s">
        <v>211</v>
      </c>
      <c r="G46" s="86" t="s">
        <v>211</v>
      </c>
      <c r="H46" s="86" t="s">
        <v>211</v>
      </c>
      <c r="I46" s="86" t="s">
        <v>211</v>
      </c>
      <c r="J46" s="86" t="s">
        <v>211</v>
      </c>
      <c r="K46" s="86" t="s">
        <v>211</v>
      </c>
      <c r="L46" s="86" t="s">
        <v>211</v>
      </c>
      <c r="M46" s="86" t="s">
        <v>211</v>
      </c>
      <c r="N46" s="86" t="s">
        <v>211</v>
      </c>
      <c r="O46" s="86" t="s">
        <v>211</v>
      </c>
      <c r="P46" s="86" t="s">
        <v>211</v>
      </c>
    </row>
    <row r="47" spans="3:16">
      <c r="C47" s="9" t="s">
        <v>116</v>
      </c>
      <c r="D47" s="241">
        <f>ROUND([6]Workpage!$T$7,-3)/1000</f>
        <v>1438282</v>
      </c>
      <c r="E47" s="241">
        <f>ROUND([21]Workpage!$T$7,-3)/1000</f>
        <v>1401378</v>
      </c>
      <c r="F47" s="242">
        <f>ROUND([44]Workpage!$T$7,-3)/1000</f>
        <v>1348006</v>
      </c>
      <c r="G47" s="242">
        <v>1336843.0020000001</v>
      </c>
      <c r="H47" s="242">
        <v>1302872</v>
      </c>
      <c r="I47" s="242">
        <v>1164528</v>
      </c>
      <c r="J47" s="242">
        <v>1145919</v>
      </c>
      <c r="K47" s="242">
        <v>1129470</v>
      </c>
      <c r="L47" s="242">
        <v>1111744</v>
      </c>
      <c r="M47" s="242">
        <v>1102396</v>
      </c>
      <c r="N47" s="242">
        <v>1129926</v>
      </c>
      <c r="O47" s="242">
        <v>1149423</v>
      </c>
      <c r="P47" s="242">
        <v>1057243</v>
      </c>
    </row>
    <row r="48" spans="3:16">
      <c r="C48" s="9" t="s">
        <v>117</v>
      </c>
      <c r="F48" s="33"/>
      <c r="G48" s="33"/>
      <c r="H48" s="33"/>
      <c r="I48" s="33"/>
      <c r="J48" s="33"/>
      <c r="K48" s="33"/>
      <c r="L48" s="33"/>
      <c r="M48" s="33"/>
      <c r="N48" s="33"/>
      <c r="O48" s="33"/>
      <c r="P48" s="33"/>
    </row>
    <row r="49" spans="2:16">
      <c r="C49" s="9" t="s">
        <v>118</v>
      </c>
      <c r="D49" s="245">
        <f>D43/D47</f>
        <v>0.9897924579463554</v>
      </c>
      <c r="E49" s="245">
        <f>E43/E47</f>
        <v>1.0325493906711822</v>
      </c>
      <c r="F49" s="85">
        <f>F43/F47</f>
        <v>1.0660019317421436</v>
      </c>
      <c r="G49" s="95">
        <v>1.06166</v>
      </c>
      <c r="H49" s="85">
        <v>1.07345</v>
      </c>
      <c r="I49" s="85">
        <v>1.0308200000000001</v>
      </c>
      <c r="J49" s="85">
        <v>0.92603999999999997</v>
      </c>
      <c r="K49" s="85">
        <v>0.93359999999999999</v>
      </c>
      <c r="L49" s="85">
        <v>0.88939999999999997</v>
      </c>
      <c r="M49" s="85">
        <v>0.87985999999999998</v>
      </c>
      <c r="N49" s="85">
        <v>0.85153999999999996</v>
      </c>
      <c r="O49" s="85">
        <v>0.84989999999999999</v>
      </c>
      <c r="P49" s="85">
        <v>0.84248000000000001</v>
      </c>
    </row>
    <row r="51" spans="2:16" hidden="1">
      <c r="B51" s="33" t="s">
        <v>122</v>
      </c>
      <c r="C51" s="319" t="s">
        <v>201</v>
      </c>
      <c r="D51" s="319"/>
      <c r="E51" s="319"/>
      <c r="F51" s="319"/>
      <c r="G51" s="319"/>
      <c r="H51" s="319"/>
      <c r="I51" s="319"/>
      <c r="J51" s="319"/>
      <c r="K51" s="319"/>
      <c r="L51" s="319"/>
      <c r="M51" s="319"/>
      <c r="N51" s="319"/>
      <c r="O51" s="319"/>
      <c r="P51" s="319"/>
    </row>
    <row r="52" spans="2:16" ht="24" hidden="1" customHeight="1">
      <c r="C52" s="319"/>
      <c r="D52" s="319"/>
      <c r="E52" s="319"/>
      <c r="F52" s="319"/>
      <c r="G52" s="319"/>
      <c r="H52" s="319"/>
      <c r="I52" s="319"/>
      <c r="J52" s="319"/>
      <c r="K52" s="319"/>
      <c r="L52" s="319"/>
      <c r="M52" s="319"/>
      <c r="N52" s="319"/>
      <c r="O52" s="319"/>
      <c r="P52" s="319"/>
    </row>
  </sheetData>
  <mergeCells count="2">
    <mergeCell ref="C51:P52"/>
    <mergeCell ref="D6:M6"/>
  </mergeCells>
  <phoneticPr fontId="3" type="noConversion"/>
  <pageMargins left="0.7" right="0.7" top="0.75" bottom="0.75" header="0.3" footer="0.3"/>
  <pageSetup scale="63" orientation="landscape" r:id="rId1"/>
  <headerFooter>
    <oddFooter>&amp;L&amp;Z
&amp;F&amp;CNYC Office of the Actuary&amp;R&amp;D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4CD3C-8E51-427A-B344-67F4AC868D82}">
  <sheetPr>
    <tabColor theme="8" tint="0.59999389629810485"/>
    <pageSetUpPr fitToPage="1"/>
  </sheetPr>
  <dimension ref="C3:Q74"/>
  <sheetViews>
    <sheetView showGridLines="0" zoomScaleNormal="100" zoomScaleSheetLayoutView="85" workbookViewId="0">
      <selection activeCell="D73" sqref="D73:Q74"/>
    </sheetView>
  </sheetViews>
  <sheetFormatPr defaultColWidth="9.140625" defaultRowHeight="15"/>
  <cols>
    <col min="1" max="2" width="3.7109375" style="9" customWidth="1"/>
    <col min="3" max="3" width="2.7109375" style="9" customWidth="1"/>
    <col min="4" max="4" width="33.140625" style="9" bestFit="1" customWidth="1"/>
    <col min="5" max="14" width="20.7109375" style="9" customWidth="1"/>
    <col min="15" max="17" width="20.7109375" style="9" hidden="1" customWidth="1"/>
    <col min="18" max="16384" width="9.140625" style="9"/>
  </cols>
  <sheetData>
    <row r="3" spans="3:17" ht="16.5" thickBot="1">
      <c r="C3" s="252" t="s">
        <v>200</v>
      </c>
      <c r="D3" s="252"/>
      <c r="E3" s="252"/>
      <c r="F3" s="252"/>
      <c r="G3" s="252"/>
      <c r="H3" s="252"/>
      <c r="I3" s="253"/>
      <c r="J3" s="253"/>
      <c r="K3" s="253"/>
      <c r="L3" s="253"/>
      <c r="M3" s="253"/>
      <c r="N3" s="253"/>
      <c r="O3" s="253"/>
      <c r="P3" s="253"/>
      <c r="Q3" s="253"/>
    </row>
    <row r="4" spans="3:17" ht="14.45" customHeight="1">
      <c r="C4" s="324" t="s">
        <v>363</v>
      </c>
      <c r="D4" s="324"/>
      <c r="E4" s="324"/>
      <c r="F4" s="324"/>
      <c r="G4" s="324"/>
      <c r="H4" s="324"/>
      <c r="I4" s="324"/>
      <c r="J4" s="324"/>
      <c r="K4" s="324"/>
      <c r="L4" s="324"/>
      <c r="M4" s="324"/>
      <c r="N4" s="324"/>
      <c r="O4" s="324"/>
      <c r="P4" s="324"/>
      <c r="Q4" s="324"/>
    </row>
    <row r="5" spans="3:17">
      <c r="C5" s="324"/>
      <c r="D5" s="324"/>
      <c r="E5" s="324"/>
      <c r="F5" s="324"/>
      <c r="G5" s="324"/>
      <c r="H5" s="324"/>
      <c r="I5" s="324"/>
      <c r="J5" s="324"/>
      <c r="K5" s="324"/>
      <c r="L5" s="324"/>
      <c r="M5" s="324"/>
      <c r="N5" s="324"/>
      <c r="O5" s="324"/>
      <c r="P5" s="324"/>
      <c r="Q5" s="324"/>
    </row>
    <row r="6" spans="3:17">
      <c r="C6" s="321"/>
      <c r="D6" s="321"/>
      <c r="E6" s="321"/>
      <c r="F6" s="321"/>
      <c r="G6" s="321"/>
      <c r="H6" s="321"/>
      <c r="I6" s="321"/>
      <c r="J6" s="321"/>
      <c r="K6" s="321"/>
      <c r="L6" s="321"/>
      <c r="M6" s="321"/>
      <c r="N6" s="321"/>
      <c r="O6" s="321"/>
      <c r="P6" s="321"/>
      <c r="Q6" s="321"/>
    </row>
    <row r="7" spans="3:17" ht="20.100000000000001" customHeight="1">
      <c r="C7" s="325" t="s">
        <v>137</v>
      </c>
      <c r="D7" s="325"/>
      <c r="E7" s="254">
        <v>2024</v>
      </c>
      <c r="F7" s="254">
        <v>2023</v>
      </c>
      <c r="G7" s="254">
        <v>2022</v>
      </c>
      <c r="H7" s="254">
        <v>2021</v>
      </c>
      <c r="I7" s="254">
        <v>2020</v>
      </c>
      <c r="J7" s="254">
        <v>2019</v>
      </c>
      <c r="K7" s="254">
        <v>2018</v>
      </c>
      <c r="L7" s="254">
        <v>2017</v>
      </c>
      <c r="M7" s="254">
        <v>2016</v>
      </c>
      <c r="N7" s="254">
        <v>2015</v>
      </c>
      <c r="O7" s="254">
        <v>2014</v>
      </c>
      <c r="P7" s="254">
        <v>2013</v>
      </c>
      <c r="Q7" s="254">
        <v>2012</v>
      </c>
    </row>
    <row r="8" spans="3:17" ht="15" customHeight="1">
      <c r="C8" s="326" t="s">
        <v>138</v>
      </c>
      <c r="D8" s="326"/>
      <c r="E8" s="263" t="s">
        <v>352</v>
      </c>
      <c r="F8" s="263" t="s">
        <v>353</v>
      </c>
      <c r="G8" s="263" t="s">
        <v>354</v>
      </c>
      <c r="H8" s="263" t="s">
        <v>355</v>
      </c>
      <c r="I8" s="263" t="s">
        <v>356</v>
      </c>
      <c r="J8" s="263" t="s">
        <v>357</v>
      </c>
      <c r="K8" s="263" t="s">
        <v>358</v>
      </c>
      <c r="L8" s="263" t="s">
        <v>359</v>
      </c>
      <c r="M8" s="263" t="s">
        <v>360</v>
      </c>
      <c r="N8" s="263" t="s">
        <v>361</v>
      </c>
      <c r="O8" s="263" t="s">
        <v>362</v>
      </c>
      <c r="P8" s="256" t="s">
        <v>139</v>
      </c>
      <c r="Q8" s="256" t="s">
        <v>140</v>
      </c>
    </row>
    <row r="9" spans="3:17" s="236" customFormat="1" ht="15" customHeight="1">
      <c r="C9" s="326" t="s">
        <v>206</v>
      </c>
      <c r="D9" s="326"/>
      <c r="E9" s="256" t="s">
        <v>204</v>
      </c>
      <c r="F9" s="256" t="s">
        <v>204</v>
      </c>
      <c r="G9" s="256" t="s">
        <v>204</v>
      </c>
      <c r="H9" s="256" t="s">
        <v>204</v>
      </c>
      <c r="I9" s="256" t="s">
        <v>204</v>
      </c>
      <c r="J9" s="256" t="s">
        <v>204</v>
      </c>
      <c r="K9" s="256" t="s">
        <v>204</v>
      </c>
      <c r="L9" s="256" t="s">
        <v>204</v>
      </c>
      <c r="M9" s="256" t="s">
        <v>204</v>
      </c>
      <c r="N9" s="256" t="s">
        <v>204</v>
      </c>
      <c r="O9" s="256" t="s">
        <v>204</v>
      </c>
      <c r="P9" s="256" t="s">
        <v>204</v>
      </c>
      <c r="Q9" s="256" t="s">
        <v>204</v>
      </c>
    </row>
    <row r="10" spans="3:17" s="236" customFormat="1" ht="15" customHeight="1">
      <c r="C10" s="324" t="s">
        <v>141</v>
      </c>
      <c r="D10" s="324"/>
      <c r="E10" s="257"/>
      <c r="F10" s="257"/>
      <c r="G10" s="257"/>
      <c r="H10" s="257"/>
      <c r="I10" s="257"/>
      <c r="J10" s="257"/>
      <c r="K10" s="257"/>
      <c r="L10" s="257"/>
      <c r="M10" s="257"/>
      <c r="N10" s="257"/>
      <c r="O10" s="257"/>
      <c r="P10" s="257"/>
      <c r="Q10" s="257"/>
    </row>
    <row r="11" spans="3:17" s="236" customFormat="1" ht="15" customHeight="1">
      <c r="D11" s="235" t="s">
        <v>142</v>
      </c>
      <c r="E11" s="257"/>
      <c r="F11" s="257"/>
      <c r="G11" s="257"/>
      <c r="H11" s="257"/>
      <c r="I11" s="257"/>
      <c r="J11" s="257"/>
      <c r="K11" s="257"/>
      <c r="L11" s="257"/>
      <c r="M11" s="257"/>
      <c r="N11" s="257"/>
      <c r="O11" s="257"/>
      <c r="P11" s="257"/>
      <c r="Q11" s="257"/>
    </row>
    <row r="12" spans="3:17" s="236" customFormat="1" ht="15" customHeight="1">
      <c r="D12" s="235" t="s">
        <v>143</v>
      </c>
      <c r="E12" s="256" t="s">
        <v>144</v>
      </c>
      <c r="F12" s="256" t="s">
        <v>144</v>
      </c>
      <c r="G12" s="256" t="s">
        <v>144</v>
      </c>
      <c r="H12" s="256" t="s">
        <v>144</v>
      </c>
      <c r="I12" s="256" t="s">
        <v>144</v>
      </c>
      <c r="J12" s="256" t="s">
        <v>144</v>
      </c>
      <c r="K12" s="256" t="s">
        <v>144</v>
      </c>
      <c r="L12" s="256" t="s">
        <v>144</v>
      </c>
      <c r="M12" s="256" t="s">
        <v>144</v>
      </c>
      <c r="N12" s="256" t="s">
        <v>144</v>
      </c>
      <c r="O12" s="256" t="s">
        <v>144</v>
      </c>
      <c r="P12" s="256" t="s">
        <v>144</v>
      </c>
      <c r="Q12" s="256" t="s">
        <v>144</v>
      </c>
    </row>
    <row r="13" spans="3:17" s="236" customFormat="1" ht="15" customHeight="1">
      <c r="E13" s="256" t="s">
        <v>145</v>
      </c>
      <c r="F13" s="256" t="s">
        <v>145</v>
      </c>
      <c r="G13" s="256" t="s">
        <v>145</v>
      </c>
      <c r="H13" s="256" t="s">
        <v>145</v>
      </c>
      <c r="I13" s="256" t="s">
        <v>145</v>
      </c>
      <c r="J13" s="256" t="s">
        <v>145</v>
      </c>
      <c r="K13" s="256" t="s">
        <v>145</v>
      </c>
      <c r="L13" s="256" t="s">
        <v>145</v>
      </c>
      <c r="M13" s="256" t="s">
        <v>145</v>
      </c>
      <c r="N13" s="256" t="s">
        <v>145</v>
      </c>
      <c r="O13" s="256" t="s">
        <v>145</v>
      </c>
      <c r="P13" s="256" t="s">
        <v>145</v>
      </c>
      <c r="Q13" s="256" t="s">
        <v>145</v>
      </c>
    </row>
    <row r="14" spans="3:17" s="236" customFormat="1" ht="15" customHeight="1">
      <c r="D14" s="235" t="s">
        <v>147</v>
      </c>
      <c r="E14" s="256" t="s">
        <v>148</v>
      </c>
      <c r="F14" s="256" t="s">
        <v>148</v>
      </c>
      <c r="G14" s="256" t="s">
        <v>148</v>
      </c>
      <c r="H14" s="256" t="s">
        <v>148</v>
      </c>
      <c r="I14" s="256" t="s">
        <v>148</v>
      </c>
      <c r="J14" s="256" t="s">
        <v>148</v>
      </c>
      <c r="K14" s="256" t="s">
        <v>148</v>
      </c>
      <c r="L14" s="256" t="s">
        <v>148</v>
      </c>
      <c r="M14" s="256" t="s">
        <v>148</v>
      </c>
      <c r="N14" s="256" t="s">
        <v>148</v>
      </c>
      <c r="O14" s="256" t="s">
        <v>148</v>
      </c>
      <c r="P14" s="256" t="s">
        <v>148</v>
      </c>
      <c r="Q14" s="256" t="s">
        <v>148</v>
      </c>
    </row>
    <row r="15" spans="3:17" s="236" customFormat="1" ht="15" customHeight="1">
      <c r="C15" s="326" t="s">
        <v>149</v>
      </c>
      <c r="D15" s="326"/>
      <c r="E15" s="255"/>
      <c r="F15" s="255"/>
      <c r="G15" s="257"/>
      <c r="H15" s="257"/>
      <c r="I15" s="257"/>
      <c r="J15" s="257"/>
      <c r="K15" s="257"/>
      <c r="L15" s="257"/>
      <c r="M15" s="257"/>
      <c r="N15" s="257"/>
      <c r="O15" s="257"/>
      <c r="P15" s="257"/>
      <c r="Q15" s="257"/>
    </row>
    <row r="16" spans="3:17" s="236" customFormat="1" ht="15" customHeight="1">
      <c r="D16" s="235" t="s">
        <v>143</v>
      </c>
      <c r="E16" s="256" t="s">
        <v>169</v>
      </c>
      <c r="F16" s="256" t="s">
        <v>170</v>
      </c>
      <c r="G16" s="256" t="s">
        <v>171</v>
      </c>
      <c r="H16" s="256" t="s">
        <v>172</v>
      </c>
      <c r="I16" s="256" t="s">
        <v>150</v>
      </c>
      <c r="J16" s="256" t="s">
        <v>151</v>
      </c>
      <c r="K16" s="256" t="s">
        <v>152</v>
      </c>
      <c r="L16" s="256" t="s">
        <v>153</v>
      </c>
      <c r="M16" s="256" t="s">
        <v>154</v>
      </c>
      <c r="N16" s="256" t="s">
        <v>155</v>
      </c>
      <c r="O16" s="256" t="s">
        <v>156</v>
      </c>
      <c r="P16" s="256" t="s">
        <v>157</v>
      </c>
      <c r="Q16" s="256" t="s">
        <v>158</v>
      </c>
    </row>
    <row r="17" spans="4:17" s="236" customFormat="1" ht="15" customHeight="1">
      <c r="D17" s="235" t="s">
        <v>159</v>
      </c>
      <c r="E17" s="256" t="s">
        <v>160</v>
      </c>
      <c r="F17" s="256" t="s">
        <v>160</v>
      </c>
      <c r="G17" s="256" t="s">
        <v>160</v>
      </c>
      <c r="H17" s="256" t="s">
        <v>160</v>
      </c>
      <c r="I17" s="256" t="s">
        <v>160</v>
      </c>
      <c r="J17" s="256" t="s">
        <v>160</v>
      </c>
      <c r="K17" s="256" t="s">
        <v>160</v>
      </c>
      <c r="L17" s="256" t="s">
        <v>161</v>
      </c>
      <c r="M17" s="256" t="s">
        <v>162</v>
      </c>
      <c r="N17" s="256" t="s">
        <v>163</v>
      </c>
      <c r="O17" s="256" t="s">
        <v>164</v>
      </c>
      <c r="P17" s="256" t="s">
        <v>165</v>
      </c>
      <c r="Q17" s="256" t="s">
        <v>146</v>
      </c>
    </row>
    <row r="18" spans="4:17" s="236" customFormat="1" ht="15" customHeight="1">
      <c r="D18" s="235" t="s">
        <v>166</v>
      </c>
      <c r="E18" s="256" t="s">
        <v>164</v>
      </c>
      <c r="F18" s="256" t="s">
        <v>165</v>
      </c>
      <c r="G18" s="256" t="s">
        <v>300</v>
      </c>
      <c r="H18" s="256" t="s">
        <v>202</v>
      </c>
      <c r="I18" s="256" t="s">
        <v>167</v>
      </c>
      <c r="J18" s="256" t="s">
        <v>168</v>
      </c>
      <c r="K18" s="256" t="s">
        <v>169</v>
      </c>
      <c r="L18" s="256" t="s">
        <v>170</v>
      </c>
      <c r="M18" s="256" t="s">
        <v>171</v>
      </c>
      <c r="N18" s="256" t="s">
        <v>172</v>
      </c>
      <c r="O18" s="256" t="s">
        <v>150</v>
      </c>
      <c r="P18" s="256" t="s">
        <v>151</v>
      </c>
      <c r="Q18" s="256" t="s">
        <v>146</v>
      </c>
    </row>
    <row r="19" spans="4:17" s="236" customFormat="1" ht="15" customHeight="1">
      <c r="D19" s="235" t="s">
        <v>173</v>
      </c>
      <c r="E19" s="256" t="s">
        <v>165</v>
      </c>
      <c r="F19" s="256" t="s">
        <v>300</v>
      </c>
      <c r="G19" s="256" t="s">
        <v>202</v>
      </c>
      <c r="H19" s="256" t="s">
        <v>167</v>
      </c>
      <c r="I19" s="256" t="s">
        <v>168</v>
      </c>
      <c r="J19" s="256" t="s">
        <v>169</v>
      </c>
      <c r="K19" s="256" t="s">
        <v>170</v>
      </c>
      <c r="L19" s="256" t="s">
        <v>171</v>
      </c>
      <c r="M19" s="256" t="s">
        <v>172</v>
      </c>
      <c r="N19" s="256" t="s">
        <v>150</v>
      </c>
      <c r="O19" s="256" t="s">
        <v>151</v>
      </c>
      <c r="P19" s="256" t="s">
        <v>146</v>
      </c>
      <c r="Q19" s="256" t="s">
        <v>146</v>
      </c>
    </row>
    <row r="20" spans="4:17" s="236" customFormat="1" ht="15" customHeight="1">
      <c r="D20" s="235" t="s">
        <v>174</v>
      </c>
      <c r="E20" s="256" t="s">
        <v>300</v>
      </c>
      <c r="F20" s="256" t="s">
        <v>202</v>
      </c>
      <c r="G20" s="256" t="s">
        <v>167</v>
      </c>
      <c r="H20" s="256" t="s">
        <v>168</v>
      </c>
      <c r="I20" s="256" t="s">
        <v>169</v>
      </c>
      <c r="J20" s="256" t="s">
        <v>170</v>
      </c>
      <c r="K20" s="256" t="s">
        <v>171</v>
      </c>
      <c r="L20" s="256" t="s">
        <v>172</v>
      </c>
      <c r="M20" s="256" t="s">
        <v>150</v>
      </c>
      <c r="N20" s="256" t="s">
        <v>151</v>
      </c>
      <c r="O20" s="256" t="s">
        <v>146</v>
      </c>
      <c r="P20" s="256" t="s">
        <v>146</v>
      </c>
      <c r="Q20" s="256" t="s">
        <v>146</v>
      </c>
    </row>
    <row r="21" spans="4:17" s="236" customFormat="1" ht="15" customHeight="1">
      <c r="D21" s="235" t="s">
        <v>175</v>
      </c>
      <c r="E21" s="256" t="s">
        <v>160</v>
      </c>
      <c r="F21" s="256" t="s">
        <v>176</v>
      </c>
      <c r="G21" s="256" t="s">
        <v>176</v>
      </c>
      <c r="H21" s="256" t="s">
        <v>176</v>
      </c>
      <c r="I21" s="256" t="s">
        <v>176</v>
      </c>
      <c r="J21" s="256" t="s">
        <v>177</v>
      </c>
      <c r="K21" s="256" t="s">
        <v>162</v>
      </c>
      <c r="L21" s="256" t="s">
        <v>163</v>
      </c>
      <c r="M21" s="256" t="s">
        <v>164</v>
      </c>
      <c r="N21" s="256" t="s">
        <v>165</v>
      </c>
      <c r="O21" s="256" t="s">
        <v>146</v>
      </c>
      <c r="P21" s="256" t="s">
        <v>146</v>
      </c>
      <c r="Q21" s="256" t="s">
        <v>146</v>
      </c>
    </row>
    <row r="22" spans="4:17" s="236" customFormat="1" ht="15" customHeight="1">
      <c r="D22" s="235" t="s">
        <v>178</v>
      </c>
      <c r="E22" s="256" t="s">
        <v>202</v>
      </c>
      <c r="F22" s="256" t="s">
        <v>167</v>
      </c>
      <c r="G22" s="256" t="s">
        <v>168</v>
      </c>
      <c r="H22" s="256" t="s">
        <v>169</v>
      </c>
      <c r="I22" s="256" t="s">
        <v>179</v>
      </c>
      <c r="J22" s="256" t="s">
        <v>180</v>
      </c>
      <c r="K22" s="256" t="s">
        <v>181</v>
      </c>
      <c r="L22" s="256" t="s">
        <v>182</v>
      </c>
      <c r="M22" s="256" t="s">
        <v>183</v>
      </c>
      <c r="N22" s="256" t="s">
        <v>146</v>
      </c>
      <c r="O22" s="256" t="s">
        <v>146</v>
      </c>
      <c r="P22" s="256" t="s">
        <v>146</v>
      </c>
      <c r="Q22" s="256" t="s">
        <v>146</v>
      </c>
    </row>
    <row r="23" spans="4:17" s="236" customFormat="1" ht="15" customHeight="1">
      <c r="D23" s="235" t="s">
        <v>184</v>
      </c>
      <c r="E23" s="256" t="s">
        <v>171</v>
      </c>
      <c r="F23" s="256" t="s">
        <v>172</v>
      </c>
      <c r="G23" s="256" t="s">
        <v>150</v>
      </c>
      <c r="H23" s="256" t="s">
        <v>151</v>
      </c>
      <c r="I23" s="256" t="s">
        <v>152</v>
      </c>
      <c r="J23" s="256" t="s">
        <v>153</v>
      </c>
      <c r="K23" s="256" t="s">
        <v>154</v>
      </c>
      <c r="L23" s="256" t="s">
        <v>155</v>
      </c>
      <c r="M23" s="256" t="s">
        <v>156</v>
      </c>
      <c r="N23" s="256" t="s">
        <v>146</v>
      </c>
      <c r="O23" s="256" t="s">
        <v>146</v>
      </c>
      <c r="P23" s="256" t="s">
        <v>146</v>
      </c>
      <c r="Q23" s="256" t="s">
        <v>146</v>
      </c>
    </row>
    <row r="24" spans="4:17" s="236" customFormat="1" ht="15" customHeight="1">
      <c r="D24" s="235" t="s">
        <v>185</v>
      </c>
      <c r="E24" s="256" t="s">
        <v>167</v>
      </c>
      <c r="F24" s="256" t="s">
        <v>168</v>
      </c>
      <c r="G24" s="256" t="s">
        <v>169</v>
      </c>
      <c r="H24" s="256" t="s">
        <v>170</v>
      </c>
      <c r="I24" s="256" t="s">
        <v>171</v>
      </c>
      <c r="J24" s="256" t="s">
        <v>172</v>
      </c>
      <c r="K24" s="256" t="s">
        <v>150</v>
      </c>
      <c r="L24" s="256" t="s">
        <v>151</v>
      </c>
      <c r="M24" s="256" t="s">
        <v>146</v>
      </c>
      <c r="N24" s="256" t="s">
        <v>146</v>
      </c>
      <c r="O24" s="256" t="s">
        <v>146</v>
      </c>
      <c r="P24" s="256" t="s">
        <v>146</v>
      </c>
      <c r="Q24" s="256" t="s">
        <v>146</v>
      </c>
    </row>
    <row r="25" spans="4:17" s="236" customFormat="1" ht="15" customHeight="1">
      <c r="D25" s="235" t="s">
        <v>186</v>
      </c>
      <c r="E25" s="256" t="s">
        <v>168</v>
      </c>
      <c r="F25" s="256" t="s">
        <v>169</v>
      </c>
      <c r="G25" s="256" t="s">
        <v>170</v>
      </c>
      <c r="H25" s="256" t="s">
        <v>171</v>
      </c>
      <c r="I25" s="256" t="s">
        <v>172</v>
      </c>
      <c r="J25" s="256" t="s">
        <v>150</v>
      </c>
      <c r="K25" s="256" t="s">
        <v>151</v>
      </c>
      <c r="L25" s="256" t="s">
        <v>146</v>
      </c>
      <c r="M25" s="256" t="s">
        <v>146</v>
      </c>
      <c r="N25" s="256" t="s">
        <v>146</v>
      </c>
      <c r="O25" s="256" t="s">
        <v>146</v>
      </c>
      <c r="P25" s="256" t="s">
        <v>146</v>
      </c>
      <c r="Q25" s="256" t="s">
        <v>146</v>
      </c>
    </row>
    <row r="26" spans="4:17" s="236" customFormat="1" ht="15" customHeight="1">
      <c r="D26" s="235" t="s">
        <v>187</v>
      </c>
      <c r="E26" s="256" t="s">
        <v>169</v>
      </c>
      <c r="F26" s="256" t="s">
        <v>170</v>
      </c>
      <c r="G26" s="256" t="s">
        <v>171</v>
      </c>
      <c r="H26" s="256" t="s">
        <v>172</v>
      </c>
      <c r="I26" s="256" t="s">
        <v>150</v>
      </c>
      <c r="J26" s="256" t="s">
        <v>151</v>
      </c>
      <c r="K26" s="256" t="s">
        <v>146</v>
      </c>
      <c r="L26" s="256" t="s">
        <v>146</v>
      </c>
      <c r="M26" s="256" t="s">
        <v>146</v>
      </c>
      <c r="N26" s="256" t="s">
        <v>146</v>
      </c>
      <c r="O26" s="256" t="s">
        <v>146</v>
      </c>
      <c r="P26" s="256" t="s">
        <v>146</v>
      </c>
      <c r="Q26" s="256" t="s">
        <v>146</v>
      </c>
    </row>
    <row r="27" spans="4:17" s="236" customFormat="1" ht="15" customHeight="1">
      <c r="D27" s="235" t="s">
        <v>310</v>
      </c>
      <c r="E27" s="256" t="s">
        <v>151</v>
      </c>
      <c r="F27" s="256" t="s">
        <v>152</v>
      </c>
      <c r="G27" s="256" t="s">
        <v>153</v>
      </c>
      <c r="H27" s="256" t="s">
        <v>154</v>
      </c>
      <c r="I27" s="256" t="s">
        <v>155</v>
      </c>
      <c r="J27" s="256" t="s">
        <v>156</v>
      </c>
      <c r="K27" s="256" t="s">
        <v>146</v>
      </c>
      <c r="L27" s="256" t="s">
        <v>146</v>
      </c>
      <c r="M27" s="256" t="s">
        <v>146</v>
      </c>
      <c r="N27" s="256" t="s">
        <v>146</v>
      </c>
      <c r="O27" s="256" t="s">
        <v>146</v>
      </c>
      <c r="P27" s="256" t="s">
        <v>146</v>
      </c>
      <c r="Q27" s="256" t="s">
        <v>146</v>
      </c>
    </row>
    <row r="28" spans="4:17" s="236" customFormat="1" ht="15" customHeight="1">
      <c r="D28" s="235" t="s">
        <v>240</v>
      </c>
      <c r="E28" s="256" t="s">
        <v>151</v>
      </c>
      <c r="F28" s="256" t="s">
        <v>152</v>
      </c>
      <c r="G28" s="256" t="s">
        <v>153</v>
      </c>
      <c r="H28" s="256" t="s">
        <v>154</v>
      </c>
      <c r="I28" s="256" t="s">
        <v>155</v>
      </c>
      <c r="J28" s="256" t="s">
        <v>156</v>
      </c>
      <c r="K28" s="256" t="s">
        <v>146</v>
      </c>
      <c r="L28" s="256" t="s">
        <v>146</v>
      </c>
      <c r="M28" s="256" t="s">
        <v>146</v>
      </c>
      <c r="N28" s="256" t="s">
        <v>146</v>
      </c>
      <c r="O28" s="256" t="s">
        <v>146</v>
      </c>
      <c r="P28" s="256" t="s">
        <v>146</v>
      </c>
      <c r="Q28" s="256" t="s">
        <v>146</v>
      </c>
    </row>
    <row r="29" spans="4:17" s="236" customFormat="1" ht="15" customHeight="1">
      <c r="D29" s="235" t="s">
        <v>188</v>
      </c>
      <c r="E29" s="256" t="s">
        <v>170</v>
      </c>
      <c r="F29" s="256" t="s">
        <v>171</v>
      </c>
      <c r="G29" s="256" t="s">
        <v>172</v>
      </c>
      <c r="H29" s="256" t="s">
        <v>150</v>
      </c>
      <c r="I29" s="256" t="s">
        <v>151</v>
      </c>
      <c r="J29" s="256" t="s">
        <v>146</v>
      </c>
      <c r="K29" s="256" t="s">
        <v>146</v>
      </c>
      <c r="L29" s="256" t="s">
        <v>146</v>
      </c>
      <c r="M29" s="256" t="s">
        <v>146</v>
      </c>
      <c r="N29" s="256" t="s">
        <v>146</v>
      </c>
      <c r="O29" s="256" t="s">
        <v>146</v>
      </c>
      <c r="P29" s="256" t="s">
        <v>146</v>
      </c>
      <c r="Q29" s="256" t="s">
        <v>146</v>
      </c>
    </row>
    <row r="30" spans="4:17" s="236" customFormat="1" ht="15" customHeight="1">
      <c r="D30" s="235" t="s">
        <v>203</v>
      </c>
      <c r="E30" s="256" t="s">
        <v>171</v>
      </c>
      <c r="F30" s="256" t="s">
        <v>172</v>
      </c>
      <c r="G30" s="256" t="s">
        <v>150</v>
      </c>
      <c r="H30" s="256" t="s">
        <v>151</v>
      </c>
      <c r="I30" s="256" t="s">
        <v>146</v>
      </c>
      <c r="J30" s="256" t="s">
        <v>146</v>
      </c>
      <c r="K30" s="256" t="s">
        <v>146</v>
      </c>
      <c r="L30" s="256" t="s">
        <v>146</v>
      </c>
      <c r="M30" s="256" t="s">
        <v>146</v>
      </c>
      <c r="N30" s="256" t="s">
        <v>146</v>
      </c>
      <c r="O30" s="256" t="s">
        <v>146</v>
      </c>
      <c r="P30" s="256" t="s">
        <v>146</v>
      </c>
      <c r="Q30" s="256" t="s">
        <v>146</v>
      </c>
    </row>
    <row r="31" spans="4:17" s="236" customFormat="1" ht="15" customHeight="1">
      <c r="D31" s="235" t="s">
        <v>311</v>
      </c>
      <c r="E31" s="256" t="s">
        <v>153</v>
      </c>
      <c r="F31" s="256" t="s">
        <v>154</v>
      </c>
      <c r="G31" s="256" t="s">
        <v>155</v>
      </c>
      <c r="H31" s="256" t="s">
        <v>156</v>
      </c>
      <c r="I31" s="256" t="s">
        <v>146</v>
      </c>
      <c r="J31" s="256" t="s">
        <v>146</v>
      </c>
      <c r="K31" s="256" t="s">
        <v>146</v>
      </c>
      <c r="L31" s="256" t="s">
        <v>146</v>
      </c>
      <c r="M31" s="256" t="s">
        <v>146</v>
      </c>
      <c r="N31" s="256" t="s">
        <v>146</v>
      </c>
      <c r="O31" s="256" t="s">
        <v>146</v>
      </c>
      <c r="P31" s="256" t="s">
        <v>146</v>
      </c>
      <c r="Q31" s="256" t="s">
        <v>146</v>
      </c>
    </row>
    <row r="32" spans="4:17" s="236" customFormat="1" ht="15" customHeight="1">
      <c r="D32" s="235" t="s">
        <v>309</v>
      </c>
      <c r="E32" s="256" t="s">
        <v>153</v>
      </c>
      <c r="F32" s="256" t="s">
        <v>154</v>
      </c>
      <c r="G32" s="256" t="s">
        <v>155</v>
      </c>
      <c r="H32" s="256" t="s">
        <v>156</v>
      </c>
      <c r="I32" s="256" t="s">
        <v>146</v>
      </c>
      <c r="J32" s="256" t="s">
        <v>146</v>
      </c>
      <c r="K32" s="256" t="s">
        <v>146</v>
      </c>
      <c r="L32" s="256" t="s">
        <v>146</v>
      </c>
      <c r="M32" s="256" t="s">
        <v>146</v>
      </c>
      <c r="N32" s="256" t="s">
        <v>146</v>
      </c>
      <c r="O32" s="256" t="s">
        <v>146</v>
      </c>
      <c r="P32" s="256" t="s">
        <v>146</v>
      </c>
      <c r="Q32" s="256" t="s">
        <v>146</v>
      </c>
    </row>
    <row r="33" spans="3:17" s="236" customFormat="1" ht="15" customHeight="1">
      <c r="D33" s="235" t="s">
        <v>299</v>
      </c>
      <c r="E33" s="256" t="s">
        <v>172</v>
      </c>
      <c r="F33" s="256" t="s">
        <v>150</v>
      </c>
      <c r="G33" s="256" t="s">
        <v>151</v>
      </c>
      <c r="H33" s="256" t="s">
        <v>146</v>
      </c>
      <c r="I33" s="256" t="s">
        <v>146</v>
      </c>
      <c r="J33" s="256" t="s">
        <v>146</v>
      </c>
      <c r="K33" s="256" t="s">
        <v>146</v>
      </c>
      <c r="L33" s="256" t="s">
        <v>146</v>
      </c>
      <c r="M33" s="256" t="s">
        <v>146</v>
      </c>
      <c r="N33" s="256" t="s">
        <v>146</v>
      </c>
      <c r="O33" s="256" t="s">
        <v>146</v>
      </c>
      <c r="P33" s="256" t="s">
        <v>146</v>
      </c>
      <c r="Q33" s="256" t="s">
        <v>146</v>
      </c>
    </row>
    <row r="34" spans="3:17" s="236" customFormat="1" ht="15" customHeight="1">
      <c r="D34" s="235" t="s">
        <v>323</v>
      </c>
      <c r="E34" s="256" t="s">
        <v>150</v>
      </c>
      <c r="F34" s="256" t="s">
        <v>151</v>
      </c>
      <c r="G34" s="256" t="s">
        <v>146</v>
      </c>
      <c r="H34" s="256" t="s">
        <v>146</v>
      </c>
      <c r="I34" s="256" t="s">
        <v>146</v>
      </c>
      <c r="J34" s="256" t="s">
        <v>146</v>
      </c>
      <c r="K34" s="256" t="s">
        <v>146</v>
      </c>
      <c r="L34" s="256" t="s">
        <v>146</v>
      </c>
      <c r="M34" s="256" t="s">
        <v>146</v>
      </c>
      <c r="N34" s="256" t="s">
        <v>146</v>
      </c>
      <c r="O34" s="256" t="s">
        <v>146</v>
      </c>
      <c r="P34" s="256" t="s">
        <v>146</v>
      </c>
      <c r="Q34" s="256" t="s">
        <v>146</v>
      </c>
    </row>
    <row r="35" spans="3:17" s="236" customFormat="1" ht="15" customHeight="1">
      <c r="D35" s="235" t="s">
        <v>349</v>
      </c>
      <c r="E35" s="256" t="s">
        <v>151</v>
      </c>
      <c r="F35" s="256" t="s">
        <v>146</v>
      </c>
      <c r="G35" s="256" t="s">
        <v>146</v>
      </c>
      <c r="H35" s="256" t="s">
        <v>146</v>
      </c>
      <c r="I35" s="256" t="s">
        <v>146</v>
      </c>
      <c r="J35" s="256" t="s">
        <v>146</v>
      </c>
      <c r="K35" s="256" t="s">
        <v>146</v>
      </c>
      <c r="L35" s="256" t="s">
        <v>146</v>
      </c>
      <c r="M35" s="256" t="s">
        <v>146</v>
      </c>
      <c r="N35" s="256" t="s">
        <v>146</v>
      </c>
      <c r="O35" s="256" t="s">
        <v>146</v>
      </c>
      <c r="P35" s="256" t="s">
        <v>146</v>
      </c>
      <c r="Q35" s="256"/>
    </row>
    <row r="36" spans="3:17" s="236" customFormat="1" ht="15" customHeight="1">
      <c r="D36" s="235"/>
      <c r="E36" s="235"/>
      <c r="F36" s="256"/>
      <c r="G36" s="256"/>
      <c r="H36" s="256"/>
      <c r="I36" s="256"/>
      <c r="J36" s="256"/>
      <c r="K36" s="256"/>
      <c r="L36" s="256"/>
      <c r="M36" s="256"/>
      <c r="N36" s="256"/>
      <c r="O36" s="256"/>
      <c r="P36" s="256"/>
      <c r="Q36" s="256"/>
    </row>
    <row r="37" spans="3:17" s="236" customFormat="1" ht="15" customHeight="1"/>
    <row r="38" spans="3:17" s="236" customFormat="1" ht="15" customHeight="1">
      <c r="C38" s="258" t="s">
        <v>207</v>
      </c>
      <c r="D38" s="258"/>
      <c r="E38" s="321" t="s">
        <v>350</v>
      </c>
      <c r="F38" s="321" t="s">
        <v>350</v>
      </c>
      <c r="G38" s="321" t="s">
        <v>350</v>
      </c>
      <c r="H38" s="321" t="s">
        <v>350</v>
      </c>
      <c r="I38" s="321" t="s">
        <v>351</v>
      </c>
      <c r="J38" s="321" t="s">
        <v>351</v>
      </c>
      <c r="K38" s="321" t="s">
        <v>351</v>
      </c>
      <c r="L38" s="321" t="s">
        <v>351</v>
      </c>
      <c r="M38" s="321" t="s">
        <v>351</v>
      </c>
      <c r="N38" s="321" t="s">
        <v>351</v>
      </c>
      <c r="O38" s="321" t="s">
        <v>351</v>
      </c>
      <c r="P38" s="321" t="s">
        <v>189</v>
      </c>
      <c r="Q38" s="321" t="s">
        <v>189</v>
      </c>
    </row>
    <row r="39" spans="3:17" s="236" customFormat="1" ht="15" customHeight="1">
      <c r="C39" s="258"/>
      <c r="D39" s="258"/>
      <c r="E39" s="321"/>
      <c r="F39" s="321"/>
      <c r="G39" s="321"/>
      <c r="H39" s="321"/>
      <c r="I39" s="322"/>
      <c r="J39" s="322"/>
      <c r="K39" s="322"/>
      <c r="L39" s="322"/>
      <c r="M39" s="322"/>
      <c r="N39" s="322"/>
      <c r="O39" s="322"/>
      <c r="P39" s="321"/>
      <c r="Q39" s="321"/>
    </row>
    <row r="40" spans="3:17" ht="15" customHeight="1">
      <c r="C40" s="258" t="s">
        <v>190</v>
      </c>
      <c r="D40" s="258"/>
    </row>
    <row r="41" spans="3:17" ht="15" customHeight="1">
      <c r="C41" s="258" t="s">
        <v>191</v>
      </c>
      <c r="D41" s="258" t="s">
        <v>302</v>
      </c>
      <c r="E41" s="321" t="s">
        <v>192</v>
      </c>
      <c r="F41" s="321" t="s">
        <v>192</v>
      </c>
      <c r="G41" s="321" t="s">
        <v>192</v>
      </c>
      <c r="H41" s="321" t="s">
        <v>192</v>
      </c>
      <c r="I41" s="321" t="s">
        <v>192</v>
      </c>
      <c r="J41" s="321" t="s">
        <v>192</v>
      </c>
      <c r="K41" s="321" t="s">
        <v>192</v>
      </c>
      <c r="L41" s="321" t="s">
        <v>192</v>
      </c>
      <c r="M41" s="321" t="s">
        <v>192</v>
      </c>
      <c r="N41" s="321" t="s">
        <v>192</v>
      </c>
      <c r="O41" s="321" t="s">
        <v>192</v>
      </c>
      <c r="P41" s="321" t="s">
        <v>192</v>
      </c>
      <c r="Q41" s="321" t="s">
        <v>192</v>
      </c>
    </row>
    <row r="42" spans="3:17" ht="15" customHeight="1">
      <c r="C42" s="258"/>
      <c r="D42" s="258"/>
      <c r="E42" s="321"/>
      <c r="F42" s="322"/>
      <c r="G42" s="322"/>
      <c r="H42" s="322"/>
      <c r="I42" s="322"/>
      <c r="J42" s="322"/>
      <c r="K42" s="322"/>
      <c r="L42" s="322"/>
      <c r="M42" s="322"/>
      <c r="N42" s="322"/>
      <c r="O42" s="322"/>
      <c r="P42" s="322"/>
      <c r="Q42" s="322"/>
    </row>
    <row r="43" spans="3:17" ht="15" customHeight="1">
      <c r="C43" s="258"/>
      <c r="D43" s="258"/>
      <c r="E43" s="321"/>
      <c r="F43" s="322"/>
      <c r="G43" s="322"/>
      <c r="H43" s="322"/>
      <c r="I43" s="322"/>
      <c r="J43" s="322"/>
      <c r="K43" s="322"/>
      <c r="L43" s="322"/>
      <c r="M43" s="322"/>
      <c r="N43" s="322"/>
      <c r="O43" s="322"/>
      <c r="P43" s="322"/>
      <c r="Q43" s="322"/>
    </row>
    <row r="44" spans="3:17" ht="15" customHeight="1">
      <c r="C44" s="258"/>
      <c r="D44" s="258"/>
      <c r="E44" s="321"/>
      <c r="F44" s="322"/>
      <c r="G44" s="322"/>
      <c r="H44" s="322"/>
      <c r="I44" s="322"/>
      <c r="J44" s="322"/>
      <c r="K44" s="322"/>
      <c r="L44" s="322"/>
      <c r="M44" s="322"/>
      <c r="N44" s="322"/>
      <c r="O44" s="322"/>
      <c r="P44" s="322"/>
      <c r="Q44" s="322"/>
    </row>
    <row r="45" spans="3:17" ht="15" customHeight="1">
      <c r="C45" s="258"/>
      <c r="D45" s="258"/>
      <c r="E45" s="321"/>
      <c r="F45" s="322"/>
      <c r="G45" s="322"/>
      <c r="H45" s="322"/>
      <c r="I45" s="322"/>
      <c r="J45" s="322"/>
      <c r="K45" s="322"/>
      <c r="L45" s="322"/>
      <c r="M45" s="322"/>
      <c r="N45" s="322"/>
      <c r="O45" s="322"/>
      <c r="P45" s="322"/>
      <c r="Q45" s="322"/>
    </row>
    <row r="46" spans="3:17" ht="15" customHeight="1">
      <c r="C46" s="258"/>
      <c r="D46" s="258"/>
      <c r="E46" s="321"/>
      <c r="F46" s="322"/>
      <c r="G46" s="322"/>
      <c r="H46" s="322"/>
      <c r="I46" s="322"/>
      <c r="J46" s="322"/>
      <c r="K46" s="322"/>
      <c r="L46" s="322"/>
      <c r="M46" s="322"/>
      <c r="N46" s="322"/>
      <c r="O46" s="322"/>
      <c r="P46" s="322"/>
      <c r="Q46" s="322"/>
    </row>
    <row r="47" spans="3:17" ht="15" customHeight="1">
      <c r="C47" s="258"/>
      <c r="D47" s="258"/>
      <c r="E47" s="321"/>
      <c r="F47" s="322"/>
      <c r="G47" s="322"/>
      <c r="H47" s="322"/>
      <c r="I47" s="322"/>
      <c r="J47" s="322"/>
      <c r="K47" s="322"/>
      <c r="L47" s="322"/>
      <c r="M47" s="322"/>
      <c r="N47" s="322"/>
      <c r="O47" s="322"/>
      <c r="P47" s="322"/>
      <c r="Q47" s="322"/>
    </row>
    <row r="48" spans="3:17" ht="15" customHeight="1">
      <c r="C48" s="258"/>
      <c r="D48" s="258"/>
      <c r="E48" s="321"/>
      <c r="F48" s="322"/>
      <c r="G48" s="322"/>
      <c r="H48" s="322"/>
      <c r="I48" s="322"/>
      <c r="J48" s="322"/>
      <c r="K48" s="322"/>
      <c r="L48" s="322"/>
      <c r="M48" s="322"/>
      <c r="N48" s="322"/>
      <c r="O48" s="322"/>
      <c r="P48" s="322"/>
      <c r="Q48" s="322"/>
    </row>
    <row r="49" spans="3:17" ht="15" customHeight="1">
      <c r="C49" s="258"/>
      <c r="D49" s="258"/>
      <c r="E49" s="259"/>
      <c r="F49" s="259"/>
      <c r="G49" s="259"/>
      <c r="H49" s="259"/>
      <c r="I49" s="259"/>
      <c r="J49" s="260"/>
      <c r="K49" s="260"/>
      <c r="L49" s="260"/>
      <c r="M49" s="260"/>
      <c r="N49" s="260"/>
      <c r="O49" s="260"/>
      <c r="P49" s="260"/>
      <c r="Q49" s="260"/>
    </row>
    <row r="50" spans="3:17" ht="15" customHeight="1">
      <c r="C50" s="258" t="s">
        <v>303</v>
      </c>
      <c r="D50" s="258"/>
      <c r="E50" s="321" t="s">
        <v>193</v>
      </c>
      <c r="F50" s="321" t="s">
        <v>193</v>
      </c>
      <c r="G50" s="321" t="s">
        <v>193</v>
      </c>
      <c r="H50" s="321" t="s">
        <v>193</v>
      </c>
      <c r="I50" s="321" t="s">
        <v>193</v>
      </c>
      <c r="J50" s="321" t="s">
        <v>193</v>
      </c>
      <c r="K50" s="321" t="s">
        <v>194</v>
      </c>
      <c r="L50" s="321" t="s">
        <v>194</v>
      </c>
      <c r="M50" s="321" t="s">
        <v>194</v>
      </c>
      <c r="N50" s="321" t="s">
        <v>195</v>
      </c>
      <c r="O50" s="321" t="s">
        <v>195</v>
      </c>
      <c r="P50" s="321" t="s">
        <v>195</v>
      </c>
      <c r="Q50" s="321" t="s">
        <v>195</v>
      </c>
    </row>
    <row r="51" spans="3:17" ht="15" customHeight="1">
      <c r="C51" s="258"/>
      <c r="D51" s="258"/>
      <c r="E51" s="321"/>
      <c r="F51" s="322"/>
      <c r="G51" s="322"/>
      <c r="H51" s="322"/>
      <c r="I51" s="322"/>
      <c r="J51" s="322"/>
      <c r="K51" s="322"/>
      <c r="L51" s="322"/>
      <c r="M51" s="322"/>
      <c r="N51" s="322"/>
      <c r="O51" s="322"/>
      <c r="P51" s="322"/>
      <c r="Q51" s="322"/>
    </row>
    <row r="52" spans="3:17" ht="15" customHeight="1">
      <c r="C52" s="258"/>
      <c r="D52" s="258"/>
      <c r="E52" s="321"/>
      <c r="F52" s="322"/>
      <c r="G52" s="322"/>
      <c r="H52" s="322"/>
      <c r="I52" s="322"/>
      <c r="J52" s="322"/>
      <c r="K52" s="322"/>
      <c r="L52" s="322"/>
      <c r="M52" s="322"/>
      <c r="N52" s="322"/>
      <c r="O52" s="322"/>
      <c r="P52" s="322"/>
      <c r="Q52" s="322"/>
    </row>
    <row r="53" spans="3:17" ht="15" customHeight="1">
      <c r="D53" s="258" t="s">
        <v>196</v>
      </c>
    </row>
    <row r="54" spans="3:17" ht="15" customHeight="1">
      <c r="D54" s="258" t="s">
        <v>304</v>
      </c>
      <c r="E54" s="321" t="s">
        <v>193</v>
      </c>
      <c r="F54" s="321" t="s">
        <v>193</v>
      </c>
      <c r="G54" s="321" t="s">
        <v>193</v>
      </c>
      <c r="H54" s="321" t="s">
        <v>193</v>
      </c>
      <c r="I54" s="321" t="s">
        <v>193</v>
      </c>
      <c r="J54" s="321" t="s">
        <v>193</v>
      </c>
      <c r="K54" s="321" t="s">
        <v>195</v>
      </c>
      <c r="L54" s="321" t="s">
        <v>195</v>
      </c>
      <c r="M54" s="321" t="s">
        <v>195</v>
      </c>
      <c r="N54" s="321" t="s">
        <v>195</v>
      </c>
      <c r="O54" s="321" t="s">
        <v>195</v>
      </c>
      <c r="P54" s="321" t="s">
        <v>195</v>
      </c>
      <c r="Q54" s="321" t="s">
        <v>195</v>
      </c>
    </row>
    <row r="55" spans="3:17" ht="15" customHeight="1">
      <c r="E55" s="321"/>
      <c r="F55" s="322"/>
      <c r="G55" s="322"/>
      <c r="H55" s="322"/>
      <c r="I55" s="322"/>
      <c r="J55" s="322"/>
      <c r="K55" s="322"/>
      <c r="L55" s="322"/>
      <c r="M55" s="322"/>
      <c r="N55" s="322"/>
      <c r="O55" s="322"/>
      <c r="P55" s="322"/>
      <c r="Q55" s="322"/>
    </row>
    <row r="56" spans="3:17" ht="15" customHeight="1">
      <c r="E56" s="321"/>
      <c r="F56" s="322"/>
      <c r="G56" s="322"/>
      <c r="H56" s="322"/>
      <c r="I56" s="322"/>
      <c r="J56" s="322"/>
      <c r="K56" s="322"/>
      <c r="L56" s="322"/>
      <c r="M56" s="322"/>
      <c r="N56" s="322"/>
      <c r="O56" s="322"/>
      <c r="P56" s="322"/>
      <c r="Q56" s="322"/>
    </row>
    <row r="57" spans="3:17" ht="15" customHeight="1">
      <c r="D57" s="9" t="s">
        <v>208</v>
      </c>
      <c r="E57" s="321" t="s">
        <v>197</v>
      </c>
      <c r="F57" s="321" t="s">
        <v>197</v>
      </c>
      <c r="G57" s="321" t="s">
        <v>197</v>
      </c>
      <c r="H57" s="321" t="s">
        <v>197</v>
      </c>
      <c r="I57" s="321" t="s">
        <v>197</v>
      </c>
      <c r="J57" s="321" t="s">
        <v>197</v>
      </c>
      <c r="K57" s="321" t="s">
        <v>197</v>
      </c>
      <c r="L57" s="321" t="s">
        <v>197</v>
      </c>
      <c r="M57" s="321" t="s">
        <v>197</v>
      </c>
      <c r="N57" s="321" t="s">
        <v>197</v>
      </c>
      <c r="O57" s="321" t="s">
        <v>197</v>
      </c>
      <c r="P57" s="321" t="s">
        <v>197</v>
      </c>
      <c r="Q57" s="321" t="s">
        <v>197</v>
      </c>
    </row>
    <row r="58" spans="3:17">
      <c r="E58" s="321"/>
      <c r="F58" s="321"/>
      <c r="G58" s="321"/>
      <c r="H58" s="321"/>
      <c r="I58" s="321"/>
      <c r="J58" s="321"/>
      <c r="K58" s="321"/>
      <c r="L58" s="321"/>
      <c r="M58" s="321"/>
      <c r="N58" s="321"/>
      <c r="O58" s="321"/>
      <c r="P58" s="321"/>
      <c r="Q58" s="321"/>
    </row>
    <row r="59" spans="3:17">
      <c r="E59" s="321"/>
      <c r="F59" s="321"/>
      <c r="G59" s="321"/>
      <c r="H59" s="321"/>
      <c r="I59" s="321"/>
      <c r="J59" s="321"/>
      <c r="K59" s="321"/>
      <c r="L59" s="321"/>
      <c r="M59" s="321"/>
      <c r="N59" s="321"/>
      <c r="O59" s="321"/>
      <c r="P59" s="321"/>
      <c r="Q59" s="321"/>
    </row>
    <row r="60" spans="3:17">
      <c r="E60" s="321"/>
      <c r="F60" s="321"/>
      <c r="G60" s="321"/>
      <c r="H60" s="321"/>
      <c r="I60" s="321"/>
      <c r="J60" s="321"/>
      <c r="K60" s="321"/>
      <c r="L60" s="321"/>
      <c r="M60" s="321"/>
      <c r="N60" s="321"/>
      <c r="O60" s="321"/>
      <c r="P60" s="321"/>
      <c r="Q60" s="321"/>
    </row>
    <row r="61" spans="3:17">
      <c r="E61" s="321"/>
      <c r="F61" s="321"/>
      <c r="G61" s="321"/>
      <c r="H61" s="321"/>
      <c r="I61" s="321"/>
      <c r="J61" s="321"/>
      <c r="K61" s="321"/>
      <c r="L61" s="321"/>
      <c r="M61" s="321"/>
      <c r="N61" s="321"/>
      <c r="O61" s="321"/>
      <c r="P61" s="321"/>
      <c r="Q61" s="321"/>
    </row>
    <row r="62" spans="3:17" ht="16.149999999999999" customHeight="1">
      <c r="D62" s="9" t="s">
        <v>209</v>
      </c>
      <c r="E62" s="322" t="s">
        <v>198</v>
      </c>
      <c r="F62" s="322" t="s">
        <v>198</v>
      </c>
      <c r="G62" s="322" t="s">
        <v>198</v>
      </c>
      <c r="H62" s="322" t="s">
        <v>198</v>
      </c>
      <c r="I62" s="322" t="s">
        <v>198</v>
      </c>
      <c r="J62" s="322" t="s">
        <v>198</v>
      </c>
      <c r="K62" s="322" t="s">
        <v>198</v>
      </c>
      <c r="L62" s="322" t="s">
        <v>198</v>
      </c>
      <c r="M62" s="322" t="s">
        <v>198</v>
      </c>
      <c r="N62" s="322" t="s">
        <v>198</v>
      </c>
      <c r="O62" s="322" t="s">
        <v>198</v>
      </c>
      <c r="P62" s="322" t="s">
        <v>198</v>
      </c>
      <c r="Q62" s="322" t="s">
        <v>198</v>
      </c>
    </row>
    <row r="63" spans="3:17">
      <c r="E63" s="322"/>
      <c r="F63" s="322"/>
      <c r="G63" s="322"/>
      <c r="H63" s="322"/>
      <c r="I63" s="322"/>
      <c r="J63" s="322"/>
      <c r="K63" s="322"/>
      <c r="L63" s="322"/>
      <c r="M63" s="322"/>
      <c r="N63" s="322"/>
      <c r="O63" s="322"/>
      <c r="P63" s="322"/>
      <c r="Q63" s="322"/>
    </row>
    <row r="64" spans="3:17">
      <c r="E64" s="322"/>
      <c r="F64" s="322"/>
      <c r="G64" s="322"/>
      <c r="H64" s="322"/>
      <c r="I64" s="322"/>
      <c r="J64" s="322"/>
      <c r="K64" s="322"/>
      <c r="L64" s="322"/>
      <c r="M64" s="322"/>
      <c r="N64" s="322"/>
      <c r="O64" s="322"/>
      <c r="P64" s="322"/>
      <c r="Q64" s="322"/>
    </row>
    <row r="65" spans="3:17">
      <c r="I65" s="259"/>
      <c r="J65" s="259"/>
      <c r="K65" s="259"/>
      <c r="L65" s="259"/>
      <c r="M65" s="259"/>
      <c r="N65" s="259"/>
      <c r="O65" s="259"/>
      <c r="P65" s="259"/>
      <c r="Q65" s="259"/>
    </row>
    <row r="66" spans="3:17" ht="14.1" customHeight="1">
      <c r="C66" s="261">
        <v>1</v>
      </c>
      <c r="D66" s="320" t="s">
        <v>199</v>
      </c>
      <c r="E66" s="320"/>
      <c r="F66" s="320"/>
      <c r="G66" s="320"/>
      <c r="H66" s="320"/>
      <c r="I66" s="320"/>
      <c r="J66" s="320"/>
      <c r="K66" s="320"/>
      <c r="L66" s="320"/>
      <c r="M66" s="320"/>
      <c r="N66" s="320"/>
      <c r="O66" s="320"/>
      <c r="P66" s="320"/>
      <c r="Q66" s="320"/>
    </row>
    <row r="67" spans="3:17" ht="14.1" customHeight="1">
      <c r="C67" s="261"/>
      <c r="D67" s="320"/>
      <c r="E67" s="320"/>
      <c r="F67" s="320"/>
      <c r="G67" s="320"/>
      <c r="H67" s="320"/>
      <c r="I67" s="320"/>
      <c r="J67" s="320"/>
      <c r="K67" s="320"/>
      <c r="L67" s="320"/>
      <c r="M67" s="320"/>
      <c r="N67" s="320"/>
      <c r="O67" s="320"/>
      <c r="P67" s="320"/>
      <c r="Q67" s="320"/>
    </row>
    <row r="68" spans="3:17" ht="14.1" customHeight="1">
      <c r="C68" s="261"/>
      <c r="D68" s="320"/>
      <c r="E68" s="320"/>
      <c r="F68" s="320"/>
      <c r="G68" s="320"/>
      <c r="H68" s="320"/>
      <c r="I68" s="320"/>
      <c r="J68" s="320"/>
      <c r="K68" s="320"/>
      <c r="L68" s="320"/>
      <c r="M68" s="320"/>
      <c r="N68" s="320"/>
      <c r="O68" s="320"/>
      <c r="P68" s="320"/>
      <c r="Q68" s="320"/>
    </row>
    <row r="69" spans="3:17" ht="14.1" customHeight="1">
      <c r="C69" s="261"/>
      <c r="D69" s="320"/>
      <c r="E69" s="320"/>
      <c r="F69" s="320"/>
      <c r="G69" s="320"/>
      <c r="H69" s="320"/>
      <c r="I69" s="320"/>
      <c r="J69" s="320"/>
      <c r="K69" s="320"/>
      <c r="L69" s="320"/>
      <c r="M69" s="320"/>
      <c r="N69" s="320"/>
      <c r="O69" s="320"/>
      <c r="P69" s="320"/>
      <c r="Q69" s="320"/>
    </row>
    <row r="70" spans="3:17" ht="14.1" customHeight="1">
      <c r="C70" s="261">
        <v>2</v>
      </c>
      <c r="D70" s="320" t="s">
        <v>301</v>
      </c>
      <c r="E70" s="320"/>
      <c r="F70" s="320"/>
      <c r="G70" s="320"/>
      <c r="H70" s="320"/>
      <c r="I70" s="320"/>
      <c r="J70" s="320"/>
      <c r="K70" s="320"/>
      <c r="L70" s="320"/>
      <c r="M70" s="320"/>
      <c r="N70" s="320"/>
      <c r="O70" s="320"/>
      <c r="P70" s="320"/>
      <c r="Q70" s="320"/>
    </row>
    <row r="71" spans="3:17" ht="14.1" customHeight="1">
      <c r="C71" s="30"/>
      <c r="D71" s="320"/>
      <c r="E71" s="320"/>
      <c r="F71" s="320"/>
      <c r="G71" s="320"/>
      <c r="H71" s="320"/>
      <c r="I71" s="320"/>
      <c r="J71" s="320"/>
      <c r="K71" s="320"/>
      <c r="L71" s="320"/>
      <c r="M71" s="320"/>
      <c r="N71" s="320"/>
      <c r="O71" s="320"/>
      <c r="P71" s="320"/>
      <c r="Q71" s="320"/>
    </row>
    <row r="72" spans="3:17" ht="14.1" customHeight="1">
      <c r="C72" s="261">
        <v>3</v>
      </c>
      <c r="D72" s="323" t="s">
        <v>135</v>
      </c>
      <c r="E72" s="323"/>
      <c r="F72" s="323"/>
      <c r="G72" s="323"/>
      <c r="H72" s="323"/>
      <c r="I72" s="323"/>
      <c r="J72" s="323"/>
      <c r="K72" s="323"/>
      <c r="L72" s="323"/>
      <c r="M72" s="323"/>
      <c r="N72" s="323"/>
      <c r="O72" s="323"/>
      <c r="P72" s="262"/>
      <c r="Q72" s="262"/>
    </row>
    <row r="73" spans="3:17" ht="14.1" customHeight="1">
      <c r="C73" s="261">
        <v>4</v>
      </c>
      <c r="D73" s="320" t="s">
        <v>325</v>
      </c>
      <c r="E73" s="320"/>
      <c r="F73" s="320"/>
      <c r="G73" s="320"/>
      <c r="H73" s="320"/>
      <c r="I73" s="320"/>
      <c r="J73" s="320"/>
      <c r="K73" s="320"/>
      <c r="L73" s="320"/>
      <c r="M73" s="320"/>
      <c r="N73" s="320"/>
      <c r="O73" s="320"/>
      <c r="P73" s="320"/>
      <c r="Q73" s="320"/>
    </row>
    <row r="74" spans="3:17" ht="14.1" customHeight="1">
      <c r="C74" s="30"/>
      <c r="D74" s="320"/>
      <c r="E74" s="320"/>
      <c r="F74" s="320"/>
      <c r="G74" s="320"/>
      <c r="H74" s="320"/>
      <c r="I74" s="320"/>
      <c r="J74" s="320"/>
      <c r="K74" s="320"/>
      <c r="L74" s="320"/>
      <c r="M74" s="320"/>
      <c r="N74" s="320"/>
      <c r="O74" s="320"/>
      <c r="P74" s="320"/>
      <c r="Q74" s="320"/>
    </row>
  </sheetData>
  <mergeCells count="89">
    <mergeCell ref="E41:E48"/>
    <mergeCell ref="E50:E52"/>
    <mergeCell ref="E54:E56"/>
    <mergeCell ref="E57:E61"/>
    <mergeCell ref="E62:E64"/>
    <mergeCell ref="F41:F48"/>
    <mergeCell ref="F50:F52"/>
    <mergeCell ref="F54:F56"/>
    <mergeCell ref="F57:F61"/>
    <mergeCell ref="F62:F64"/>
    <mergeCell ref="G41:G48"/>
    <mergeCell ref="G50:G52"/>
    <mergeCell ref="G54:G56"/>
    <mergeCell ref="G57:G61"/>
    <mergeCell ref="G62:G64"/>
    <mergeCell ref="C10:D10"/>
    <mergeCell ref="C15:D15"/>
    <mergeCell ref="I38:I39"/>
    <mergeCell ref="J38:J39"/>
    <mergeCell ref="K38:K39"/>
    <mergeCell ref="H38:H39"/>
    <mergeCell ref="G38:G39"/>
    <mergeCell ref="F38:F39"/>
    <mergeCell ref="E38:E39"/>
    <mergeCell ref="C4:Q5"/>
    <mergeCell ref="C6:Q6"/>
    <mergeCell ref="C7:D7"/>
    <mergeCell ref="C8:D8"/>
    <mergeCell ref="C9:D9"/>
    <mergeCell ref="N38:N39"/>
    <mergeCell ref="O38:O39"/>
    <mergeCell ref="P38:P39"/>
    <mergeCell ref="D70:Q71"/>
    <mergeCell ref="M38:M39"/>
    <mergeCell ref="L38:L39"/>
    <mergeCell ref="I41:I48"/>
    <mergeCell ref="J41:J48"/>
    <mergeCell ref="K41:K48"/>
    <mergeCell ref="Q38:Q39"/>
    <mergeCell ref="I50:I52"/>
    <mergeCell ref="J50:J52"/>
    <mergeCell ref="K50:K52"/>
    <mergeCell ref="L50:L52"/>
    <mergeCell ref="M50:M52"/>
    <mergeCell ref="N41:N48"/>
    <mergeCell ref="O41:O48"/>
    <mergeCell ref="P41:P48"/>
    <mergeCell ref="Q41:Q48"/>
    <mergeCell ref="N50:N52"/>
    <mergeCell ref="O50:O52"/>
    <mergeCell ref="P50:P52"/>
    <mergeCell ref="Q50:Q52"/>
    <mergeCell ref="L41:L48"/>
    <mergeCell ref="M41:M48"/>
    <mergeCell ref="I54:I56"/>
    <mergeCell ref="J54:J56"/>
    <mergeCell ref="K54:K56"/>
    <mergeCell ref="L54:L56"/>
    <mergeCell ref="M54:M56"/>
    <mergeCell ref="M57:M61"/>
    <mergeCell ref="N54:N56"/>
    <mergeCell ref="O54:O56"/>
    <mergeCell ref="P54:P56"/>
    <mergeCell ref="Q54:Q56"/>
    <mergeCell ref="N57:N61"/>
    <mergeCell ref="O57:O61"/>
    <mergeCell ref="P57:P61"/>
    <mergeCell ref="Q57:Q61"/>
    <mergeCell ref="H62:H64"/>
    <mergeCell ref="I57:I61"/>
    <mergeCell ref="J57:J61"/>
    <mergeCell ref="K57:K61"/>
    <mergeCell ref="L57:L61"/>
    <mergeCell ref="D73:Q74"/>
    <mergeCell ref="H41:H48"/>
    <mergeCell ref="H50:H52"/>
    <mergeCell ref="H54:H56"/>
    <mergeCell ref="H57:H61"/>
    <mergeCell ref="D72:O72"/>
    <mergeCell ref="D66:Q69"/>
    <mergeCell ref="N62:N64"/>
    <mergeCell ref="O62:O64"/>
    <mergeCell ref="P62:P64"/>
    <mergeCell ref="Q62:Q64"/>
    <mergeCell ref="I62:I64"/>
    <mergeCell ref="J62:J64"/>
    <mergeCell ref="K62:K64"/>
    <mergeCell ref="L62:L64"/>
    <mergeCell ref="M62:M64"/>
  </mergeCells>
  <phoneticPr fontId="3" type="noConversion"/>
  <printOptions horizontalCentered="1"/>
  <pageMargins left="0.25" right="0.25" top="0.75" bottom="0.75" header="0.3" footer="0.3"/>
  <pageSetup scale="49" orientation="landscape" r:id="rId1"/>
  <headerFooter>
    <oddFooter>&amp;L&amp;Z
&amp;F&amp;CNYC Office of the Actuary&amp;R&amp;D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888A1-B596-428F-9922-048176A7231A}">
  <sheetPr>
    <tabColor theme="8" tint="0.59999389629810485"/>
  </sheetPr>
  <dimension ref="A1"/>
  <sheetViews>
    <sheetView workbookViewId="0"/>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F57B-FF1E-44E8-9ABF-D206A62C3B04}">
  <sheetPr>
    <tabColor theme="8" tint="0.59999389629810485"/>
    <pageSetUpPr fitToPage="1"/>
  </sheetPr>
  <dimension ref="A2:W67"/>
  <sheetViews>
    <sheetView showGridLines="0" zoomScale="85" zoomScaleNormal="85" workbookViewId="0">
      <selection activeCell="Z34" sqref="Z34"/>
    </sheetView>
  </sheetViews>
  <sheetFormatPr defaultColWidth="9.140625" defaultRowHeight="15"/>
  <cols>
    <col min="1" max="1" width="9.140625" style="327"/>
    <col min="2" max="2" width="2.7109375" style="327" customWidth="1"/>
    <col min="3" max="3" width="39.7109375" style="327" customWidth="1"/>
    <col min="4" max="4" width="13.5703125" style="327" bestFit="1" customWidth="1"/>
    <col min="5" max="5" width="12.7109375" style="327" customWidth="1"/>
    <col min="6" max="6" width="1.7109375" style="327" customWidth="1"/>
    <col min="7" max="8" width="12.7109375" style="327" customWidth="1"/>
    <col min="9" max="9" width="1.7109375" style="327" customWidth="1"/>
    <col min="10" max="11" width="12.7109375" style="327" customWidth="1"/>
    <col min="12" max="12" width="1.7109375" style="327" customWidth="1"/>
    <col min="13" max="13" width="12.7109375" style="327" customWidth="1"/>
    <col min="14" max="14" width="14" style="327" bestFit="1" customWidth="1"/>
    <col min="15" max="15" width="1.7109375" style="327" customWidth="1"/>
    <col min="16" max="17" width="12.7109375" style="327" customWidth="1"/>
    <col min="18" max="18" width="1.7109375" style="327" customWidth="1"/>
    <col min="19" max="20" width="12.7109375" style="327" customWidth="1"/>
    <col min="21" max="21" width="10.7109375" style="327" bestFit="1" customWidth="1"/>
    <col min="22" max="22" width="12.7109375" style="327" customWidth="1"/>
    <col min="23" max="23" width="9.140625" style="327"/>
    <col min="24" max="16384" width="9.140625" style="9"/>
  </cols>
  <sheetData>
    <row r="2" spans="2:21" ht="18.75">
      <c r="B2" s="328" t="s">
        <v>347</v>
      </c>
      <c r="C2" s="328"/>
      <c r="D2" s="328"/>
      <c r="E2" s="328"/>
      <c r="F2" s="328"/>
      <c r="G2" s="328"/>
      <c r="H2" s="328"/>
      <c r="I2" s="328"/>
      <c r="J2" s="328"/>
      <c r="K2" s="328"/>
      <c r="L2" s="328"/>
      <c r="M2" s="328"/>
      <c r="N2" s="328"/>
      <c r="O2" s="328"/>
      <c r="P2" s="328"/>
      <c r="Q2" s="328"/>
      <c r="R2" s="328"/>
      <c r="S2" s="328"/>
      <c r="T2" s="328"/>
    </row>
    <row r="3" spans="2:21">
      <c r="C3" s="329"/>
    </row>
    <row r="4" spans="2:21">
      <c r="C4" s="329"/>
    </row>
    <row r="5" spans="2:21">
      <c r="C5" s="330"/>
      <c r="D5" s="331" t="s">
        <v>345</v>
      </c>
      <c r="E5" s="331"/>
      <c r="F5" s="331"/>
      <c r="G5" s="331"/>
      <c r="H5" s="331"/>
      <c r="I5" s="331"/>
      <c r="J5" s="331"/>
      <c r="K5" s="331"/>
      <c r="L5" s="331"/>
      <c r="M5" s="331"/>
      <c r="N5" s="331"/>
      <c r="O5" s="331"/>
      <c r="P5" s="331"/>
      <c r="Q5" s="331"/>
      <c r="R5" s="331"/>
      <c r="S5" s="331"/>
      <c r="T5" s="331"/>
    </row>
    <row r="6" spans="2:21">
      <c r="C6" s="332"/>
      <c r="D6" s="333" t="s">
        <v>4</v>
      </c>
      <c r="E6" s="333"/>
      <c r="F6" s="334"/>
      <c r="G6" s="333" t="s">
        <v>5</v>
      </c>
      <c r="H6" s="333"/>
      <c r="I6" s="334"/>
      <c r="J6" s="333" t="s">
        <v>6</v>
      </c>
      <c r="K6" s="333"/>
      <c r="L6" s="334"/>
      <c r="M6" s="333" t="s">
        <v>7</v>
      </c>
      <c r="N6" s="333"/>
      <c r="O6" s="334"/>
      <c r="P6" s="333" t="s">
        <v>8</v>
      </c>
      <c r="Q6" s="333"/>
      <c r="R6" s="334"/>
      <c r="S6" s="333" t="s">
        <v>76</v>
      </c>
      <c r="T6" s="333"/>
    </row>
    <row r="7" spans="2:21" ht="14.25" customHeight="1">
      <c r="C7" s="335"/>
      <c r="D7" s="334" t="s">
        <v>77</v>
      </c>
      <c r="E7" s="334" t="s">
        <v>77</v>
      </c>
      <c r="F7" s="334"/>
      <c r="G7" s="334" t="s">
        <v>77</v>
      </c>
      <c r="H7" s="334" t="s">
        <v>77</v>
      </c>
      <c r="I7" s="334"/>
      <c r="J7" s="334" t="s">
        <v>77</v>
      </c>
      <c r="K7" s="334" t="s">
        <v>77</v>
      </c>
      <c r="L7" s="334"/>
      <c r="M7" s="334" t="s">
        <v>77</v>
      </c>
      <c r="N7" s="334" t="s">
        <v>77</v>
      </c>
      <c r="O7" s="334"/>
      <c r="P7" s="334" t="s">
        <v>77</v>
      </c>
      <c r="Q7" s="334" t="s">
        <v>77</v>
      </c>
      <c r="R7" s="334"/>
      <c r="S7" s="334" t="s">
        <v>77</v>
      </c>
      <c r="T7" s="334" t="s">
        <v>77</v>
      </c>
    </row>
    <row r="8" spans="2:21">
      <c r="C8" s="335"/>
      <c r="D8" s="334" t="s">
        <v>78</v>
      </c>
      <c r="E8" s="334" t="s">
        <v>79</v>
      </c>
      <c r="F8" s="334"/>
      <c r="G8" s="334" t="s">
        <v>78</v>
      </c>
      <c r="H8" s="334" t="s">
        <v>79</v>
      </c>
      <c r="I8" s="334"/>
      <c r="J8" s="334" t="s">
        <v>78</v>
      </c>
      <c r="K8" s="334" t="s">
        <v>79</v>
      </c>
      <c r="L8" s="334"/>
      <c r="M8" s="334" t="s">
        <v>78</v>
      </c>
      <c r="N8" s="334" t="s">
        <v>79</v>
      </c>
      <c r="O8" s="334"/>
      <c r="P8" s="334" t="s">
        <v>78</v>
      </c>
      <c r="Q8" s="334" t="s">
        <v>79</v>
      </c>
      <c r="R8" s="334"/>
      <c r="S8" s="334" t="s">
        <v>78</v>
      </c>
      <c r="T8" s="334" t="s">
        <v>79</v>
      </c>
    </row>
    <row r="9" spans="2:21">
      <c r="C9" s="335"/>
      <c r="D9" s="336" t="s">
        <v>80</v>
      </c>
      <c r="E9" s="336" t="s">
        <v>80</v>
      </c>
      <c r="F9" s="336"/>
      <c r="G9" s="336" t="s">
        <v>80</v>
      </c>
      <c r="H9" s="336" t="s">
        <v>80</v>
      </c>
      <c r="I9" s="336"/>
      <c r="J9" s="336" t="s">
        <v>80</v>
      </c>
      <c r="K9" s="336" t="s">
        <v>80</v>
      </c>
      <c r="L9" s="336"/>
      <c r="M9" s="336" t="s">
        <v>80</v>
      </c>
      <c r="N9" s="336" t="s">
        <v>80</v>
      </c>
      <c r="O9" s="336"/>
      <c r="P9" s="336" t="s">
        <v>80</v>
      </c>
      <c r="Q9" s="336" t="s">
        <v>80</v>
      </c>
      <c r="R9" s="336"/>
      <c r="S9" s="336" t="s">
        <v>80</v>
      </c>
      <c r="T9" s="336" t="s">
        <v>80</v>
      </c>
    </row>
    <row r="10" spans="2:21">
      <c r="C10" s="332"/>
      <c r="D10" s="334"/>
      <c r="E10" s="334"/>
      <c r="F10" s="334"/>
      <c r="G10" s="334"/>
      <c r="H10" s="334"/>
      <c r="I10" s="334"/>
      <c r="J10" s="334"/>
      <c r="K10" s="337" t="s">
        <v>82</v>
      </c>
      <c r="L10" s="337"/>
      <c r="M10" s="337"/>
      <c r="N10" s="334"/>
      <c r="O10" s="334"/>
      <c r="P10" s="334"/>
      <c r="Q10" s="334"/>
      <c r="R10" s="334"/>
      <c r="S10" s="334"/>
      <c r="T10" s="334"/>
    </row>
    <row r="11" spans="2:21" ht="15" customHeight="1">
      <c r="C11" s="338" t="s">
        <v>220</v>
      </c>
      <c r="D11" s="332"/>
      <c r="E11" s="332"/>
      <c r="F11" s="332"/>
      <c r="G11" s="332"/>
      <c r="H11" s="332"/>
      <c r="I11" s="332"/>
      <c r="J11" s="332"/>
      <c r="K11" s="332"/>
      <c r="L11" s="332"/>
      <c r="M11" s="332"/>
      <c r="N11" s="332"/>
      <c r="O11" s="332"/>
      <c r="P11" s="332"/>
      <c r="Q11" s="332"/>
      <c r="R11" s="332"/>
      <c r="S11" s="332"/>
      <c r="T11" s="332"/>
    </row>
    <row r="12" spans="2:21" ht="15" customHeight="1">
      <c r="C12" s="338"/>
      <c r="D12" s="339">
        <f>[22]Pension!D12</f>
        <v>1187441</v>
      </c>
      <c r="E12" s="339">
        <f>[22]Pension!E12</f>
        <v>47019</v>
      </c>
      <c r="F12" s="339">
        <f>[22]Pension!F12</f>
        <v>0</v>
      </c>
      <c r="G12" s="339">
        <f>[22]Pension!G12</f>
        <v>158421</v>
      </c>
      <c r="H12" s="339">
        <f>[22]Pension!H12</f>
        <v>1390630</v>
      </c>
      <c r="I12" s="339">
        <f>[22]Pension!I12</f>
        <v>0</v>
      </c>
      <c r="J12" s="339">
        <f>[22]Pension!J12</f>
        <v>42106</v>
      </c>
      <c r="K12" s="339">
        <f>[22]Pension!K12</f>
        <v>54812</v>
      </c>
      <c r="L12" s="339">
        <f>[22]Pension!L12</f>
        <v>0</v>
      </c>
      <c r="M12" s="339">
        <f>[22]Pension!M12</f>
        <v>923188</v>
      </c>
      <c r="N12" s="339">
        <f>[22]Pension!N12</f>
        <v>6500</v>
      </c>
      <c r="O12" s="339">
        <f>[22]Pension!O12</f>
        <v>0</v>
      </c>
      <c r="P12" s="339">
        <f>[22]Pension!P12</f>
        <v>427263</v>
      </c>
      <c r="Q12" s="339">
        <f>[22]Pension!Q12</f>
        <v>12200</v>
      </c>
      <c r="R12" s="339"/>
      <c r="S12" s="339">
        <f>SUM(D12,G12,J12,M12,P12)</f>
        <v>2738419</v>
      </c>
      <c r="T12" s="339">
        <f>SUM(E12,H12,K12,N12,Q12)</f>
        <v>1511161</v>
      </c>
      <c r="U12" s="340"/>
    </row>
    <row r="13" spans="2:21" ht="15" customHeight="1">
      <c r="C13" s="341" t="s">
        <v>219</v>
      </c>
      <c r="D13" s="342">
        <f>[22]Pension!D13</f>
        <v>17</v>
      </c>
      <c r="E13" s="342">
        <f>[22]Pension!E13</f>
        <v>214542</v>
      </c>
      <c r="F13" s="342">
        <f>[22]Pension!F13</f>
        <v>0</v>
      </c>
      <c r="G13" s="342" t="str">
        <f>[22]Pension!G13</f>
        <v xml:space="preserve">----  </v>
      </c>
      <c r="H13" s="342">
        <f>[22]Pension!H13</f>
        <v>496574</v>
      </c>
      <c r="I13" s="342">
        <f>[22]Pension!I13</f>
        <v>0</v>
      </c>
      <c r="J13" s="342" t="str">
        <f>[22]Pension!J13</f>
        <v xml:space="preserve">---- </v>
      </c>
      <c r="K13" s="342">
        <f>[22]Pension!K13</f>
        <v>49268</v>
      </c>
      <c r="L13" s="342">
        <f>[22]Pension!L13</f>
        <v>0</v>
      </c>
      <c r="M13" s="342">
        <f>[22]Pension!M13</f>
        <v>53369</v>
      </c>
      <c r="N13" s="342">
        <f>[22]Pension!N13</f>
        <v>2717</v>
      </c>
      <c r="O13" s="342">
        <f>[22]Pension!O13</f>
        <v>0</v>
      </c>
      <c r="P13" s="342">
        <f>[22]Pension!P13</f>
        <v>99305</v>
      </c>
      <c r="Q13" s="342" t="str">
        <f>[22]Pension!Q13</f>
        <v xml:space="preserve">----  </v>
      </c>
      <c r="R13" s="342"/>
      <c r="S13" s="342">
        <f>SUM(D13,G13,J13,M13,P13)</f>
        <v>152691</v>
      </c>
      <c r="T13" s="342">
        <f>SUM(E13,H13,K13,N13,Q13)</f>
        <v>763101</v>
      </c>
    </row>
    <row r="14" spans="2:21" ht="15" customHeight="1">
      <c r="C14" s="338" t="s">
        <v>218</v>
      </c>
      <c r="D14" s="343"/>
      <c r="E14" s="343"/>
      <c r="F14" s="343"/>
      <c r="G14" s="343"/>
      <c r="H14" s="343"/>
      <c r="I14" s="343"/>
      <c r="J14" s="343"/>
      <c r="K14" s="343"/>
      <c r="L14" s="343"/>
      <c r="M14" s="332"/>
      <c r="N14" s="343"/>
      <c r="S14" s="332"/>
      <c r="T14" s="332"/>
    </row>
    <row r="15" spans="2:21" ht="15" customHeight="1">
      <c r="C15" s="338"/>
      <c r="D15" s="343"/>
      <c r="E15" s="343"/>
      <c r="F15" s="343"/>
      <c r="G15" s="343"/>
      <c r="H15" s="343"/>
      <c r="I15" s="343"/>
      <c r="J15" s="343"/>
      <c r="K15" s="343"/>
      <c r="L15" s="343"/>
      <c r="M15" s="332"/>
      <c r="N15" s="343"/>
      <c r="P15" s="332"/>
      <c r="Q15" s="332"/>
      <c r="S15" s="332"/>
      <c r="T15" s="332"/>
    </row>
    <row r="16" spans="2:21" ht="15" customHeight="1">
      <c r="C16" s="338"/>
      <c r="D16" s="342">
        <f>[22]Pension!D16</f>
        <v>1315743</v>
      </c>
      <c r="E16" s="342" t="str">
        <f>[22]Pension!E16</f>
        <v xml:space="preserve">----  </v>
      </c>
      <c r="F16" s="342">
        <f>[22]Pension!F16</f>
        <v>0</v>
      </c>
      <c r="G16" s="342" t="str">
        <f>[22]Pension!G16</f>
        <v xml:space="preserve">----  </v>
      </c>
      <c r="H16" s="342">
        <f>[22]Pension!H16</f>
        <v>143339</v>
      </c>
      <c r="I16" s="342">
        <f>[22]Pension!I16</f>
        <v>0</v>
      </c>
      <c r="J16" s="342" t="str">
        <f>[22]Pension!J16</f>
        <v xml:space="preserve">---- </v>
      </c>
      <c r="K16" s="342">
        <f>[22]Pension!K16</f>
        <v>65984</v>
      </c>
      <c r="L16" s="342">
        <f>[22]Pension!L16</f>
        <v>0</v>
      </c>
      <c r="M16" s="342">
        <f>[22]Pension!M16</f>
        <v>1083214</v>
      </c>
      <c r="N16" s="342" t="str">
        <f>[22]Pension!N16</f>
        <v xml:space="preserve">----  </v>
      </c>
      <c r="O16" s="342">
        <f>[22]Pension!O16</f>
        <v>0</v>
      </c>
      <c r="P16" s="342">
        <f>[22]Pension!P16</f>
        <v>588331</v>
      </c>
      <c r="Q16" s="342" t="str">
        <f>[22]Pension!Q16</f>
        <v xml:space="preserve">----  </v>
      </c>
      <c r="R16" s="342"/>
      <c r="S16" s="342">
        <f>SUM(D16,G16,J16,M16,P16)</f>
        <v>2987288</v>
      </c>
      <c r="T16" s="342">
        <f>SUM(E16,H16,K16,N16,Q16)</f>
        <v>209323</v>
      </c>
    </row>
    <row r="17" spans="3:20" ht="15" customHeight="1">
      <c r="C17" s="338" t="s">
        <v>214</v>
      </c>
      <c r="D17" s="343"/>
      <c r="E17" s="343"/>
      <c r="F17" s="343"/>
      <c r="G17" s="343"/>
      <c r="H17" s="343"/>
      <c r="I17" s="343"/>
      <c r="J17" s="343"/>
      <c r="K17" s="343"/>
      <c r="L17" s="343"/>
      <c r="M17" s="332"/>
      <c r="N17" s="343"/>
      <c r="P17" s="332"/>
      <c r="Q17" s="332"/>
      <c r="S17" s="332"/>
      <c r="T17" s="332"/>
    </row>
    <row r="18" spans="3:20" ht="15" customHeight="1">
      <c r="C18" s="338"/>
      <c r="D18" s="343"/>
      <c r="E18" s="343"/>
      <c r="F18" s="343"/>
      <c r="G18" s="343"/>
      <c r="H18" s="343"/>
      <c r="I18" s="343"/>
      <c r="J18" s="343"/>
      <c r="K18" s="343"/>
      <c r="L18" s="343"/>
      <c r="M18" s="332"/>
      <c r="N18" s="343"/>
      <c r="P18" s="332"/>
      <c r="Q18" s="332"/>
      <c r="S18" s="332"/>
      <c r="T18" s="332"/>
    </row>
    <row r="19" spans="3:20" ht="15" customHeight="1">
      <c r="C19" s="338"/>
      <c r="D19" s="343"/>
      <c r="E19" s="343"/>
      <c r="F19" s="343"/>
      <c r="G19" s="343"/>
      <c r="H19" s="343"/>
      <c r="I19" s="343"/>
      <c r="J19" s="343"/>
      <c r="K19" s="343"/>
      <c r="L19" s="343"/>
      <c r="M19" s="332"/>
      <c r="N19" s="343"/>
      <c r="P19" s="332"/>
      <c r="Q19" s="332"/>
      <c r="S19" s="332"/>
      <c r="T19" s="332"/>
    </row>
    <row r="20" spans="3:20" ht="15" customHeight="1">
      <c r="C20" s="338"/>
      <c r="D20" s="344">
        <f>[22]Pension!D20</f>
        <v>373404</v>
      </c>
      <c r="E20" s="344">
        <f>[22]Pension!E20</f>
        <v>34248</v>
      </c>
      <c r="F20" s="345">
        <f>[22]Pension!F20</f>
        <v>0</v>
      </c>
      <c r="G20" s="344">
        <f>[22]Pension!G20</f>
        <v>-99644</v>
      </c>
      <c r="H20" s="344">
        <f>[22]Pension!H20</f>
        <v>-6233</v>
      </c>
      <c r="I20" s="345">
        <f>[22]Pension!I20</f>
        <v>0</v>
      </c>
      <c r="J20" s="344">
        <f>[22]Pension!J20</f>
        <v>-98</v>
      </c>
      <c r="K20" s="344">
        <f>[22]Pension!K20</f>
        <v>4</v>
      </c>
      <c r="L20" s="345">
        <f>[22]Pension!L20</f>
        <v>0</v>
      </c>
      <c r="M20" s="346" t="str">
        <f>[22]Pension!M20</f>
        <v xml:space="preserve">----  </v>
      </c>
      <c r="N20" s="346" t="str">
        <f>[22]Pension!N20</f>
        <v xml:space="preserve">----  </v>
      </c>
      <c r="O20" s="342">
        <f>[22]Pension!O20</f>
        <v>0</v>
      </c>
      <c r="P20" s="346" t="str">
        <f>[22]Pension!P20</f>
        <v xml:space="preserve">----  </v>
      </c>
      <c r="Q20" s="346" t="str">
        <f>[22]Pension!Q20</f>
        <v xml:space="preserve">----  </v>
      </c>
      <c r="R20" s="345"/>
      <c r="S20" s="344">
        <f>SUM(D20,G20,J20,M20,P20)</f>
        <v>273662</v>
      </c>
      <c r="T20" s="344">
        <f>SUM(E20,H20,K20,N20,Q20)</f>
        <v>28019</v>
      </c>
    </row>
    <row r="21" spans="3:20" ht="15" customHeight="1">
      <c r="C21" s="341" t="s">
        <v>217</v>
      </c>
      <c r="D21" s="347">
        <f>SUM(D11:D20)</f>
        <v>2876605</v>
      </c>
      <c r="E21" s="347">
        <f>SUM(E11:E20)</f>
        <v>295809</v>
      </c>
      <c r="F21" s="347"/>
      <c r="G21" s="347">
        <f>SUM(G11:G20)</f>
        <v>58777</v>
      </c>
      <c r="H21" s="347">
        <f>SUM(H11:H20)</f>
        <v>2024310</v>
      </c>
      <c r="I21" s="347"/>
      <c r="J21" s="347">
        <f t="shared" ref="J21:T21" si="0">SUM(J11:J20)</f>
        <v>42008</v>
      </c>
      <c r="K21" s="347">
        <f>SUM(K11:K20)</f>
        <v>170068</v>
      </c>
      <c r="L21" s="347"/>
      <c r="M21" s="347">
        <f>SUM(M11:M20)</f>
        <v>2059771</v>
      </c>
      <c r="N21" s="347">
        <f>SUM(N11:N20)</f>
        <v>9217</v>
      </c>
      <c r="O21" s="347"/>
      <c r="P21" s="347">
        <f>SUM(P11:P20)</f>
        <v>1114899</v>
      </c>
      <c r="Q21" s="347">
        <f>SUM(Q11:Q20)</f>
        <v>12200</v>
      </c>
      <c r="R21" s="347"/>
      <c r="S21" s="347">
        <f t="shared" si="0"/>
        <v>6152060</v>
      </c>
      <c r="T21" s="347">
        <f t="shared" si="0"/>
        <v>2511604</v>
      </c>
    </row>
    <row r="22" spans="3:20" ht="15" customHeight="1">
      <c r="C22" s="341"/>
      <c r="D22" s="348"/>
      <c r="E22" s="349"/>
      <c r="F22" s="349"/>
      <c r="G22" s="349"/>
      <c r="H22" s="349"/>
      <c r="I22" s="349"/>
      <c r="J22" s="350"/>
      <c r="K22" s="349"/>
      <c r="L22" s="350"/>
      <c r="M22" s="350"/>
      <c r="N22" s="349"/>
      <c r="O22" s="350"/>
      <c r="P22" s="350"/>
      <c r="Q22" s="349"/>
      <c r="R22" s="350"/>
      <c r="S22" s="349"/>
      <c r="T22" s="349"/>
    </row>
    <row r="23" spans="3:20" ht="21.95" customHeight="1">
      <c r="C23" s="330"/>
      <c r="D23" s="331" t="s">
        <v>318</v>
      </c>
      <c r="E23" s="331"/>
      <c r="F23" s="331"/>
      <c r="G23" s="331"/>
      <c r="H23" s="331"/>
      <c r="I23" s="331"/>
      <c r="J23" s="331"/>
      <c r="K23" s="331"/>
      <c r="L23" s="331"/>
      <c r="M23" s="331"/>
      <c r="N23" s="331"/>
      <c r="O23" s="331"/>
      <c r="P23" s="331"/>
      <c r="Q23" s="331"/>
      <c r="R23" s="331"/>
      <c r="S23" s="331"/>
      <c r="T23" s="331"/>
    </row>
    <row r="24" spans="3:20">
      <c r="C24" s="332"/>
      <c r="D24" s="333" t="s">
        <v>4</v>
      </c>
      <c r="E24" s="333"/>
      <c r="F24" s="334"/>
      <c r="G24" s="333" t="s">
        <v>5</v>
      </c>
      <c r="H24" s="333"/>
      <c r="I24" s="334"/>
      <c r="J24" s="333" t="s">
        <v>6</v>
      </c>
      <c r="K24" s="333"/>
      <c r="L24" s="334"/>
      <c r="M24" s="333" t="s">
        <v>7</v>
      </c>
      <c r="N24" s="333"/>
      <c r="O24" s="334"/>
      <c r="P24" s="333" t="s">
        <v>8</v>
      </c>
      <c r="Q24" s="333"/>
      <c r="R24" s="334"/>
      <c r="S24" s="333" t="s">
        <v>76</v>
      </c>
      <c r="T24" s="333"/>
    </row>
    <row r="25" spans="3:20" ht="14.25" customHeight="1">
      <c r="C25" s="335"/>
      <c r="D25" s="334" t="s">
        <v>77</v>
      </c>
      <c r="E25" s="334" t="s">
        <v>77</v>
      </c>
      <c r="F25" s="334"/>
      <c r="G25" s="334" t="s">
        <v>77</v>
      </c>
      <c r="H25" s="334" t="s">
        <v>77</v>
      </c>
      <c r="I25" s="334"/>
      <c r="J25" s="334" t="s">
        <v>77</v>
      </c>
      <c r="K25" s="334" t="s">
        <v>77</v>
      </c>
      <c r="L25" s="334"/>
      <c r="M25" s="334" t="s">
        <v>77</v>
      </c>
      <c r="N25" s="334" t="s">
        <v>77</v>
      </c>
      <c r="O25" s="334"/>
      <c r="P25" s="334" t="s">
        <v>77</v>
      </c>
      <c r="Q25" s="334" t="s">
        <v>77</v>
      </c>
      <c r="R25" s="334"/>
      <c r="S25" s="334" t="s">
        <v>77</v>
      </c>
      <c r="T25" s="334" t="s">
        <v>77</v>
      </c>
    </row>
    <row r="26" spans="3:20">
      <c r="C26" s="335"/>
      <c r="D26" s="334" t="s">
        <v>78</v>
      </c>
      <c r="E26" s="334" t="s">
        <v>79</v>
      </c>
      <c r="F26" s="334"/>
      <c r="G26" s="334" t="s">
        <v>78</v>
      </c>
      <c r="H26" s="334" t="s">
        <v>79</v>
      </c>
      <c r="I26" s="334"/>
      <c r="J26" s="334" t="s">
        <v>78</v>
      </c>
      <c r="K26" s="334" t="s">
        <v>79</v>
      </c>
      <c r="L26" s="334"/>
      <c r="M26" s="334" t="s">
        <v>78</v>
      </c>
      <c r="N26" s="334" t="s">
        <v>79</v>
      </c>
      <c r="O26" s="334"/>
      <c r="P26" s="334" t="s">
        <v>78</v>
      </c>
      <c r="Q26" s="334" t="s">
        <v>79</v>
      </c>
      <c r="R26" s="334"/>
      <c r="S26" s="334" t="s">
        <v>78</v>
      </c>
      <c r="T26" s="334" t="s">
        <v>79</v>
      </c>
    </row>
    <row r="27" spans="3:20">
      <c r="C27" s="335"/>
      <c r="D27" s="336" t="s">
        <v>80</v>
      </c>
      <c r="E27" s="336" t="s">
        <v>80</v>
      </c>
      <c r="F27" s="336"/>
      <c r="G27" s="336" t="s">
        <v>80</v>
      </c>
      <c r="H27" s="336" t="s">
        <v>80</v>
      </c>
      <c r="I27" s="336"/>
      <c r="J27" s="336" t="s">
        <v>80</v>
      </c>
      <c r="K27" s="336" t="s">
        <v>80</v>
      </c>
      <c r="L27" s="336"/>
      <c r="M27" s="336" t="s">
        <v>80</v>
      </c>
      <c r="N27" s="336" t="s">
        <v>80</v>
      </c>
      <c r="O27" s="336"/>
      <c r="P27" s="336" t="s">
        <v>80</v>
      </c>
      <c r="Q27" s="336" t="s">
        <v>80</v>
      </c>
      <c r="R27" s="336"/>
      <c r="S27" s="336" t="s">
        <v>80</v>
      </c>
      <c r="T27" s="336" t="s">
        <v>80</v>
      </c>
    </row>
    <row r="28" spans="3:20" ht="15.75" customHeight="1">
      <c r="C28" s="332"/>
      <c r="D28" s="334"/>
      <c r="E28" s="334"/>
      <c r="F28" s="334"/>
      <c r="G28" s="334"/>
      <c r="H28" s="334"/>
      <c r="I28" s="334"/>
      <c r="J28" s="334"/>
      <c r="K28" s="337" t="s">
        <v>82</v>
      </c>
      <c r="L28" s="337"/>
      <c r="M28" s="337"/>
      <c r="N28" s="334"/>
      <c r="O28" s="334"/>
      <c r="P28" s="334"/>
      <c r="Q28" s="334"/>
      <c r="R28" s="334"/>
      <c r="S28" s="334"/>
      <c r="T28" s="334"/>
    </row>
    <row r="29" spans="3:20" ht="15" customHeight="1">
      <c r="C29" s="338" t="s">
        <v>221</v>
      </c>
      <c r="D29" s="332"/>
      <c r="E29" s="332"/>
      <c r="F29" s="332"/>
      <c r="G29" s="332"/>
      <c r="H29" s="332"/>
      <c r="I29" s="332"/>
      <c r="J29" s="332"/>
      <c r="K29" s="332"/>
      <c r="L29" s="332"/>
      <c r="M29" s="332"/>
      <c r="N29" s="332"/>
      <c r="O29" s="332"/>
      <c r="P29" s="332"/>
      <c r="Q29" s="332"/>
      <c r="R29" s="332"/>
      <c r="S29" s="332"/>
      <c r="T29" s="332"/>
    </row>
    <row r="30" spans="3:20" ht="15" customHeight="1">
      <c r="C30" s="338"/>
      <c r="D30" s="339">
        <f>'[11]12'!D12</f>
        <v>935551</v>
      </c>
      <c r="E30" s="339">
        <f>'[11]12'!E12</f>
        <v>237079</v>
      </c>
      <c r="F30" s="339">
        <f>'[11]12'!F12</f>
        <v>0</v>
      </c>
      <c r="G30" s="339">
        <f>'[11]12'!G12</f>
        <v>162806</v>
      </c>
      <c r="H30" s="339">
        <f>'[11]12'!H12</f>
        <v>1905403</v>
      </c>
      <c r="I30" s="339">
        <f>'[11]12'!I12</f>
        <v>0</v>
      </c>
      <c r="J30" s="339">
        <f>'[11]12'!J12</f>
        <v>74342</v>
      </c>
      <c r="K30" s="339">
        <f>'[11]12'!K12</f>
        <v>74254</v>
      </c>
      <c r="L30" s="339">
        <f>'[11]12'!L12</f>
        <v>0</v>
      </c>
      <c r="M30" s="339">
        <f>'[11]12'!M12</f>
        <v>717479</v>
      </c>
      <c r="N30" s="339">
        <f>'[11]12'!N12</f>
        <v>168993</v>
      </c>
      <c r="O30" s="339"/>
      <c r="P30" s="339">
        <f>'[11]12'!P12</f>
        <v>236348</v>
      </c>
      <c r="Q30" s="339">
        <f>'[11]12'!Q12</f>
        <v>17304</v>
      </c>
      <c r="R30" s="339"/>
      <c r="S30" s="339">
        <f>'[11]12'!S12</f>
        <v>2126526</v>
      </c>
      <c r="T30" s="339">
        <f>'[11]12'!T12</f>
        <v>2403033</v>
      </c>
    </row>
    <row r="31" spans="3:20" ht="15" customHeight="1">
      <c r="C31" s="341" t="s">
        <v>216</v>
      </c>
      <c r="D31" s="342">
        <f>'[11]12'!D13</f>
        <v>1775</v>
      </c>
      <c r="E31" s="342">
        <f>'[11]12'!E13</f>
        <v>345051</v>
      </c>
      <c r="F31" s="342">
        <f>'[11]12'!F13</f>
        <v>0</v>
      </c>
      <c r="G31" s="342">
        <v>0</v>
      </c>
      <c r="H31" s="342">
        <f>'[11]12'!H13</f>
        <v>640316</v>
      </c>
      <c r="I31" s="342">
        <f>'[11]12'!I13</f>
        <v>0</v>
      </c>
      <c r="J31" s="342">
        <v>0</v>
      </c>
      <c r="K31" s="342">
        <f>'[11]12'!K13</f>
        <v>102511</v>
      </c>
      <c r="L31" s="342">
        <f>'[11]12'!L13</f>
        <v>0</v>
      </c>
      <c r="M31" s="342">
        <f>'[11]12'!M13</f>
        <v>81166</v>
      </c>
      <c r="N31" s="342">
        <f>'[11]12'!N13</f>
        <v>70654</v>
      </c>
      <c r="O31" s="342"/>
      <c r="P31" s="342">
        <f>'[11]12'!P13</f>
        <v>224828</v>
      </c>
      <c r="Q31" s="342">
        <v>0</v>
      </c>
      <c r="R31" s="342"/>
      <c r="S31" s="342">
        <f>'[11]12'!S13</f>
        <v>307769</v>
      </c>
      <c r="T31" s="342">
        <f>'[11]12'!T13</f>
        <v>1158532</v>
      </c>
    </row>
    <row r="32" spans="3:20" ht="15" customHeight="1">
      <c r="C32" s="338" t="s">
        <v>215</v>
      </c>
      <c r="D32" s="343"/>
      <c r="E32" s="343"/>
      <c r="F32" s="343"/>
      <c r="G32" s="343"/>
      <c r="H32" s="343"/>
      <c r="I32" s="343"/>
      <c r="J32" s="343"/>
      <c r="K32" s="343"/>
      <c r="L32" s="343"/>
      <c r="M32" s="332"/>
      <c r="N32" s="343"/>
      <c r="S32" s="332"/>
      <c r="T32" s="332"/>
    </row>
    <row r="33" spans="3:20" ht="15" customHeight="1">
      <c r="C33" s="338"/>
      <c r="D33" s="343"/>
      <c r="E33" s="343"/>
      <c r="F33" s="343"/>
      <c r="G33" s="343"/>
      <c r="H33" s="343"/>
      <c r="I33" s="343"/>
      <c r="J33" s="343"/>
      <c r="K33" s="343"/>
      <c r="L33" s="343"/>
      <c r="M33" s="332"/>
      <c r="N33" s="343"/>
      <c r="P33" s="332"/>
      <c r="Q33" s="332"/>
      <c r="S33" s="332"/>
      <c r="T33" s="332"/>
    </row>
    <row r="34" spans="3:20" ht="15" customHeight="1">
      <c r="C34" s="338"/>
      <c r="D34" s="342">
        <f>'[11]12'!D16</f>
        <v>1971329</v>
      </c>
      <c r="E34" s="342">
        <v>0</v>
      </c>
      <c r="F34" s="342">
        <f>'[11]12'!F16</f>
        <v>0</v>
      </c>
      <c r="G34" s="342">
        <f>'[11]12'!G16</f>
        <v>1372600</v>
      </c>
      <c r="H34" s="342">
        <v>0</v>
      </c>
      <c r="I34" s="342">
        <f>'[11]12'!I16</f>
        <v>0</v>
      </c>
      <c r="J34" s="342">
        <f>'[11]12'!J16</f>
        <v>81922</v>
      </c>
      <c r="K34" s="342">
        <v>0</v>
      </c>
      <c r="L34" s="342">
        <f>'[11]12'!L16</f>
        <v>0</v>
      </c>
      <c r="M34" s="342">
        <f>'[11]12'!M16</f>
        <v>1916064</v>
      </c>
      <c r="N34" s="342">
        <v>0</v>
      </c>
      <c r="O34" s="342"/>
      <c r="P34" s="342">
        <f>'[11]12'!P16</f>
        <v>810543</v>
      </c>
      <c r="Q34" s="342">
        <v>0</v>
      </c>
      <c r="R34" s="342"/>
      <c r="S34" s="342">
        <f>'[11]12'!S16</f>
        <v>6152458</v>
      </c>
      <c r="T34" s="342">
        <f>'[11]12'!T16</f>
        <v>0</v>
      </c>
    </row>
    <row r="35" spans="3:20" ht="15" customHeight="1">
      <c r="C35" s="338" t="s">
        <v>214</v>
      </c>
      <c r="D35" s="343"/>
      <c r="E35" s="343"/>
      <c r="F35" s="343"/>
      <c r="G35" s="343"/>
      <c r="H35" s="343"/>
      <c r="I35" s="343"/>
      <c r="J35" s="343"/>
      <c r="K35" s="343"/>
      <c r="L35" s="343"/>
      <c r="M35" s="332"/>
      <c r="N35" s="343"/>
      <c r="P35" s="332"/>
      <c r="Q35" s="332"/>
      <c r="S35" s="332"/>
      <c r="T35" s="332"/>
    </row>
    <row r="36" spans="3:20" ht="15" customHeight="1">
      <c r="C36" s="338"/>
      <c r="D36" s="343"/>
      <c r="E36" s="343"/>
      <c r="F36" s="343"/>
      <c r="G36" s="343"/>
      <c r="H36" s="343"/>
      <c r="I36" s="343"/>
      <c r="J36" s="343"/>
      <c r="K36" s="343"/>
      <c r="L36" s="343"/>
      <c r="M36" s="332"/>
      <c r="N36" s="343"/>
      <c r="P36" s="332"/>
      <c r="Q36" s="332"/>
      <c r="S36" s="332"/>
      <c r="T36" s="332"/>
    </row>
    <row r="37" spans="3:20" ht="15" customHeight="1">
      <c r="C37" s="338"/>
      <c r="D37" s="343"/>
      <c r="E37" s="343"/>
      <c r="F37" s="343"/>
      <c r="G37" s="343"/>
      <c r="H37" s="343"/>
      <c r="I37" s="343"/>
      <c r="J37" s="343"/>
      <c r="K37" s="343"/>
      <c r="L37" s="343"/>
      <c r="M37" s="332"/>
      <c r="N37" s="343"/>
      <c r="P37" s="332"/>
      <c r="Q37" s="332"/>
      <c r="S37" s="332"/>
      <c r="T37" s="332"/>
    </row>
    <row r="38" spans="3:20" ht="15" customHeight="1">
      <c r="C38" s="338"/>
      <c r="D38" s="344">
        <f>'[11]12'!D20</f>
        <v>607282</v>
      </c>
      <c r="E38" s="344">
        <f>'[11]12'!E20</f>
        <v>68419</v>
      </c>
      <c r="F38" s="345">
        <f>'[11]12'!F20</f>
        <v>0</v>
      </c>
      <c r="G38" s="344">
        <f>'[11]12'!G20</f>
        <v>-64200</v>
      </c>
      <c r="H38" s="344">
        <f>'[11]12'!H20</f>
        <v>-360</v>
      </c>
      <c r="I38" s="345">
        <f>'[11]12'!I20</f>
        <v>0</v>
      </c>
      <c r="J38" s="344">
        <f>'[11]12'!J20</f>
        <v>-166</v>
      </c>
      <c r="K38" s="344">
        <f>'[11]12'!K20</f>
        <v>-12</v>
      </c>
      <c r="L38" s="345">
        <f>'[11]12'!L20</f>
        <v>0</v>
      </c>
      <c r="M38" s="346">
        <v>0</v>
      </c>
      <c r="N38" s="346">
        <v>0</v>
      </c>
      <c r="O38" s="342"/>
      <c r="P38" s="346">
        <v>0</v>
      </c>
      <c r="Q38" s="346">
        <v>0</v>
      </c>
      <c r="R38" s="345"/>
      <c r="S38" s="344">
        <f>'[11]12'!S20</f>
        <v>542916</v>
      </c>
      <c r="T38" s="344">
        <f>'[11]12'!T20</f>
        <v>68047</v>
      </c>
    </row>
    <row r="39" spans="3:20" ht="15" customHeight="1">
      <c r="C39" s="341" t="s">
        <v>213</v>
      </c>
      <c r="D39" s="347">
        <f>SUM(D29:D38)</f>
        <v>3515937</v>
      </c>
      <c r="E39" s="347">
        <f>SUM(E29:E38)</f>
        <v>650549</v>
      </c>
      <c r="F39" s="347"/>
      <c r="G39" s="347">
        <f>SUM(G29:G38)</f>
        <v>1471206</v>
      </c>
      <c r="H39" s="347">
        <f>SUM(H29:H38)</f>
        <v>2545359</v>
      </c>
      <c r="I39" s="347"/>
      <c r="J39" s="347">
        <f t="shared" ref="J39" si="1">SUM(J29:J38)</f>
        <v>156098</v>
      </c>
      <c r="K39" s="347">
        <f>SUM(K29:K38)</f>
        <v>176753</v>
      </c>
      <c r="L39" s="347"/>
      <c r="M39" s="347">
        <f>SUM(M29:M38)</f>
        <v>2714709</v>
      </c>
      <c r="N39" s="347">
        <f>SUM(N29:N38)</f>
        <v>239647</v>
      </c>
      <c r="O39" s="347"/>
      <c r="P39" s="347">
        <f t="shared" ref="P39" si="2">SUM(P29:P38)</f>
        <v>1271719</v>
      </c>
      <c r="Q39" s="347">
        <f>SUM(Q29:Q38)</f>
        <v>17304</v>
      </c>
      <c r="R39" s="347"/>
      <c r="S39" s="347">
        <f t="shared" ref="S39:T39" si="3">SUM(S29:S38)</f>
        <v>9129669</v>
      </c>
      <c r="T39" s="347">
        <f t="shared" si="3"/>
        <v>3629612</v>
      </c>
    </row>
    <row r="40" spans="3:20" ht="15" customHeight="1">
      <c r="C40" s="341"/>
      <c r="D40" s="348"/>
      <c r="E40" s="349"/>
      <c r="F40" s="349"/>
      <c r="G40" s="349"/>
      <c r="H40" s="349"/>
      <c r="I40" s="349"/>
      <c r="J40" s="350"/>
      <c r="K40" s="349"/>
      <c r="L40" s="350"/>
      <c r="M40" s="350"/>
      <c r="N40" s="349"/>
      <c r="O40" s="350"/>
      <c r="P40" s="350"/>
      <c r="Q40" s="349"/>
      <c r="R40" s="350"/>
      <c r="S40" s="349"/>
      <c r="T40" s="349"/>
    </row>
    <row r="41" spans="3:20" ht="15" customHeight="1">
      <c r="C41" s="341"/>
      <c r="D41" s="351"/>
      <c r="E41" s="349"/>
      <c r="F41" s="349"/>
      <c r="G41" s="349"/>
      <c r="H41" s="349"/>
      <c r="I41" s="349"/>
      <c r="J41" s="350"/>
      <c r="K41" s="350"/>
      <c r="L41" s="350"/>
      <c r="M41" s="350"/>
      <c r="N41" s="350"/>
      <c r="O41" s="350"/>
      <c r="P41" s="350"/>
      <c r="Q41" s="350"/>
      <c r="R41" s="350"/>
      <c r="S41" s="349"/>
      <c r="T41" s="349"/>
    </row>
    <row r="42" spans="3:20" ht="15" customHeight="1">
      <c r="C42" s="341"/>
      <c r="D42" s="351"/>
      <c r="E42" s="349"/>
      <c r="F42" s="349"/>
      <c r="G42" s="349"/>
      <c r="H42" s="349"/>
      <c r="I42" s="349"/>
      <c r="J42" s="350"/>
      <c r="K42" s="350"/>
      <c r="L42" s="350"/>
      <c r="M42" s="350"/>
      <c r="N42" s="350"/>
      <c r="O42" s="350"/>
      <c r="P42" s="350"/>
      <c r="Q42" s="350"/>
      <c r="R42" s="350"/>
      <c r="S42" s="349"/>
      <c r="T42" s="349"/>
    </row>
    <row r="43" spans="3:20" ht="15" hidden="1" customHeight="1">
      <c r="C43" s="341" t="s">
        <v>81</v>
      </c>
      <c r="D43" s="351"/>
      <c r="E43" s="349">
        <f>E21-D21</f>
        <v>-2580796</v>
      </c>
      <c r="F43" s="349"/>
      <c r="G43" s="349"/>
      <c r="H43" s="349">
        <f>H21-G21</f>
        <v>1965533</v>
      </c>
      <c r="I43" s="349"/>
      <c r="J43" s="350"/>
      <c r="K43" s="349">
        <f>K21-J21</f>
        <v>128060</v>
      </c>
      <c r="L43" s="350"/>
      <c r="M43" s="350"/>
      <c r="N43" s="349">
        <f>N21-M21</f>
        <v>-2050554</v>
      </c>
      <c r="O43" s="350"/>
      <c r="P43" s="350"/>
      <c r="Q43" s="349">
        <f>Q21-P21</f>
        <v>-1102699</v>
      </c>
      <c r="R43" s="350"/>
      <c r="S43" s="349"/>
      <c r="T43" s="349">
        <f>T21-S21</f>
        <v>-3640456</v>
      </c>
    </row>
    <row r="45" spans="3:20">
      <c r="D45" s="352"/>
      <c r="E45" s="352"/>
      <c r="F45" s="352"/>
      <c r="G45" s="352"/>
      <c r="H45" s="352"/>
      <c r="I45" s="352"/>
      <c r="J45" s="352"/>
      <c r="K45" s="352"/>
      <c r="L45" s="352"/>
      <c r="M45" s="352"/>
      <c r="N45" s="352"/>
      <c r="O45" s="352"/>
      <c r="P45" s="352"/>
      <c r="Q45" s="352"/>
      <c r="R45" s="352"/>
      <c r="S45" s="352"/>
      <c r="T45" s="352"/>
    </row>
    <row r="46" spans="3:20">
      <c r="D46" s="352"/>
      <c r="E46" s="352"/>
      <c r="F46" s="352"/>
      <c r="G46" s="352"/>
      <c r="H46" s="352"/>
      <c r="I46" s="352"/>
      <c r="J46" s="352"/>
      <c r="K46" s="352"/>
      <c r="L46" s="352"/>
      <c r="M46" s="352"/>
      <c r="N46" s="352"/>
      <c r="O46" s="352"/>
      <c r="P46" s="352"/>
      <c r="Q46" s="352"/>
      <c r="R46" s="352"/>
      <c r="S46" s="352"/>
      <c r="T46" s="352"/>
    </row>
    <row r="47" spans="3:20">
      <c r="D47" s="352"/>
      <c r="E47" s="352"/>
      <c r="F47" s="352"/>
      <c r="G47" s="352"/>
      <c r="H47" s="352"/>
      <c r="I47" s="352"/>
      <c r="J47" s="352"/>
      <c r="K47" s="352"/>
      <c r="L47" s="352"/>
      <c r="M47" s="352"/>
      <c r="N47" s="352"/>
      <c r="O47" s="352"/>
      <c r="P47" s="352"/>
      <c r="Q47" s="352"/>
      <c r="R47" s="352"/>
      <c r="S47" s="352"/>
      <c r="T47" s="352"/>
    </row>
    <row r="48" spans="3:20">
      <c r="D48" s="352"/>
      <c r="E48" s="352"/>
      <c r="F48" s="352"/>
      <c r="G48" s="352"/>
      <c r="H48" s="352"/>
      <c r="I48" s="352"/>
      <c r="J48" s="352"/>
      <c r="K48" s="352"/>
      <c r="L48" s="352"/>
      <c r="M48" s="352"/>
      <c r="N48" s="352"/>
      <c r="O48" s="352"/>
      <c r="P48" s="352"/>
      <c r="Q48" s="352"/>
      <c r="R48" s="352"/>
      <c r="S48" s="352"/>
      <c r="T48" s="352"/>
    </row>
    <row r="49" spans="4:20">
      <c r="D49" s="352"/>
      <c r="E49" s="352"/>
      <c r="F49" s="352"/>
      <c r="G49" s="352"/>
      <c r="H49" s="352"/>
      <c r="I49" s="352"/>
      <c r="J49" s="352"/>
      <c r="K49" s="352"/>
      <c r="L49" s="352"/>
      <c r="M49" s="352"/>
      <c r="N49" s="352"/>
      <c r="O49" s="352"/>
      <c r="P49" s="352"/>
      <c r="Q49" s="352"/>
      <c r="R49" s="352"/>
      <c r="S49" s="352"/>
      <c r="T49" s="352"/>
    </row>
    <row r="50" spans="4:20">
      <c r="D50" s="352"/>
      <c r="E50" s="352"/>
      <c r="F50" s="352"/>
      <c r="G50" s="352"/>
      <c r="H50" s="352"/>
      <c r="I50" s="352"/>
      <c r="J50" s="352"/>
      <c r="K50" s="352"/>
      <c r="L50" s="352"/>
      <c r="M50" s="352"/>
      <c r="N50" s="352"/>
      <c r="O50" s="352"/>
      <c r="P50" s="352"/>
      <c r="Q50" s="352"/>
      <c r="R50" s="352"/>
      <c r="S50" s="352"/>
      <c r="T50" s="352"/>
    </row>
    <row r="51" spans="4:20">
      <c r="D51" s="352"/>
      <c r="E51" s="352"/>
      <c r="F51" s="352"/>
      <c r="G51" s="352"/>
      <c r="H51" s="352"/>
      <c r="I51" s="352"/>
      <c r="J51" s="352"/>
      <c r="K51" s="352"/>
      <c r="L51" s="352"/>
      <c r="M51" s="352"/>
      <c r="N51" s="352"/>
      <c r="O51" s="352"/>
      <c r="P51" s="352"/>
      <c r="Q51" s="352"/>
      <c r="R51" s="352"/>
      <c r="S51" s="352"/>
      <c r="T51" s="352"/>
    </row>
    <row r="52" spans="4:20">
      <c r="D52" s="352"/>
      <c r="E52" s="352"/>
      <c r="F52" s="352"/>
      <c r="G52" s="352"/>
      <c r="H52" s="352"/>
      <c r="I52" s="352"/>
      <c r="J52" s="352"/>
      <c r="K52" s="352"/>
      <c r="L52" s="352"/>
      <c r="M52" s="352"/>
      <c r="N52" s="352"/>
      <c r="O52" s="352"/>
      <c r="P52" s="352"/>
      <c r="Q52" s="352"/>
      <c r="R52" s="352"/>
      <c r="S52" s="352"/>
      <c r="T52" s="352"/>
    </row>
    <row r="53" spans="4:20">
      <c r="D53" s="352"/>
      <c r="E53" s="352"/>
      <c r="F53" s="352"/>
      <c r="G53" s="352"/>
      <c r="H53" s="352"/>
      <c r="I53" s="352"/>
      <c r="J53" s="352"/>
      <c r="K53" s="352"/>
      <c r="L53" s="352"/>
      <c r="M53" s="352"/>
      <c r="N53" s="352"/>
      <c r="O53" s="352"/>
      <c r="P53" s="352"/>
      <c r="Q53" s="352"/>
      <c r="R53" s="352"/>
      <c r="S53" s="352"/>
      <c r="T53" s="352"/>
    </row>
    <row r="54" spans="4:20">
      <c r="D54" s="352"/>
      <c r="E54" s="352"/>
      <c r="F54" s="352"/>
      <c r="G54" s="352"/>
      <c r="H54" s="352"/>
      <c r="I54" s="352"/>
      <c r="J54" s="352"/>
      <c r="K54" s="352"/>
      <c r="L54" s="352"/>
      <c r="M54" s="352"/>
      <c r="N54" s="352"/>
      <c r="O54" s="352"/>
      <c r="P54" s="352"/>
      <c r="Q54" s="352"/>
      <c r="R54" s="352"/>
      <c r="S54" s="352"/>
      <c r="T54" s="352"/>
    </row>
    <row r="55" spans="4:20">
      <c r="D55" s="352"/>
      <c r="E55" s="352"/>
      <c r="F55" s="352"/>
      <c r="G55" s="352"/>
      <c r="H55" s="352"/>
      <c r="I55" s="352"/>
      <c r="J55" s="352"/>
      <c r="K55" s="352"/>
      <c r="L55" s="352"/>
      <c r="M55" s="352"/>
      <c r="N55" s="352"/>
      <c r="O55" s="352"/>
      <c r="P55" s="352"/>
      <c r="Q55" s="352"/>
      <c r="R55" s="352"/>
      <c r="S55" s="352"/>
      <c r="T55" s="352"/>
    </row>
    <row r="56" spans="4:20">
      <c r="D56" s="352"/>
      <c r="E56" s="352"/>
      <c r="F56" s="352"/>
      <c r="G56" s="352"/>
      <c r="H56" s="352"/>
      <c r="I56" s="352"/>
      <c r="J56" s="352"/>
      <c r="K56" s="352"/>
      <c r="L56" s="352"/>
      <c r="M56" s="352"/>
      <c r="N56" s="352"/>
      <c r="O56" s="352"/>
      <c r="P56" s="352"/>
      <c r="Q56" s="352"/>
      <c r="R56" s="352"/>
      <c r="S56" s="352"/>
      <c r="T56" s="352"/>
    </row>
    <row r="57" spans="4:20">
      <c r="D57" s="352"/>
      <c r="E57" s="352"/>
      <c r="F57" s="352"/>
      <c r="G57" s="352"/>
      <c r="H57" s="352"/>
      <c r="I57" s="352"/>
      <c r="J57" s="352"/>
      <c r="K57" s="352"/>
      <c r="L57" s="352"/>
      <c r="M57" s="352"/>
      <c r="N57" s="352"/>
      <c r="O57" s="352"/>
      <c r="P57" s="352"/>
      <c r="Q57" s="352"/>
      <c r="R57" s="352"/>
      <c r="S57" s="352"/>
      <c r="T57" s="352"/>
    </row>
    <row r="58" spans="4:20">
      <c r="D58" s="352"/>
      <c r="E58" s="352"/>
      <c r="F58" s="352"/>
      <c r="G58" s="352"/>
      <c r="H58" s="352"/>
      <c r="I58" s="352"/>
      <c r="J58" s="352"/>
      <c r="K58" s="352"/>
      <c r="L58" s="352"/>
      <c r="M58" s="352"/>
      <c r="N58" s="352"/>
      <c r="O58" s="352"/>
      <c r="P58" s="352"/>
      <c r="Q58" s="352"/>
      <c r="R58" s="352"/>
      <c r="S58" s="352"/>
      <c r="T58" s="352"/>
    </row>
    <row r="59" spans="4:20">
      <c r="D59" s="352"/>
      <c r="E59" s="352"/>
      <c r="F59" s="352"/>
      <c r="G59" s="352"/>
      <c r="H59" s="352"/>
      <c r="I59" s="352"/>
      <c r="J59" s="352"/>
      <c r="K59" s="352"/>
      <c r="L59" s="352"/>
      <c r="M59" s="352"/>
      <c r="N59" s="352"/>
      <c r="O59" s="352"/>
      <c r="P59" s="352"/>
      <c r="Q59" s="352"/>
      <c r="R59" s="352"/>
      <c r="S59" s="352"/>
      <c r="T59" s="352"/>
    </row>
    <row r="60" spans="4:20">
      <c r="D60" s="352"/>
      <c r="E60" s="352"/>
      <c r="F60" s="352"/>
      <c r="G60" s="352"/>
      <c r="H60" s="352"/>
      <c r="I60" s="352"/>
      <c r="J60" s="352"/>
      <c r="K60" s="352"/>
      <c r="L60" s="352"/>
      <c r="M60" s="352"/>
      <c r="N60" s="352"/>
      <c r="O60" s="352"/>
      <c r="P60" s="352"/>
      <c r="Q60" s="352"/>
      <c r="R60" s="352"/>
      <c r="S60" s="352"/>
      <c r="T60" s="352"/>
    </row>
    <row r="61" spans="4:20">
      <c r="D61" s="352"/>
      <c r="E61" s="352"/>
      <c r="F61" s="352"/>
      <c r="G61" s="352"/>
      <c r="H61" s="352"/>
      <c r="I61" s="352"/>
      <c r="J61" s="352"/>
      <c r="K61" s="352"/>
      <c r="L61" s="352"/>
      <c r="M61" s="352"/>
      <c r="N61" s="352"/>
      <c r="O61" s="352"/>
      <c r="P61" s="352"/>
      <c r="Q61" s="352"/>
      <c r="R61" s="352"/>
      <c r="S61" s="352"/>
      <c r="T61" s="352"/>
    </row>
    <row r="62" spans="4:20">
      <c r="D62" s="352"/>
      <c r="E62" s="352"/>
      <c r="F62" s="352"/>
      <c r="G62" s="352"/>
      <c r="H62" s="352"/>
      <c r="I62" s="352"/>
      <c r="J62" s="352"/>
      <c r="K62" s="352"/>
      <c r="L62" s="352"/>
      <c r="M62" s="352"/>
      <c r="N62" s="352"/>
      <c r="O62" s="352"/>
      <c r="P62" s="352"/>
      <c r="Q62" s="352"/>
      <c r="R62" s="352"/>
      <c r="S62" s="352"/>
      <c r="T62" s="352"/>
    </row>
    <row r="63" spans="4:20">
      <c r="D63" s="352"/>
      <c r="E63" s="352"/>
      <c r="F63" s="352"/>
      <c r="G63" s="352"/>
      <c r="H63" s="352"/>
      <c r="I63" s="352"/>
      <c r="J63" s="352"/>
      <c r="K63" s="352"/>
      <c r="L63" s="352"/>
      <c r="M63" s="352"/>
      <c r="N63" s="352"/>
      <c r="O63" s="352"/>
      <c r="P63" s="352"/>
      <c r="Q63" s="352"/>
      <c r="R63" s="352"/>
      <c r="S63" s="352"/>
      <c r="T63" s="352"/>
    </row>
    <row r="64" spans="4:20">
      <c r="D64" s="352"/>
      <c r="E64" s="352"/>
      <c r="F64" s="352"/>
      <c r="G64" s="352"/>
      <c r="H64" s="352"/>
      <c r="I64" s="352"/>
      <c r="J64" s="352"/>
      <c r="K64" s="352"/>
      <c r="L64" s="352"/>
      <c r="M64" s="352"/>
      <c r="N64" s="352"/>
      <c r="O64" s="352"/>
      <c r="P64" s="352"/>
      <c r="Q64" s="352"/>
      <c r="R64" s="352"/>
      <c r="S64" s="352"/>
      <c r="T64" s="352"/>
    </row>
    <row r="65" spans="4:20">
      <c r="D65" s="352"/>
      <c r="E65" s="352"/>
      <c r="F65" s="352"/>
      <c r="G65" s="352"/>
      <c r="H65" s="352"/>
      <c r="I65" s="352"/>
      <c r="J65" s="352"/>
      <c r="K65" s="352"/>
      <c r="L65" s="352"/>
      <c r="M65" s="352"/>
      <c r="N65" s="352"/>
      <c r="O65" s="352"/>
      <c r="P65" s="352"/>
      <c r="Q65" s="352"/>
      <c r="R65" s="352"/>
      <c r="S65" s="352"/>
      <c r="T65" s="352"/>
    </row>
    <row r="66" spans="4:20">
      <c r="D66" s="352"/>
      <c r="E66" s="352"/>
      <c r="F66" s="352"/>
      <c r="G66" s="352"/>
      <c r="H66" s="352"/>
      <c r="I66" s="352"/>
      <c r="J66" s="352"/>
      <c r="K66" s="352"/>
      <c r="L66" s="352"/>
      <c r="M66" s="352"/>
      <c r="N66" s="352"/>
      <c r="O66" s="352"/>
      <c r="P66" s="352"/>
      <c r="Q66" s="352"/>
      <c r="R66" s="352"/>
      <c r="S66" s="352"/>
      <c r="T66" s="352"/>
    </row>
    <row r="67" spans="4:20">
      <c r="D67" s="352"/>
      <c r="E67" s="352"/>
      <c r="F67" s="352"/>
      <c r="G67" s="352"/>
      <c r="H67" s="352"/>
      <c r="I67" s="352"/>
      <c r="J67" s="352"/>
      <c r="K67" s="352"/>
      <c r="L67" s="352"/>
      <c r="M67" s="352"/>
      <c r="N67" s="352"/>
      <c r="O67" s="352"/>
      <c r="P67" s="352"/>
      <c r="Q67" s="352"/>
      <c r="R67" s="352"/>
      <c r="S67" s="352"/>
      <c r="T67" s="352"/>
    </row>
  </sheetData>
  <mergeCells count="25">
    <mergeCell ref="C35:C38"/>
    <mergeCell ref="K10:M10"/>
    <mergeCell ref="K28:M28"/>
    <mergeCell ref="C7:C9"/>
    <mergeCell ref="C11:C12"/>
    <mergeCell ref="C14:C16"/>
    <mergeCell ref="C17:C20"/>
    <mergeCell ref="D23:T23"/>
    <mergeCell ref="D24:E24"/>
    <mergeCell ref="G24:H24"/>
    <mergeCell ref="J24:K24"/>
    <mergeCell ref="M24:N24"/>
    <mergeCell ref="P24:Q24"/>
    <mergeCell ref="B2:T2"/>
    <mergeCell ref="S24:T24"/>
    <mergeCell ref="C25:C27"/>
    <mergeCell ref="C29:C30"/>
    <mergeCell ref="C32:C34"/>
    <mergeCell ref="D5:T5"/>
    <mergeCell ref="D6:E6"/>
    <mergeCell ref="G6:H6"/>
    <mergeCell ref="J6:K6"/>
    <mergeCell ref="M6:N6"/>
    <mergeCell ref="P6:Q6"/>
    <mergeCell ref="S6:T6"/>
  </mergeCells>
  <printOptions horizontalCentered="1"/>
  <pageMargins left="0.25" right="0.25" top="0.75" bottom="0.75" header="0.3" footer="0.3"/>
  <pageSetup scale="64" orientation="landscape" r:id="rId1"/>
  <headerFooter>
    <oddFooter>&amp;L&amp;Z
&amp;F&amp;CNYC Office of the Actuary&amp;R&amp;D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A4CA-0F80-49E5-AC05-10AFD2D34854}">
  <sheetPr>
    <tabColor rgb="FFFFC000"/>
  </sheetPr>
  <dimension ref="B2:N32"/>
  <sheetViews>
    <sheetView showGridLines="0" topLeftCell="H1" zoomScaleNormal="100" zoomScaleSheetLayoutView="90" workbookViewId="0">
      <selection activeCell="G1" sqref="A1:G1048576"/>
    </sheetView>
  </sheetViews>
  <sheetFormatPr defaultColWidth="9.140625" defaultRowHeight="15"/>
  <cols>
    <col min="1" max="1" width="0" style="9" hidden="1" customWidth="1"/>
    <col min="2" max="5" width="13.5703125" style="9" hidden="1" customWidth="1"/>
    <col min="6" max="7" width="0" style="9" hidden="1" customWidth="1"/>
    <col min="8" max="8" width="46.28515625" style="9" bestFit="1" customWidth="1"/>
    <col min="9" max="14" width="11" style="9" customWidth="1"/>
    <col min="15" max="16384" width="9.140625" style="9"/>
  </cols>
  <sheetData>
    <row r="2" spans="2:14">
      <c r="H2" s="176" t="s">
        <v>292</v>
      </c>
    </row>
    <row r="3" spans="2:14">
      <c r="B3" s="157"/>
      <c r="C3" s="158"/>
      <c r="D3" s="158"/>
      <c r="E3" s="159"/>
    </row>
    <row r="4" spans="2:14">
      <c r="B4" s="273" t="s">
        <v>10</v>
      </c>
      <c r="C4" s="274"/>
      <c r="D4" s="274"/>
      <c r="E4" s="275"/>
    </row>
    <row r="5" spans="2:14">
      <c r="B5" s="160"/>
      <c r="E5" s="161"/>
      <c r="I5" s="171" t="s">
        <v>11</v>
      </c>
      <c r="J5" s="171" t="s">
        <v>12</v>
      </c>
      <c r="K5" s="171" t="s">
        <v>13</v>
      </c>
      <c r="L5" s="171" t="s">
        <v>14</v>
      </c>
      <c r="M5" s="171" t="s">
        <v>15</v>
      </c>
      <c r="N5" s="171" t="s">
        <v>3</v>
      </c>
    </row>
    <row r="6" spans="2:14" ht="15" customHeight="1">
      <c r="B6" s="276" t="s">
        <v>0</v>
      </c>
      <c r="C6" s="279" t="s">
        <v>1</v>
      </c>
      <c r="D6" s="280"/>
      <c r="E6" s="281"/>
      <c r="H6" s="73" t="s">
        <v>335</v>
      </c>
    </row>
    <row r="7" spans="2:14">
      <c r="B7" s="277"/>
      <c r="C7" s="276" t="s">
        <v>2</v>
      </c>
      <c r="D7" s="276" t="s">
        <v>16</v>
      </c>
      <c r="E7" s="276" t="s">
        <v>3</v>
      </c>
      <c r="H7" s="9" t="s">
        <v>281</v>
      </c>
      <c r="I7" s="172">
        <f>D11</f>
        <v>250</v>
      </c>
      <c r="J7" s="172">
        <f>D12</f>
        <v>206</v>
      </c>
      <c r="K7" s="172">
        <f>D13</f>
        <v>119</v>
      </c>
      <c r="L7" s="172">
        <f>D14</f>
        <v>186</v>
      </c>
      <c r="M7" s="172">
        <f>D15</f>
        <v>9056</v>
      </c>
      <c r="N7" s="172">
        <f>SUM(I7:M7)</f>
        <v>9817</v>
      </c>
    </row>
    <row r="8" spans="2:14" ht="17.25">
      <c r="B8" s="278"/>
      <c r="C8" s="278"/>
      <c r="D8" s="278"/>
      <c r="E8" s="278"/>
      <c r="H8" s="9" t="s">
        <v>282</v>
      </c>
      <c r="I8" s="173">
        <f>C11</f>
        <v>0</v>
      </c>
      <c r="J8" s="173">
        <f>C12</f>
        <v>0</v>
      </c>
      <c r="K8" s="173">
        <f>C13</f>
        <v>0</v>
      </c>
      <c r="L8" s="173">
        <f>C14</f>
        <v>0</v>
      </c>
      <c r="M8" s="175">
        <f>C15</f>
        <v>6738</v>
      </c>
      <c r="N8" s="175">
        <f t="shared" ref="N8:N9" si="0">SUM(I8:M8)</f>
        <v>6738</v>
      </c>
    </row>
    <row r="9" spans="2:14">
      <c r="B9" s="17"/>
      <c r="D9" s="17"/>
      <c r="E9" s="17"/>
      <c r="H9" s="9" t="s">
        <v>283</v>
      </c>
      <c r="I9" s="172">
        <f>SUM(I7:I8)</f>
        <v>250</v>
      </c>
      <c r="J9" s="172">
        <f t="shared" ref="J9:M9" si="1">SUM(J7:J8)</f>
        <v>206</v>
      </c>
      <c r="K9" s="172">
        <f t="shared" si="1"/>
        <v>119</v>
      </c>
      <c r="L9" s="172">
        <f t="shared" si="1"/>
        <v>186</v>
      </c>
      <c r="M9" s="172">
        <f t="shared" si="1"/>
        <v>15794</v>
      </c>
      <c r="N9" s="172">
        <f t="shared" si="0"/>
        <v>16555</v>
      </c>
    </row>
    <row r="10" spans="2:14">
      <c r="B10" s="162">
        <f>Year</f>
        <v>2022</v>
      </c>
      <c r="D10" s="19"/>
      <c r="E10" s="19"/>
      <c r="I10" s="172"/>
      <c r="J10" s="172"/>
      <c r="K10" s="172"/>
      <c r="L10" s="172"/>
      <c r="M10" s="172"/>
      <c r="N10" s="172"/>
    </row>
    <row r="11" spans="2:14">
      <c r="B11" s="163" t="s">
        <v>11</v>
      </c>
      <c r="C11" s="32">
        <v>0</v>
      </c>
      <c r="D11" s="21">
        <v>250</v>
      </c>
      <c r="E11" s="21">
        <f>SUM(C11:D11)</f>
        <v>250</v>
      </c>
    </row>
    <row r="12" spans="2:14">
      <c r="B12" s="163" t="s">
        <v>12</v>
      </c>
      <c r="C12" s="32">
        <v>0</v>
      </c>
      <c r="D12" s="21">
        <v>206</v>
      </c>
      <c r="E12" s="21">
        <f>SUM(C12:D12)</f>
        <v>206</v>
      </c>
      <c r="I12" s="171" t="s">
        <v>11</v>
      </c>
      <c r="J12" s="171" t="s">
        <v>12</v>
      </c>
      <c r="K12" s="171" t="s">
        <v>13</v>
      </c>
      <c r="L12" s="171" t="s">
        <v>14</v>
      </c>
      <c r="M12" s="171" t="s">
        <v>15</v>
      </c>
      <c r="N12" s="171" t="s">
        <v>3</v>
      </c>
    </row>
    <row r="13" spans="2:14">
      <c r="B13" s="163" t="s">
        <v>13</v>
      </c>
      <c r="C13" s="32">
        <v>0</v>
      </c>
      <c r="D13" s="21">
        <v>119</v>
      </c>
      <c r="E13" s="21">
        <f>SUM(C13:D13)</f>
        <v>119</v>
      </c>
      <c r="H13" s="73" t="s">
        <v>314</v>
      </c>
    </row>
    <row r="14" spans="2:14">
      <c r="B14" s="163" t="s">
        <v>14</v>
      </c>
      <c r="C14" s="32">
        <v>0</v>
      </c>
      <c r="D14" s="21">
        <v>186</v>
      </c>
      <c r="E14" s="21">
        <f>SUM(C14:D14)</f>
        <v>186</v>
      </c>
      <c r="H14" s="9" t="s">
        <v>281</v>
      </c>
      <c r="I14" s="172">
        <f>D19</f>
        <v>263</v>
      </c>
      <c r="J14" s="172">
        <f>D20</f>
        <v>219</v>
      </c>
      <c r="K14" s="172">
        <f>D21</f>
        <v>127</v>
      </c>
      <c r="L14" s="172">
        <f>D22</f>
        <v>194</v>
      </c>
      <c r="M14" s="172">
        <f>D23</f>
        <v>8544</v>
      </c>
      <c r="N14" s="172">
        <f>SUM(I14:M14)</f>
        <v>9347</v>
      </c>
    </row>
    <row r="15" spans="2:14" ht="17.25">
      <c r="B15" s="163" t="s">
        <v>15</v>
      </c>
      <c r="C15" s="23">
        <v>6738</v>
      </c>
      <c r="D15" s="23">
        <v>9056</v>
      </c>
      <c r="E15" s="23">
        <f>SUM(C15:D15)</f>
        <v>15794</v>
      </c>
      <c r="H15" s="9" t="s">
        <v>282</v>
      </c>
      <c r="I15" s="173">
        <f>C19</f>
        <v>0</v>
      </c>
      <c r="J15" s="173">
        <f>C20</f>
        <v>0</v>
      </c>
      <c r="K15" s="173">
        <f>C21</f>
        <v>0</v>
      </c>
      <c r="L15" s="173">
        <f>C22</f>
        <v>0</v>
      </c>
      <c r="M15" s="174">
        <f>C23</f>
        <v>8054</v>
      </c>
      <c r="N15" s="174">
        <f t="shared" ref="N15:N16" si="2">SUM(I15:M15)</f>
        <v>8054</v>
      </c>
    </row>
    <row r="16" spans="2:14">
      <c r="B16" s="164" t="s">
        <v>3</v>
      </c>
      <c r="C16" s="21">
        <f>SUM(C11:C15)</f>
        <v>6738</v>
      </c>
      <c r="D16" s="21">
        <f>SUM(D11:D15)</f>
        <v>9817</v>
      </c>
      <c r="E16" s="21">
        <f>SUM(E11:E15)</f>
        <v>16555</v>
      </c>
      <c r="H16" s="9" t="s">
        <v>283</v>
      </c>
      <c r="I16" s="172">
        <f>SUM(I14:I15)</f>
        <v>263</v>
      </c>
      <c r="J16" s="172">
        <f t="shared" ref="J16" si="3">SUM(J14:J15)</f>
        <v>219</v>
      </c>
      <c r="K16" s="172">
        <f t="shared" ref="K16" si="4">SUM(K14:K15)</f>
        <v>127</v>
      </c>
      <c r="L16" s="172">
        <f t="shared" ref="L16" si="5">SUM(L14:L15)</f>
        <v>194</v>
      </c>
      <c r="M16" s="172">
        <f t="shared" ref="M16" si="6">SUM(M14:M15)</f>
        <v>16598</v>
      </c>
      <c r="N16" s="172">
        <f t="shared" si="2"/>
        <v>17401</v>
      </c>
    </row>
    <row r="17" spans="2:11">
      <c r="B17" s="164"/>
      <c r="C17" s="25"/>
      <c r="D17" s="21"/>
      <c r="E17" s="21"/>
    </row>
    <row r="18" spans="2:11">
      <c r="B18" s="162">
        <f>Year-1</f>
        <v>2021</v>
      </c>
      <c r="D18" s="19"/>
      <c r="E18" s="19"/>
    </row>
    <row r="19" spans="2:11">
      <c r="B19" s="163" t="s">
        <v>11</v>
      </c>
      <c r="C19" s="32">
        <v>0</v>
      </c>
      <c r="D19" s="21">
        <v>263</v>
      </c>
      <c r="E19" s="21">
        <f>SUM(C19:D19)</f>
        <v>263</v>
      </c>
    </row>
    <row r="20" spans="2:11">
      <c r="B20" s="163" t="s">
        <v>12</v>
      </c>
      <c r="C20" s="32">
        <v>0</v>
      </c>
      <c r="D20" s="21">
        <v>219</v>
      </c>
      <c r="E20" s="21">
        <f>SUM(C20:D20)</f>
        <v>219</v>
      </c>
    </row>
    <row r="21" spans="2:11">
      <c r="B21" s="163" t="s">
        <v>13</v>
      </c>
      <c r="C21" s="32">
        <v>0</v>
      </c>
      <c r="D21" s="21">
        <v>127</v>
      </c>
      <c r="E21" s="21">
        <f>SUM(C21:D21)</f>
        <v>127</v>
      </c>
    </row>
    <row r="22" spans="2:11">
      <c r="B22" s="163" t="s">
        <v>14</v>
      </c>
      <c r="C22" s="32">
        <v>0</v>
      </c>
      <c r="D22" s="21">
        <v>194</v>
      </c>
      <c r="E22" s="21">
        <f>SUM(C22:D22)</f>
        <v>194</v>
      </c>
    </row>
    <row r="23" spans="2:11" ht="17.25">
      <c r="B23" s="163" t="s">
        <v>15</v>
      </c>
      <c r="C23" s="23">
        <v>8054</v>
      </c>
      <c r="D23" s="23">
        <v>8544</v>
      </c>
      <c r="E23" s="23">
        <f>SUM(C23:D23)</f>
        <v>16598</v>
      </c>
    </row>
    <row r="24" spans="2:11">
      <c r="B24" s="164" t="s">
        <v>3</v>
      </c>
      <c r="C24" s="21">
        <f>SUM(C19:C23)</f>
        <v>8054</v>
      </c>
      <c r="D24" s="21">
        <f>SUM(D19:D23)</f>
        <v>9347</v>
      </c>
      <c r="E24" s="21">
        <f>SUM(E19:E23)</f>
        <v>17401</v>
      </c>
    </row>
    <row r="25" spans="2:11">
      <c r="B25" s="165"/>
      <c r="C25" s="166"/>
      <c r="D25" s="167"/>
      <c r="E25" s="167"/>
    </row>
    <row r="27" spans="2:11">
      <c r="B27" s="30"/>
    </row>
    <row r="28" spans="2:11" ht="15" customHeight="1">
      <c r="B28" s="31"/>
      <c r="C28" s="31"/>
      <c r="D28" s="30"/>
      <c r="E28" s="30"/>
    </row>
    <row r="29" spans="2:11">
      <c r="D29" s="30"/>
      <c r="E29" s="30"/>
    </row>
    <row r="30" spans="2:11">
      <c r="D30" s="31"/>
      <c r="E30" s="31"/>
      <c r="K30" s="2"/>
    </row>
    <row r="32" spans="2:11" ht="15" customHeight="1"/>
  </sheetData>
  <mergeCells count="6">
    <mergeCell ref="B4:E4"/>
    <mergeCell ref="B6:B8"/>
    <mergeCell ref="C6:E6"/>
    <mergeCell ref="C7:C8"/>
    <mergeCell ref="D7:D8"/>
    <mergeCell ref="E7:E8"/>
  </mergeCells>
  <printOptions horizontalCentered="1"/>
  <pageMargins left="0.7" right="0.7" top="0.75" bottom="0.75" header="0.3" footer="0.3"/>
  <pageSetup scale="79" orientation="portrait" r:id="rId1"/>
  <headerFooter>
    <oddFooter>&amp;L&amp;Z
&amp;F&amp;CNYC Office of the Actuary&amp;R&amp;D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B8E43-4868-4CCF-8227-592FF64B2485}">
  <sheetPr>
    <tabColor theme="8" tint="0.59999389629810485"/>
  </sheetPr>
  <dimension ref="B2:N34"/>
  <sheetViews>
    <sheetView showGridLines="0" topLeftCell="H1" zoomScale="110" zoomScaleNormal="110" zoomScaleSheetLayoutView="90" workbookViewId="0">
      <selection activeCell="J30" sqref="J30"/>
    </sheetView>
  </sheetViews>
  <sheetFormatPr defaultColWidth="9.140625" defaultRowHeight="15"/>
  <cols>
    <col min="1" max="1" width="0" style="9" hidden="1" customWidth="1"/>
    <col min="2" max="2" width="15.5703125" style="9" hidden="1" customWidth="1"/>
    <col min="3" max="5" width="13.5703125" style="9" hidden="1" customWidth="1"/>
    <col min="6" max="7" width="0" style="9" hidden="1" customWidth="1"/>
    <col min="8" max="8" width="46.5703125" style="9" bestFit="1" customWidth="1"/>
    <col min="9" max="10" width="9.140625" style="9"/>
    <col min="11" max="11" width="9.140625" style="9" customWidth="1"/>
    <col min="12" max="16384" width="9.140625" style="9"/>
  </cols>
  <sheetData>
    <row r="2" spans="2:14" ht="15.75" thickBot="1"/>
    <row r="3" spans="2:14" ht="15.75" thickTop="1">
      <c r="B3" s="10"/>
      <c r="C3" s="11"/>
      <c r="D3" s="11"/>
      <c r="E3" s="12"/>
      <c r="H3" s="176" t="s">
        <v>292</v>
      </c>
    </row>
    <row r="4" spans="2:14">
      <c r="B4" s="282" t="s">
        <v>17</v>
      </c>
      <c r="C4" s="274"/>
      <c r="D4" s="274"/>
      <c r="E4" s="283"/>
    </row>
    <row r="5" spans="2:14">
      <c r="B5" s="13"/>
      <c r="E5" s="15"/>
    </row>
    <row r="6" spans="2:14" ht="15" customHeight="1">
      <c r="B6" s="284" t="s">
        <v>0</v>
      </c>
      <c r="C6" s="279" t="s">
        <v>1</v>
      </c>
      <c r="D6" s="280"/>
      <c r="E6" s="287"/>
    </row>
    <row r="7" spans="2:14">
      <c r="B7" s="285"/>
      <c r="C7" s="276" t="s">
        <v>2</v>
      </c>
      <c r="D7" s="276" t="s">
        <v>16</v>
      </c>
      <c r="E7" s="288" t="s">
        <v>3</v>
      </c>
      <c r="I7" s="73"/>
      <c r="J7" s="73"/>
      <c r="K7" s="177" t="s">
        <v>3</v>
      </c>
      <c r="L7" s="73"/>
      <c r="M7" s="73"/>
      <c r="N7" s="177" t="s">
        <v>3</v>
      </c>
    </row>
    <row r="8" spans="2:14" ht="15" customHeight="1">
      <c r="B8" s="286"/>
      <c r="C8" s="278"/>
      <c r="D8" s="278"/>
      <c r="E8" s="289"/>
      <c r="I8" s="171" t="s">
        <v>18</v>
      </c>
      <c r="J8" s="171" t="s">
        <v>19</v>
      </c>
      <c r="K8" s="178" t="s">
        <v>7</v>
      </c>
      <c r="L8" s="171" t="s">
        <v>21</v>
      </c>
      <c r="M8" s="171" t="s">
        <v>22</v>
      </c>
      <c r="N8" s="178" t="s">
        <v>8</v>
      </c>
    </row>
    <row r="9" spans="2:14">
      <c r="B9" s="16"/>
      <c r="C9" s="33"/>
      <c r="D9" s="34"/>
      <c r="E9" s="35"/>
      <c r="H9" s="73" t="s">
        <v>335</v>
      </c>
    </row>
    <row r="10" spans="2:14">
      <c r="B10" s="36" t="s">
        <v>336</v>
      </c>
      <c r="C10" s="33"/>
      <c r="D10" s="37"/>
      <c r="E10" s="38"/>
      <c r="H10" s="9" t="s">
        <v>281</v>
      </c>
      <c r="I10" s="172">
        <f>D11</f>
        <v>21618</v>
      </c>
      <c r="J10" s="172">
        <f>D12</f>
        <v>13693</v>
      </c>
      <c r="K10" s="172">
        <f>SUM(I10:J10)</f>
        <v>35311</v>
      </c>
      <c r="L10" s="172">
        <f>D15</f>
        <v>1514</v>
      </c>
      <c r="M10" s="172">
        <f>D16</f>
        <v>3121</v>
      </c>
      <c r="N10" s="172">
        <f>SUM(L10:M10)</f>
        <v>4635</v>
      </c>
    </row>
    <row r="11" spans="2:14" ht="17.25">
      <c r="B11" s="20" t="s">
        <v>18</v>
      </c>
      <c r="C11" s="41">
        <f>[7]SKIMProval!$C$6</f>
        <v>12132</v>
      </c>
      <c r="D11" s="41">
        <f>[7]SKIMProval!$E$10</f>
        <v>21618</v>
      </c>
      <c r="E11" s="39">
        <f>SUM(C11:D11)</f>
        <v>33750</v>
      </c>
      <c r="H11" s="9" t="s">
        <v>282</v>
      </c>
      <c r="I11" s="173">
        <f>C11</f>
        <v>12132</v>
      </c>
      <c r="J11" s="173">
        <f>C12</f>
        <v>22523</v>
      </c>
      <c r="K11" s="175">
        <f>SUM(I11:J11)</f>
        <v>34655</v>
      </c>
      <c r="L11" s="173">
        <f>C15</f>
        <v>2526</v>
      </c>
      <c r="M11" s="173">
        <f>C16</f>
        <v>8159</v>
      </c>
      <c r="N11" s="175">
        <f t="shared" ref="N11:N12" si="0">SUM(L11:M11)</f>
        <v>10685</v>
      </c>
    </row>
    <row r="12" spans="2:14" ht="17.25">
      <c r="B12" s="46" t="s">
        <v>19</v>
      </c>
      <c r="C12" s="225">
        <f>[7]SKIMProval!$B$6</f>
        <v>22523</v>
      </c>
      <c r="D12" s="225">
        <f>[7]SKIMProval!$D$10</f>
        <v>13693</v>
      </c>
      <c r="E12" s="40">
        <f>SUM(C12:D12)</f>
        <v>36216</v>
      </c>
      <c r="H12" s="9" t="s">
        <v>283</v>
      </c>
      <c r="I12" s="172">
        <f>SUM(I10:I11)</f>
        <v>33750</v>
      </c>
      <c r="J12" s="172">
        <f t="shared" ref="J12" si="1">SUM(J10:J11)</f>
        <v>36216</v>
      </c>
      <c r="K12" s="172">
        <f>SUM(I12:J12)</f>
        <v>69966</v>
      </c>
      <c r="L12" s="172">
        <f>SUM(L10:L11)</f>
        <v>4040</v>
      </c>
      <c r="M12" s="172">
        <f t="shared" ref="M12" si="2">SUM(M10:M11)</f>
        <v>11280</v>
      </c>
      <c r="N12" s="172">
        <f t="shared" si="0"/>
        <v>15320</v>
      </c>
    </row>
    <row r="13" spans="2:14">
      <c r="B13" s="24" t="s">
        <v>20</v>
      </c>
      <c r="C13" s="41">
        <f>SUM(C11:C12)</f>
        <v>34655</v>
      </c>
      <c r="D13" s="41">
        <f>SUM(D11:D12)</f>
        <v>35311</v>
      </c>
      <c r="E13" s="39">
        <f>SUM(E11:E12)</f>
        <v>69966</v>
      </c>
      <c r="I13" s="172"/>
      <c r="J13" s="172"/>
      <c r="K13" s="172"/>
      <c r="L13" s="172"/>
      <c r="M13" s="172"/>
      <c r="N13" s="172"/>
    </row>
    <row r="14" spans="2:14">
      <c r="B14" s="24"/>
      <c r="C14" s="42"/>
      <c r="D14" s="41"/>
      <c r="E14" s="39"/>
    </row>
    <row r="15" spans="2:14">
      <c r="B15" s="20" t="s">
        <v>21</v>
      </c>
      <c r="C15" s="41">
        <f>[8]SKIMProval!$C$6</f>
        <v>2526</v>
      </c>
      <c r="D15" s="41">
        <f>[8]SKIMProval!$E$10</f>
        <v>1514</v>
      </c>
      <c r="E15" s="39">
        <f>SUM(C15:D15)</f>
        <v>4040</v>
      </c>
      <c r="I15" s="73"/>
      <c r="J15" s="73"/>
      <c r="K15" s="177" t="s">
        <v>3</v>
      </c>
      <c r="L15" s="73"/>
      <c r="M15" s="73"/>
      <c r="N15" s="177" t="s">
        <v>3</v>
      </c>
    </row>
    <row r="16" spans="2:14" ht="19.5" customHeight="1">
      <c r="B16" s="20" t="s">
        <v>22</v>
      </c>
      <c r="C16" s="225">
        <f>[8]SKIMProval!$B$6</f>
        <v>8159</v>
      </c>
      <c r="D16" s="225">
        <f>[8]SKIMProval!$D$10</f>
        <v>3121</v>
      </c>
      <c r="E16" s="40">
        <f>SUM(C16:D16)</f>
        <v>11280</v>
      </c>
      <c r="I16" s="171" t="s">
        <v>18</v>
      </c>
      <c r="J16" s="171" t="s">
        <v>19</v>
      </c>
      <c r="K16" s="178" t="s">
        <v>7</v>
      </c>
      <c r="L16" s="171" t="s">
        <v>21</v>
      </c>
      <c r="M16" s="171" t="s">
        <v>22</v>
      </c>
      <c r="N16" s="178" t="s">
        <v>8</v>
      </c>
    </row>
    <row r="17" spans="2:14">
      <c r="B17" s="24" t="s">
        <v>23</v>
      </c>
      <c r="C17" s="41">
        <f>SUM(C15:C16)</f>
        <v>10685</v>
      </c>
      <c r="D17" s="41">
        <f>SUM(D15:D16)</f>
        <v>4635</v>
      </c>
      <c r="E17" s="39">
        <f>SUM(E15:E16)</f>
        <v>15320</v>
      </c>
      <c r="H17" s="73" t="s">
        <v>314</v>
      </c>
    </row>
    <row r="18" spans="2:14">
      <c r="B18" s="24"/>
      <c r="C18" s="42"/>
      <c r="D18" s="41"/>
      <c r="E18" s="39"/>
      <c r="H18" s="9" t="s">
        <v>281</v>
      </c>
      <c r="I18" s="172">
        <f>D20</f>
        <v>21101</v>
      </c>
      <c r="J18" s="172">
        <f>D21</f>
        <v>13378</v>
      </c>
      <c r="K18" s="172">
        <f>SUM(I18:J18)</f>
        <v>34479</v>
      </c>
      <c r="L18" s="172">
        <f>D24</f>
        <v>1467</v>
      </c>
      <c r="M18" s="172">
        <f>D25</f>
        <v>3130</v>
      </c>
      <c r="N18" s="172">
        <f>SUM(L18:M18)</f>
        <v>4597</v>
      </c>
    </row>
    <row r="19" spans="2:14" ht="17.25">
      <c r="B19" s="36" t="s">
        <v>322</v>
      </c>
      <c r="C19" s="33"/>
      <c r="D19" s="37"/>
      <c r="E19" s="38"/>
      <c r="H19" s="9" t="s">
        <v>282</v>
      </c>
      <c r="I19" s="173">
        <f>C20</f>
        <v>11874</v>
      </c>
      <c r="J19" s="173">
        <f>C21</f>
        <v>23132</v>
      </c>
      <c r="K19" s="175">
        <f t="shared" ref="K19:K20" si="3">SUM(I19:J19)</f>
        <v>35006</v>
      </c>
      <c r="L19" s="173">
        <f>C24</f>
        <v>2590</v>
      </c>
      <c r="M19" s="173">
        <f>C25</f>
        <v>8203</v>
      </c>
      <c r="N19" s="175">
        <f t="shared" ref="N19:N20" si="4">SUM(L19:M19)</f>
        <v>10793</v>
      </c>
    </row>
    <row r="20" spans="2:14">
      <c r="B20" s="20" t="s">
        <v>18</v>
      </c>
      <c r="C20" s="41">
        <v>11874</v>
      </c>
      <c r="D20" s="41">
        <v>21101</v>
      </c>
      <c r="E20" s="39">
        <f>SUM(C20:D20)</f>
        <v>32975</v>
      </c>
      <c r="H20" s="9" t="s">
        <v>283</v>
      </c>
      <c r="I20" s="172">
        <f>SUM(I18:I19)</f>
        <v>32975</v>
      </c>
      <c r="J20" s="172">
        <f t="shared" ref="J20" si="5">SUM(J18:J19)</f>
        <v>36510</v>
      </c>
      <c r="K20" s="172">
        <f t="shared" si="3"/>
        <v>69485</v>
      </c>
      <c r="L20" s="172">
        <f>SUM(L18:L19)</f>
        <v>4057</v>
      </c>
      <c r="M20" s="172">
        <f t="shared" ref="M20" si="6">SUM(M18:M19)</f>
        <v>11333</v>
      </c>
      <c r="N20" s="172">
        <f t="shared" si="4"/>
        <v>15390</v>
      </c>
    </row>
    <row r="21" spans="2:14" ht="17.25">
      <c r="B21" s="20" t="s">
        <v>19</v>
      </c>
      <c r="C21" s="225">
        <v>23132</v>
      </c>
      <c r="D21" s="225">
        <v>13378</v>
      </c>
      <c r="E21" s="40">
        <f>SUM(C21:D21)</f>
        <v>36510</v>
      </c>
    </row>
    <row r="22" spans="2:14">
      <c r="B22" s="24" t="s">
        <v>20</v>
      </c>
      <c r="C22" s="41">
        <f>SUM(C20:C21)</f>
        <v>35006</v>
      </c>
      <c r="D22" s="41">
        <f>SUM(D20:D21)</f>
        <v>34479</v>
      </c>
      <c r="E22" s="39">
        <f>SUM(C22:D22)</f>
        <v>69485</v>
      </c>
    </row>
    <row r="23" spans="2:14">
      <c r="B23" s="24"/>
      <c r="C23" s="42"/>
      <c r="D23" s="41"/>
      <c r="E23" s="39"/>
    </row>
    <row r="24" spans="2:14">
      <c r="B24" s="20" t="s">
        <v>21</v>
      </c>
      <c r="C24" s="41">
        <v>2590</v>
      </c>
      <c r="D24" s="41">
        <v>1467</v>
      </c>
      <c r="E24" s="39">
        <f t="shared" ref="E24:E26" si="7">SUM(C24:D24)</f>
        <v>4057</v>
      </c>
    </row>
    <row r="25" spans="2:14" ht="17.25">
      <c r="B25" s="20" t="s">
        <v>22</v>
      </c>
      <c r="C25" s="225">
        <v>8203</v>
      </c>
      <c r="D25" s="225">
        <v>3130</v>
      </c>
      <c r="E25" s="40">
        <f t="shared" si="7"/>
        <v>11333</v>
      </c>
    </row>
    <row r="26" spans="2:14">
      <c r="B26" s="24" t="s">
        <v>23</v>
      </c>
      <c r="C26" s="41">
        <f>SUM(C24:C25)</f>
        <v>10793</v>
      </c>
      <c r="D26" s="41">
        <f>SUM(D24:D25)</f>
        <v>4597</v>
      </c>
      <c r="E26" s="39">
        <f t="shared" si="7"/>
        <v>15390</v>
      </c>
    </row>
    <row r="27" spans="2:14" ht="15.75" thickBot="1">
      <c r="B27" s="26"/>
      <c r="C27" s="43"/>
      <c r="D27" s="44"/>
      <c r="E27" s="45"/>
    </row>
    <row r="28" spans="2:14" ht="15.75" thickTop="1"/>
    <row r="29" spans="2:14">
      <c r="B29" s="30"/>
    </row>
    <row r="30" spans="2:14" ht="15" customHeight="1">
      <c r="B30" s="31"/>
      <c r="C30" s="31"/>
      <c r="D30" s="30"/>
      <c r="E30" s="30"/>
      <c r="K30" s="2"/>
    </row>
    <row r="31" spans="2:14">
      <c r="D31" s="30"/>
      <c r="E31" s="30"/>
    </row>
    <row r="32" spans="2:14">
      <c r="D32" s="31"/>
      <c r="E32" s="31"/>
    </row>
    <row r="34" ht="15" customHeight="1"/>
  </sheetData>
  <mergeCells count="6">
    <mergeCell ref="B4:E4"/>
    <mergeCell ref="B6:B8"/>
    <mergeCell ref="C6:E6"/>
    <mergeCell ref="C7:C8"/>
    <mergeCell ref="D7:D8"/>
    <mergeCell ref="E7:E8"/>
  </mergeCells>
  <printOptions horizontalCentered="1"/>
  <pageMargins left="0.7" right="0.7" top="0.75" bottom="0.75" header="0.3" footer="0.3"/>
  <pageSetup scale="79" orientation="portrait" r:id="rId1"/>
  <headerFooter>
    <oddFooter>&amp;L&amp;Z
&amp;F&amp;CNYC Office of the Actuary&amp;R&amp;D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933F-8DC3-4C6E-BC00-31779462EF37}">
  <sheetPr>
    <tabColor theme="8" tint="0.59999389629810485"/>
  </sheetPr>
  <dimension ref="B1:M22"/>
  <sheetViews>
    <sheetView topLeftCell="I1" zoomScale="130" zoomScaleNormal="130" zoomScaleSheetLayoutView="100" workbookViewId="0">
      <selection activeCell="M27" sqref="M27"/>
    </sheetView>
  </sheetViews>
  <sheetFormatPr defaultColWidth="9.140625" defaultRowHeight="15"/>
  <cols>
    <col min="1" max="1" width="0" style="9" hidden="1" customWidth="1"/>
    <col min="2" max="6" width="15.7109375" style="9" hidden="1" customWidth="1"/>
    <col min="7" max="8" width="0" style="9" hidden="1" customWidth="1"/>
    <col min="9" max="9" width="20.7109375" style="9" customWidth="1"/>
    <col min="10" max="10" width="15.28515625" style="9" customWidth="1"/>
    <col min="11" max="11" width="16.85546875" style="9" bestFit="1" customWidth="1"/>
    <col min="12" max="12" width="15.28515625" style="9" customWidth="1"/>
    <col min="13" max="13" width="16.85546875" style="9" bestFit="1" customWidth="1"/>
    <col min="14" max="16384" width="9.140625" style="9"/>
  </cols>
  <sheetData>
    <row r="1" spans="2:13" ht="15.75" thickBot="1"/>
    <row r="2" spans="2:13" ht="15.75" thickTop="1">
      <c r="B2" s="10"/>
      <c r="C2" s="11"/>
      <c r="D2" s="11"/>
      <c r="E2" s="11"/>
      <c r="F2" s="12"/>
      <c r="I2" s="176" t="s">
        <v>292</v>
      </c>
    </row>
    <row r="3" spans="2:13">
      <c r="B3" s="282" t="s">
        <v>337</v>
      </c>
      <c r="C3" s="274"/>
      <c r="D3" s="274"/>
      <c r="E3" s="274"/>
      <c r="F3" s="283"/>
    </row>
    <row r="4" spans="2:13">
      <c r="B4" s="282" t="s">
        <v>25</v>
      </c>
      <c r="C4" s="292"/>
      <c r="D4" s="292"/>
      <c r="E4" s="292"/>
      <c r="F4" s="293"/>
    </row>
    <row r="5" spans="2:13">
      <c r="B5" s="13"/>
      <c r="D5" s="14"/>
      <c r="F5" s="15"/>
    </row>
    <row r="6" spans="2:13" ht="15" customHeight="1">
      <c r="B6" s="284" t="s">
        <v>0</v>
      </c>
      <c r="C6" s="279" t="s">
        <v>1</v>
      </c>
      <c r="D6" s="280"/>
      <c r="E6" s="280"/>
      <c r="F6" s="287"/>
      <c r="I6" s="180"/>
      <c r="J6" s="181" t="s">
        <v>286</v>
      </c>
      <c r="K6" s="181" t="s">
        <v>286</v>
      </c>
      <c r="L6" s="181" t="s">
        <v>286</v>
      </c>
      <c r="M6" s="181" t="s">
        <v>286</v>
      </c>
    </row>
    <row r="7" spans="2:13" ht="15" customHeight="1">
      <c r="B7" s="285"/>
      <c r="C7" s="276" t="s">
        <v>338</v>
      </c>
      <c r="D7" s="276" t="s">
        <v>339</v>
      </c>
      <c r="E7" s="276" t="s">
        <v>315</v>
      </c>
      <c r="F7" s="288" t="s">
        <v>316</v>
      </c>
      <c r="I7" s="180"/>
      <c r="J7" s="181" t="s">
        <v>340</v>
      </c>
      <c r="K7" s="181" t="s">
        <v>340</v>
      </c>
      <c r="L7" s="181" t="s">
        <v>317</v>
      </c>
      <c r="M7" s="181" t="s">
        <v>317</v>
      </c>
    </row>
    <row r="8" spans="2:13">
      <c r="B8" s="285"/>
      <c r="C8" s="277"/>
      <c r="D8" s="277"/>
      <c r="E8" s="277"/>
      <c r="F8" s="291"/>
      <c r="I8" s="180"/>
      <c r="J8" s="181" t="s">
        <v>287</v>
      </c>
      <c r="K8" s="181" t="s">
        <v>290</v>
      </c>
      <c r="L8" s="181" t="s">
        <v>287</v>
      </c>
      <c r="M8" s="181" t="s">
        <v>290</v>
      </c>
    </row>
    <row r="9" spans="2:13">
      <c r="B9" s="285"/>
      <c r="C9" s="277"/>
      <c r="D9" s="277"/>
      <c r="E9" s="277"/>
      <c r="F9" s="291"/>
      <c r="I9" s="180"/>
      <c r="J9" s="181" t="s">
        <v>288</v>
      </c>
      <c r="K9" s="181" t="s">
        <v>291</v>
      </c>
      <c r="L9" s="181" t="s">
        <v>288</v>
      </c>
      <c r="M9" s="181" t="s">
        <v>291</v>
      </c>
    </row>
    <row r="10" spans="2:13">
      <c r="B10" s="286"/>
      <c r="C10" s="278"/>
      <c r="D10" s="278"/>
      <c r="E10" s="278"/>
      <c r="F10" s="289"/>
      <c r="I10" s="182" t="s">
        <v>284</v>
      </c>
      <c r="J10" s="183" t="s">
        <v>289</v>
      </c>
      <c r="K10" s="183" t="s">
        <v>289</v>
      </c>
      <c r="L10" s="183" t="s">
        <v>289</v>
      </c>
      <c r="M10" s="183" t="s">
        <v>289</v>
      </c>
    </row>
    <row r="11" spans="2:13">
      <c r="B11" s="16"/>
      <c r="C11" s="17"/>
      <c r="D11" s="159"/>
      <c r="F11" s="18"/>
      <c r="I11" s="180"/>
      <c r="J11" s="290" t="s">
        <v>70</v>
      </c>
      <c r="K11" s="290"/>
      <c r="L11" s="290"/>
      <c r="M11" s="290"/>
    </row>
    <row r="12" spans="2:13">
      <c r="B12" s="20" t="s">
        <v>4</v>
      </c>
      <c r="C12" s="211">
        <f>ROUND([9]A!U12/1000000,0)</f>
        <v>3457</v>
      </c>
      <c r="D12" s="57">
        <f>ROUND([9]A!U20/1000000,0)</f>
        <v>2045</v>
      </c>
      <c r="E12" s="21">
        <f>ROUND([10]A!U12/1000000,0)</f>
        <v>3831</v>
      </c>
      <c r="F12" s="22">
        <f>ROUND([10]A!U20/1000000,0)</f>
        <v>2283</v>
      </c>
      <c r="I12" s="180" t="s">
        <v>293</v>
      </c>
      <c r="J12" s="185">
        <f>C12</f>
        <v>3457</v>
      </c>
      <c r="K12" s="185">
        <f>D12</f>
        <v>2045</v>
      </c>
      <c r="L12" s="185">
        <f>E12</f>
        <v>3831</v>
      </c>
      <c r="M12" s="185">
        <f>F12</f>
        <v>2283</v>
      </c>
    </row>
    <row r="13" spans="2:13">
      <c r="B13" s="20" t="s">
        <v>5</v>
      </c>
      <c r="C13" s="211">
        <f>ROUND([9]A!U13/1000000,0)</f>
        <v>3086</v>
      </c>
      <c r="D13" s="57">
        <f>ROUND([9]A!U21/1000000,0)</f>
        <v>2983</v>
      </c>
      <c r="E13" s="21">
        <f>ROUND([10]A!U13/1000000,0)</f>
        <v>3304</v>
      </c>
      <c r="F13" s="22">
        <f>ROUND([10]A!U21/1000000,0)</f>
        <v>3201</v>
      </c>
      <c r="I13" s="180" t="s">
        <v>285</v>
      </c>
      <c r="J13" s="184">
        <f>C13</f>
        <v>3086</v>
      </c>
      <c r="K13" s="184">
        <f t="shared" ref="K13:M13" si="0">D13</f>
        <v>2983</v>
      </c>
      <c r="L13" s="184">
        <f t="shared" si="0"/>
        <v>3304</v>
      </c>
      <c r="M13" s="184">
        <f t="shared" si="0"/>
        <v>3201</v>
      </c>
    </row>
    <row r="14" spans="2:13">
      <c r="B14" s="20" t="s">
        <v>6</v>
      </c>
      <c r="C14" s="211">
        <f>ROUND([9]A!U14/1000000,0)</f>
        <v>234</v>
      </c>
      <c r="D14" s="57">
        <f>ROUND([9]A!U22/1000000,0)</f>
        <v>233</v>
      </c>
      <c r="E14" s="21">
        <f>ROUND([10]A!U14/1000000,0)</f>
        <v>262</v>
      </c>
      <c r="F14" s="22">
        <f>ROUND([10]A!U22/1000000,0)</f>
        <v>262</v>
      </c>
      <c r="I14" s="180" t="s">
        <v>294</v>
      </c>
      <c r="J14" s="184">
        <f t="shared" ref="J14:J15" si="1">C14</f>
        <v>234</v>
      </c>
      <c r="K14" s="184">
        <f t="shared" ref="K14:K16" si="2">D14</f>
        <v>233</v>
      </c>
      <c r="L14" s="184">
        <f t="shared" ref="L14:L16" si="3">E14</f>
        <v>262</v>
      </c>
      <c r="M14" s="184">
        <f t="shared" ref="M14:M16" si="4">F14</f>
        <v>262</v>
      </c>
    </row>
    <row r="15" spans="2:13">
      <c r="B15" s="20" t="s">
        <v>7</v>
      </c>
      <c r="C15" s="211">
        <f>ROUND([9]A!U15/1000000,0)</f>
        <v>2334</v>
      </c>
      <c r="D15" s="57">
        <f>ROUND([9]A!U23/1000000,0)</f>
        <v>2334</v>
      </c>
      <c r="E15" s="21">
        <f>ROUND([10]A!U15/1000000,0)</f>
        <v>2490</v>
      </c>
      <c r="F15" s="22">
        <f>ROUND([10]A!U23/1000000,0)</f>
        <v>2490</v>
      </c>
      <c r="I15" s="180" t="s">
        <v>295</v>
      </c>
      <c r="J15" s="184">
        <f t="shared" si="1"/>
        <v>2334</v>
      </c>
      <c r="K15" s="184">
        <f t="shared" si="2"/>
        <v>2334</v>
      </c>
      <c r="L15" s="184">
        <f t="shared" si="3"/>
        <v>2490</v>
      </c>
      <c r="M15" s="184">
        <f t="shared" si="4"/>
        <v>2490</v>
      </c>
    </row>
    <row r="16" spans="2:13" ht="17.25">
      <c r="B16" s="210" t="s">
        <v>8</v>
      </c>
      <c r="C16" s="212">
        <f>ROUND([9]A!U16/1000000,0)</f>
        <v>1424</v>
      </c>
      <c r="D16" s="233">
        <f>ROUND([9]A!U24/1000000,0)</f>
        <v>1424</v>
      </c>
      <c r="E16" s="188">
        <f>ROUND([10]A!U16/1000000,0)</f>
        <v>1447</v>
      </c>
      <c r="F16" s="232">
        <f>ROUND([10]A!U24/1000000,0)</f>
        <v>1447</v>
      </c>
      <c r="I16" s="180" t="s">
        <v>296</v>
      </c>
      <c r="J16" s="186">
        <f>C16</f>
        <v>1424</v>
      </c>
      <c r="K16" s="186">
        <f t="shared" si="2"/>
        <v>1424</v>
      </c>
      <c r="L16" s="186">
        <f t="shared" si="3"/>
        <v>1447</v>
      </c>
      <c r="M16" s="186">
        <f t="shared" si="4"/>
        <v>1447</v>
      </c>
    </row>
    <row r="17" spans="2:13">
      <c r="B17" s="24" t="s">
        <v>3</v>
      </c>
      <c r="C17" s="21">
        <f>SUM(C12:C16)</f>
        <v>10535</v>
      </c>
      <c r="D17" s="21">
        <f t="shared" ref="D17:F17" si="5">SUM(D12:D16)</f>
        <v>9019</v>
      </c>
      <c r="E17" s="21">
        <f t="shared" si="5"/>
        <v>11334</v>
      </c>
      <c r="F17" s="22">
        <f t="shared" si="5"/>
        <v>9683</v>
      </c>
      <c r="I17" s="9" t="s">
        <v>298</v>
      </c>
      <c r="J17" s="209">
        <f>SUM(J12:J16)</f>
        <v>10535</v>
      </c>
      <c r="K17" s="209">
        <f t="shared" ref="K17:M17" si="6">SUM(K12:K16)</f>
        <v>9019</v>
      </c>
      <c r="L17" s="209">
        <f t="shared" si="6"/>
        <v>11334</v>
      </c>
      <c r="M17" s="209">
        <f t="shared" si="6"/>
        <v>9683</v>
      </c>
    </row>
    <row r="18" spans="2:13" ht="15.75" thickBot="1">
      <c r="B18" s="26"/>
      <c r="C18" s="27"/>
      <c r="D18" s="28"/>
      <c r="E18" s="27"/>
      <c r="F18" s="29"/>
    </row>
    <row r="19" spans="2:13" ht="15.75" thickTop="1"/>
    <row r="20" spans="2:13">
      <c r="B20" s="31"/>
      <c r="C20" s="31"/>
      <c r="D20" s="31"/>
      <c r="E20" s="31"/>
      <c r="F20" s="31"/>
    </row>
    <row r="22" spans="2:13" ht="15" customHeight="1"/>
  </sheetData>
  <mergeCells count="9">
    <mergeCell ref="J11:M11"/>
    <mergeCell ref="B3:F3"/>
    <mergeCell ref="B6:B10"/>
    <mergeCell ref="C6:F6"/>
    <mergeCell ref="C7:C10"/>
    <mergeCell ref="D7:D10"/>
    <mergeCell ref="E7:E10"/>
    <mergeCell ref="F7:F10"/>
    <mergeCell ref="B4:F4"/>
  </mergeCells>
  <printOptions horizontalCentered="1"/>
  <pageMargins left="0.7" right="0.7" top="0.75" bottom="0.75" header="0.3" footer="0.3"/>
  <pageSetup scale="79" orientation="portrait" r:id="rId1"/>
  <headerFooter>
    <oddFooter>&amp;L&amp;Z
&amp;F&amp;CNYC Office of the Actuary&amp;R&amp;D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90A8F-FA39-428E-9798-596BED7A092D}">
  <sheetPr>
    <tabColor theme="8" tint="0.59999389629810485"/>
    <pageSetUpPr fitToPage="1"/>
  </sheetPr>
  <dimension ref="B3:H41"/>
  <sheetViews>
    <sheetView showGridLines="0" zoomScale="110" zoomScaleNormal="110" workbookViewId="0">
      <selection activeCell="E9" sqref="E9:E10"/>
    </sheetView>
  </sheetViews>
  <sheetFormatPr defaultColWidth="9.140625" defaultRowHeight="15"/>
  <cols>
    <col min="1" max="1" width="9.140625" style="9"/>
    <col min="2" max="2" width="3.7109375" style="9" customWidth="1"/>
    <col min="3" max="3" width="34.7109375" style="9" customWidth="1"/>
    <col min="4" max="5" width="40.7109375" style="9" customWidth="1"/>
    <col min="6" max="6" width="40.7109375" style="9" hidden="1" customWidth="1"/>
    <col min="7" max="7" width="3.7109375" style="9" customWidth="1"/>
    <col min="8" max="16384" width="9.140625" style="9"/>
  </cols>
  <sheetData>
    <row r="3" spans="2:7" ht="15.75">
      <c r="C3" s="124" t="s">
        <v>126</v>
      </c>
    </row>
    <row r="5" spans="2:7">
      <c r="C5" s="298" t="s">
        <v>341</v>
      </c>
      <c r="D5" s="298"/>
      <c r="E5" s="299"/>
      <c r="F5" s="299"/>
    </row>
    <row r="6" spans="2:7">
      <c r="C6" s="299"/>
      <c r="D6" s="299"/>
      <c r="E6" s="299"/>
      <c r="F6" s="299"/>
    </row>
    <row r="7" spans="2:7">
      <c r="C7" s="47"/>
    </row>
    <row r="8" spans="2:7">
      <c r="B8" s="30"/>
      <c r="C8" s="30"/>
      <c r="D8" s="133">
        <v>44742</v>
      </c>
      <c r="E8" s="133">
        <v>44377</v>
      </c>
      <c r="F8" s="133">
        <v>43646</v>
      </c>
    </row>
    <row r="9" spans="2:7" ht="15" customHeight="1">
      <c r="B9" s="30"/>
      <c r="C9" s="134" t="s">
        <v>127</v>
      </c>
      <c r="D9" s="296" t="s">
        <v>128</v>
      </c>
      <c r="E9" s="296" t="s">
        <v>128</v>
      </c>
      <c r="F9" s="296" t="s">
        <v>128</v>
      </c>
      <c r="G9" s="125"/>
    </row>
    <row r="10" spans="2:7">
      <c r="B10" s="30"/>
      <c r="C10" s="134"/>
      <c r="D10" s="297"/>
      <c r="E10" s="297"/>
      <c r="F10" s="297"/>
      <c r="G10" s="125"/>
    </row>
    <row r="11" spans="2:7" ht="4.9000000000000004" customHeight="1">
      <c r="B11" s="30"/>
      <c r="C11" s="134"/>
      <c r="D11" s="135"/>
      <c r="E11" s="135"/>
      <c r="F11" s="135"/>
      <c r="G11" s="125"/>
    </row>
    <row r="12" spans="2:7" ht="15" customHeight="1">
      <c r="B12" s="30"/>
      <c r="C12" s="134" t="s">
        <v>129</v>
      </c>
      <c r="D12" s="296" t="s">
        <v>308</v>
      </c>
      <c r="E12" s="296" t="s">
        <v>308</v>
      </c>
      <c r="F12" s="296" t="s">
        <v>312</v>
      </c>
      <c r="G12" s="125"/>
    </row>
    <row r="13" spans="2:7" ht="44.1" customHeight="1">
      <c r="B13" s="30"/>
      <c r="C13" s="134"/>
      <c r="D13" s="297"/>
      <c r="E13" s="297"/>
      <c r="F13" s="297"/>
      <c r="G13" s="125"/>
    </row>
    <row r="14" spans="2:7" ht="12" customHeight="1">
      <c r="B14" s="30"/>
      <c r="C14" s="134"/>
      <c r="D14" s="135"/>
      <c r="E14" s="135"/>
      <c r="F14" s="135"/>
      <c r="G14" s="125"/>
    </row>
    <row r="15" spans="2:7">
      <c r="B15" s="30"/>
      <c r="C15" s="134" t="s">
        <v>130</v>
      </c>
      <c r="D15" s="136"/>
      <c r="E15" s="136"/>
      <c r="F15" s="136"/>
    </row>
    <row r="16" spans="2:7" ht="15" customHeight="1">
      <c r="B16" s="30"/>
      <c r="C16" s="134" t="s">
        <v>131</v>
      </c>
      <c r="D16" s="296" t="s">
        <v>324</v>
      </c>
      <c r="E16" s="296" t="s">
        <v>324</v>
      </c>
      <c r="F16" s="296" t="s">
        <v>307</v>
      </c>
      <c r="G16" s="125"/>
    </row>
    <row r="17" spans="2:8" ht="71.45" customHeight="1">
      <c r="B17" s="30"/>
      <c r="C17" s="134"/>
      <c r="D17" s="297"/>
      <c r="E17" s="297"/>
      <c r="F17" s="297"/>
      <c r="G17" s="125"/>
    </row>
    <row r="18" spans="2:8" ht="4.9000000000000004" customHeight="1">
      <c r="B18" s="30"/>
      <c r="C18" s="134"/>
      <c r="D18" s="135"/>
      <c r="E18" s="135"/>
      <c r="F18" s="135"/>
      <c r="G18" s="125"/>
    </row>
    <row r="19" spans="2:8" ht="15" customHeight="1">
      <c r="B19" s="30"/>
      <c r="C19" s="134" t="s">
        <v>241</v>
      </c>
      <c r="D19" s="296" t="s">
        <v>132</v>
      </c>
      <c r="E19" s="296" t="s">
        <v>132</v>
      </c>
      <c r="F19" s="296" t="s">
        <v>132</v>
      </c>
      <c r="G19" s="125"/>
      <c r="H19" s="125"/>
    </row>
    <row r="20" spans="2:8">
      <c r="B20" s="30"/>
      <c r="C20" s="134"/>
      <c r="D20" s="297"/>
      <c r="E20" s="297"/>
      <c r="F20" s="297"/>
      <c r="G20" s="125"/>
      <c r="H20" s="125"/>
    </row>
    <row r="21" spans="2:8">
      <c r="B21" s="30"/>
      <c r="C21" s="134"/>
      <c r="D21" s="297"/>
      <c r="E21" s="297"/>
      <c r="F21" s="297"/>
      <c r="G21" s="125"/>
      <c r="H21" s="125"/>
    </row>
    <row r="22" spans="2:8" ht="12" customHeight="1">
      <c r="B22" s="30"/>
      <c r="C22" s="134"/>
      <c r="D22" s="135"/>
      <c r="E22" s="135"/>
      <c r="F22" s="135"/>
      <c r="G22" s="125"/>
      <c r="H22" s="125"/>
    </row>
    <row r="23" spans="2:8" ht="15" customHeight="1">
      <c r="B23" s="30"/>
      <c r="C23" s="134" t="s">
        <v>242</v>
      </c>
      <c r="D23" s="296" t="s">
        <v>331</v>
      </c>
      <c r="E23" s="296" t="s">
        <v>331</v>
      </c>
      <c r="F23" s="296" t="s">
        <v>133</v>
      </c>
      <c r="G23" s="125"/>
    </row>
    <row r="24" spans="2:8">
      <c r="B24" s="30"/>
      <c r="C24" s="136"/>
      <c r="D24" s="297"/>
      <c r="E24" s="297"/>
      <c r="F24" s="297"/>
    </row>
    <row r="25" spans="2:8">
      <c r="B25" s="30"/>
      <c r="C25" s="134"/>
      <c r="D25" s="297"/>
      <c r="E25" s="297"/>
      <c r="F25" s="297"/>
    </row>
    <row r="26" spans="2:8">
      <c r="B26" s="30"/>
      <c r="C26" s="137"/>
      <c r="D26" s="30"/>
      <c r="E26" s="30"/>
      <c r="F26" s="30"/>
    </row>
    <row r="27" spans="2:8">
      <c r="B27" s="138" t="s">
        <v>134</v>
      </c>
      <c r="C27" s="139" t="s">
        <v>135</v>
      </c>
      <c r="D27" s="30"/>
      <c r="E27" s="30"/>
      <c r="F27" s="30"/>
    </row>
    <row r="28" spans="2:8">
      <c r="B28" s="30"/>
      <c r="C28" s="134"/>
      <c r="D28" s="140"/>
      <c r="E28" s="140"/>
      <c r="F28" s="30"/>
    </row>
    <row r="29" spans="2:8">
      <c r="B29" s="30"/>
      <c r="C29" s="294" t="s">
        <v>136</v>
      </c>
      <c r="D29" s="294"/>
      <c r="E29" s="295"/>
      <c r="F29" s="295"/>
    </row>
    <row r="30" spans="2:8">
      <c r="B30" s="30"/>
      <c r="C30" s="295"/>
      <c r="D30" s="295"/>
      <c r="E30" s="295"/>
      <c r="F30" s="295"/>
    </row>
    <row r="31" spans="2:8" ht="12" customHeight="1">
      <c r="B31" s="30"/>
      <c r="C31" s="141"/>
      <c r="D31" s="141"/>
      <c r="E31" s="141"/>
      <c r="F31" s="141"/>
    </row>
    <row r="32" spans="2:8">
      <c r="B32" s="30"/>
      <c r="C32" s="294" t="s">
        <v>297</v>
      </c>
      <c r="D32" s="294"/>
      <c r="E32" s="295"/>
      <c r="F32" s="295"/>
    </row>
    <row r="33" spans="2:6">
      <c r="B33" s="30"/>
      <c r="C33" s="295"/>
      <c r="D33" s="295"/>
      <c r="E33" s="295"/>
      <c r="F33" s="295"/>
    </row>
    <row r="34" spans="2:6">
      <c r="B34" s="30"/>
      <c r="C34" s="295"/>
      <c r="D34" s="295"/>
      <c r="E34" s="295"/>
      <c r="F34" s="295"/>
    </row>
    <row r="35" spans="2:6" ht="12" customHeight="1">
      <c r="B35" s="30"/>
      <c r="C35" s="295"/>
      <c r="D35" s="295"/>
      <c r="E35" s="295"/>
      <c r="F35" s="295"/>
    </row>
    <row r="36" spans="2:6" ht="15" customHeight="1">
      <c r="B36" s="30"/>
      <c r="C36" s="294" t="s">
        <v>333</v>
      </c>
      <c r="D36" s="294"/>
      <c r="E36" s="295"/>
      <c r="F36" s="295"/>
    </row>
    <row r="37" spans="2:6">
      <c r="B37" s="30"/>
      <c r="C37" s="295"/>
      <c r="D37" s="295"/>
      <c r="E37" s="295"/>
      <c r="F37" s="295"/>
    </row>
    <row r="38" spans="2:6" ht="24.75" customHeight="1">
      <c r="B38" s="30"/>
      <c r="C38" s="295"/>
      <c r="D38" s="295"/>
      <c r="E38" s="295"/>
      <c r="F38" s="295"/>
    </row>
    <row r="39" spans="2:6" ht="12" customHeight="1">
      <c r="B39" s="30"/>
      <c r="C39" s="141"/>
      <c r="D39" s="141"/>
      <c r="E39" s="141"/>
      <c r="F39" s="141"/>
    </row>
    <row r="40" spans="2:6">
      <c r="C40" s="294"/>
      <c r="D40" s="294"/>
      <c r="E40" s="295"/>
      <c r="F40" s="295"/>
    </row>
    <row r="41" spans="2:6">
      <c r="C41" s="295"/>
      <c r="D41" s="295"/>
      <c r="E41" s="295"/>
      <c r="F41" s="295"/>
    </row>
  </sheetData>
  <mergeCells count="21">
    <mergeCell ref="E16:E17"/>
    <mergeCell ref="F16:F17"/>
    <mergeCell ref="C5:F6"/>
    <mergeCell ref="E9:E10"/>
    <mergeCell ref="F9:F10"/>
    <mergeCell ref="E12:E13"/>
    <mergeCell ref="F12:F13"/>
    <mergeCell ref="D9:D10"/>
    <mergeCell ref="D12:D13"/>
    <mergeCell ref="D16:D17"/>
    <mergeCell ref="C40:F41"/>
    <mergeCell ref="C35:F35"/>
    <mergeCell ref="C36:F38"/>
    <mergeCell ref="E19:E21"/>
    <mergeCell ref="F19:F21"/>
    <mergeCell ref="E23:E25"/>
    <mergeCell ref="F23:F25"/>
    <mergeCell ref="C29:F30"/>
    <mergeCell ref="C32:F34"/>
    <mergeCell ref="D19:D21"/>
    <mergeCell ref="D23:D25"/>
  </mergeCells>
  <pageMargins left="0.25" right="0.25" top="0.75" bottom="0.75" header="0.3" footer="0.3"/>
  <pageSetup scale="82" orientation="portrait" r:id="rId1"/>
  <headerFooter>
    <oddFooter>&amp;L&amp;Z
&amp;F&amp;CNYC Office of the Actuary&amp;R&amp;D</oddFooter>
  </headerFooter>
  <ignoredErrors>
    <ignoredError sqref="B27"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1FCE9-BFBD-4273-A7EC-CB50BB5B095C}">
  <sheetPr>
    <tabColor rgb="FFFFC000"/>
  </sheetPr>
  <dimension ref="C3:V80"/>
  <sheetViews>
    <sheetView showGridLines="0" topLeftCell="B40" zoomScale="85" zoomScaleNormal="85" zoomScaleSheetLayoutView="115" workbookViewId="0">
      <selection activeCell="L56" sqref="L56"/>
    </sheetView>
  </sheetViews>
  <sheetFormatPr defaultColWidth="9.140625" defaultRowHeight="15"/>
  <cols>
    <col min="1" max="1" width="9.140625" style="9"/>
    <col min="2" max="2" width="4.7109375" style="9" customWidth="1"/>
    <col min="3" max="3" width="25.7109375" style="9" customWidth="1"/>
    <col min="4" max="4" width="46.140625" style="9" customWidth="1"/>
    <col min="5" max="5" width="10.7109375" style="9" customWidth="1"/>
    <col min="6" max="7" width="4.7109375" style="9" customWidth="1"/>
    <col min="8" max="8" width="10.7109375" style="9" customWidth="1"/>
    <col min="9" max="9" width="4.7109375" style="9" customWidth="1"/>
    <col min="10" max="11" width="10.7109375" style="9" customWidth="1"/>
    <col min="12" max="12" width="9.140625" style="9"/>
    <col min="13" max="16" width="12.7109375" style="9" hidden="1" customWidth="1"/>
    <col min="17" max="19" width="9.7109375" style="9" hidden="1" customWidth="1"/>
    <col min="20" max="16384" width="9.140625" style="9"/>
  </cols>
  <sheetData>
    <row r="3" spans="3:22">
      <c r="C3" s="274" t="s">
        <v>26</v>
      </c>
      <c r="D3" s="274"/>
      <c r="E3" s="274"/>
      <c r="F3" s="274"/>
      <c r="G3" s="274"/>
      <c r="H3" s="274"/>
      <c r="I3" s="274"/>
    </row>
    <row r="4" spans="3:22">
      <c r="C4" s="171"/>
      <c r="D4" s="171"/>
      <c r="E4" s="171"/>
      <c r="F4" s="171"/>
      <c r="G4" s="171"/>
      <c r="H4" s="171"/>
      <c r="I4" s="171"/>
    </row>
    <row r="5" spans="3:22">
      <c r="E5" s="301" t="s">
        <v>4</v>
      </c>
      <c r="F5" s="301"/>
      <c r="G5" s="301"/>
      <c r="H5" s="301"/>
      <c r="I5" s="301"/>
    </row>
    <row r="6" spans="3:22">
      <c r="E6" s="189" t="s">
        <v>28</v>
      </c>
      <c r="F6" s="189"/>
      <c r="G6" s="300" t="s">
        <v>27</v>
      </c>
      <c r="H6" s="300"/>
      <c r="I6" s="300"/>
    </row>
    <row r="7" spans="3:22">
      <c r="E7" s="189" t="s">
        <v>30</v>
      </c>
      <c r="F7" s="189"/>
      <c r="G7" s="300" t="s">
        <v>29</v>
      </c>
      <c r="H7" s="300"/>
      <c r="I7" s="300"/>
      <c r="Q7" s="33"/>
      <c r="R7" s="33"/>
      <c r="S7" s="33"/>
    </row>
    <row r="8" spans="3:22">
      <c r="C8" s="73" t="s">
        <v>31</v>
      </c>
      <c r="E8" s="190" t="s">
        <v>32</v>
      </c>
      <c r="F8" s="189"/>
      <c r="G8" s="274" t="s">
        <v>237</v>
      </c>
      <c r="H8" s="274"/>
      <c r="I8" s="274"/>
      <c r="M8" s="48"/>
      <c r="Q8" s="33"/>
      <c r="R8" s="33"/>
      <c r="S8" s="33"/>
    </row>
    <row r="9" spans="3:22" ht="15" customHeight="1">
      <c r="C9" s="306" t="s">
        <v>243</v>
      </c>
      <c r="D9" s="306"/>
      <c r="E9" s="55">
        <v>0.27</v>
      </c>
      <c r="F9" s="55"/>
      <c r="G9" s="55"/>
      <c r="H9" s="191">
        <f>'[2]4. L-T RoR'!$H15</f>
        <v>6.9400000000000003E-2</v>
      </c>
      <c r="L9" s="49"/>
      <c r="Q9" s="50"/>
      <c r="R9" s="50"/>
      <c r="S9" s="50"/>
      <c r="T9" s="49"/>
      <c r="V9" s="51"/>
    </row>
    <row r="10" spans="3:22" ht="15" customHeight="1">
      <c r="C10" s="9" t="s">
        <v>238</v>
      </c>
      <c r="E10" s="55">
        <v>0.12</v>
      </c>
      <c r="F10" s="55"/>
      <c r="G10" s="55"/>
      <c r="H10" s="191">
        <f>'[2]4. L-T RoR'!$H16</f>
        <v>7.17E-2</v>
      </c>
      <c r="L10" s="49"/>
      <c r="Q10" s="50"/>
      <c r="R10" s="50"/>
      <c r="S10" s="50"/>
      <c r="T10" s="49"/>
      <c r="V10" s="51"/>
    </row>
    <row r="11" spans="3:22" ht="15" customHeight="1">
      <c r="C11" s="9" t="s">
        <v>245</v>
      </c>
      <c r="E11" s="55">
        <v>0.05</v>
      </c>
      <c r="F11" s="55"/>
      <c r="G11" s="55"/>
      <c r="H11" s="191">
        <f>'[2]4. L-T RoR'!$H17</f>
        <v>9.1400000000000009E-2</v>
      </c>
      <c r="L11" s="49"/>
      <c r="Q11" s="50"/>
      <c r="R11" s="50"/>
      <c r="S11" s="50"/>
      <c r="T11" s="49"/>
      <c r="V11" s="51"/>
    </row>
    <row r="12" spans="3:22" ht="15" customHeight="1">
      <c r="C12" s="306" t="s">
        <v>251</v>
      </c>
      <c r="D12" s="306"/>
      <c r="E12" s="55">
        <v>0.30499999999999999</v>
      </c>
      <c r="F12" s="55"/>
      <c r="G12" s="55"/>
      <c r="H12" s="191">
        <f>'[2]4. L-T RoR'!$H18</f>
        <v>2.6577049180327859E-2</v>
      </c>
      <c r="L12" s="49"/>
      <c r="Q12" s="50"/>
      <c r="R12" s="50"/>
      <c r="S12" s="50"/>
      <c r="T12" s="49"/>
      <c r="V12" s="51"/>
    </row>
    <row r="13" spans="3:22" ht="15" customHeight="1">
      <c r="C13" s="306" t="s">
        <v>247</v>
      </c>
      <c r="D13" s="306"/>
      <c r="E13" s="55">
        <v>0.08</v>
      </c>
      <c r="F13" s="56"/>
      <c r="G13" s="56"/>
      <c r="H13" s="191">
        <f>'[2]4. L-T RoR'!$H21</f>
        <v>0.11070000000000001</v>
      </c>
      <c r="L13" s="49"/>
      <c r="Q13" s="50"/>
      <c r="R13" s="50"/>
      <c r="S13" s="50"/>
      <c r="T13" s="49"/>
      <c r="V13" s="52"/>
    </row>
    <row r="14" spans="3:22" ht="15" customHeight="1">
      <c r="C14" s="306" t="s">
        <v>248</v>
      </c>
      <c r="D14" s="306"/>
      <c r="E14" s="55">
        <v>7.4999999999999997E-2</v>
      </c>
      <c r="F14" s="55"/>
      <c r="G14" s="55"/>
      <c r="H14" s="191">
        <f>'[2]4. L-T RoR'!$H22</f>
        <v>7.0859999999999992E-2</v>
      </c>
      <c r="V14" s="51"/>
    </row>
    <row r="15" spans="3:22" ht="15" customHeight="1">
      <c r="C15" s="306" t="s">
        <v>246</v>
      </c>
      <c r="D15" s="306"/>
      <c r="E15" s="55">
        <v>0.04</v>
      </c>
      <c r="F15" s="55"/>
      <c r="G15" s="55"/>
      <c r="H15" s="191">
        <f>'[2]4. L-T RoR'!$H23</f>
        <v>6.3800000000000009E-2</v>
      </c>
      <c r="Q15" s="50"/>
      <c r="R15" s="50"/>
      <c r="S15" s="49"/>
    </row>
    <row r="16" spans="3:22" ht="15" customHeight="1">
      <c r="C16" s="306" t="s">
        <v>249</v>
      </c>
      <c r="D16" s="306"/>
      <c r="E16" s="56">
        <v>0.06</v>
      </c>
      <c r="F16" s="55"/>
      <c r="G16" s="55"/>
      <c r="H16" s="213">
        <f>'[2]4. L-T RoR'!$H24</f>
        <v>8.5900000000000004E-2</v>
      </c>
    </row>
    <row r="17" spans="3:17" ht="15" customHeight="1">
      <c r="C17" s="306" t="s">
        <v>250</v>
      </c>
      <c r="D17" s="306"/>
      <c r="E17" s="55">
        <f>SUM(E9:E16)</f>
        <v>1</v>
      </c>
      <c r="F17" s="55"/>
      <c r="G17" s="55"/>
      <c r="H17" s="55"/>
    </row>
    <row r="18" spans="3:17" ht="15" customHeight="1">
      <c r="C18" s="306"/>
      <c r="D18" s="306"/>
      <c r="E18" s="55"/>
      <c r="F18" s="55"/>
      <c r="G18" s="55"/>
      <c r="H18" s="55"/>
    </row>
    <row r="19" spans="3:17" ht="15" customHeight="1">
      <c r="C19" s="306"/>
      <c r="D19" s="306"/>
      <c r="E19" s="55"/>
      <c r="F19" s="55"/>
      <c r="G19" s="55"/>
      <c r="H19" s="55"/>
    </row>
    <row r="20" spans="3:17">
      <c r="E20" s="301" t="s">
        <v>5</v>
      </c>
      <c r="F20" s="301"/>
      <c r="G20" s="301"/>
      <c r="H20" s="301"/>
      <c r="I20" s="301"/>
      <c r="O20" s="53"/>
      <c r="P20" s="54"/>
      <c r="Q20" s="54"/>
    </row>
    <row r="21" spans="3:17">
      <c r="E21" s="189" t="s">
        <v>28</v>
      </c>
      <c r="F21" s="189"/>
      <c r="G21" s="300" t="s">
        <v>27</v>
      </c>
      <c r="H21" s="300"/>
      <c r="I21" s="300"/>
    </row>
    <row r="22" spans="3:17">
      <c r="E22" s="189" t="s">
        <v>30</v>
      </c>
      <c r="F22" s="189"/>
      <c r="G22" s="300" t="s">
        <v>29</v>
      </c>
      <c r="H22" s="300"/>
      <c r="I22" s="300"/>
    </row>
    <row r="23" spans="3:17">
      <c r="C23" s="73" t="s">
        <v>31</v>
      </c>
      <c r="E23" s="190" t="s">
        <v>32</v>
      </c>
      <c r="F23" s="189"/>
      <c r="G23" s="304" t="s">
        <v>237</v>
      </c>
      <c r="H23" s="304"/>
      <c r="I23" s="304"/>
    </row>
    <row r="24" spans="3:17">
      <c r="C24" s="306" t="s">
        <v>252</v>
      </c>
      <c r="D24" s="306"/>
      <c r="E24" s="55">
        <v>0.25</v>
      </c>
      <c r="F24" s="55"/>
      <c r="G24" s="55"/>
      <c r="H24" s="191">
        <f>'[3]4. LTROR'!$F16</f>
        <v>5.3402322447644111E-2</v>
      </c>
    </row>
    <row r="25" spans="3:17">
      <c r="C25" s="9" t="s">
        <v>244</v>
      </c>
      <c r="E25" s="55">
        <v>0.1</v>
      </c>
      <c r="F25" s="55"/>
      <c r="G25" s="55"/>
      <c r="H25" s="191">
        <f>'[3]4. LTROR'!$F17</f>
        <v>6.1193138187085723E-2</v>
      </c>
    </row>
    <row r="26" spans="3:17">
      <c r="C26" s="9" t="s">
        <v>253</v>
      </c>
      <c r="E26" s="55">
        <v>9.5000000000000001E-2</v>
      </c>
      <c r="F26" s="55"/>
      <c r="G26" s="55"/>
      <c r="H26" s="191">
        <f>'[3]4. LTROR'!$F18</f>
        <v>7.5409932102425858E-2</v>
      </c>
    </row>
    <row r="27" spans="3:17">
      <c r="C27" s="306" t="s">
        <v>254</v>
      </c>
      <c r="D27" s="306"/>
      <c r="E27" s="55">
        <v>0.32499999999999996</v>
      </c>
      <c r="F27" s="55"/>
      <c r="G27" s="55"/>
      <c r="H27" s="191">
        <f>'[3]4. LTROR'!$F19</f>
        <v>2.0981592052720557E-2</v>
      </c>
    </row>
    <row r="28" spans="3:17">
      <c r="C28" s="306" t="s">
        <v>255</v>
      </c>
      <c r="D28" s="306"/>
      <c r="E28" s="55">
        <v>7.0000000000000007E-2</v>
      </c>
      <c r="F28" s="55"/>
      <c r="G28" s="55"/>
      <c r="H28" s="191">
        <f>'[3]4. LTROR'!$F22</f>
        <v>0.10359990717692899</v>
      </c>
    </row>
    <row r="29" spans="3:17">
      <c r="C29" s="306" t="s">
        <v>256</v>
      </c>
      <c r="D29" s="306"/>
      <c r="E29" s="55">
        <v>7.0000000000000007E-2</v>
      </c>
      <c r="F29" s="55"/>
      <c r="G29" s="55"/>
      <c r="H29" s="191">
        <f>'[3]4. LTROR'!$F23</f>
        <v>7.835725343861738E-2</v>
      </c>
    </row>
    <row r="30" spans="3:17">
      <c r="C30" s="306" t="s">
        <v>257</v>
      </c>
      <c r="D30" s="306"/>
      <c r="E30" s="55">
        <v>0.04</v>
      </c>
      <c r="F30" s="55"/>
      <c r="G30" s="55"/>
      <c r="H30" s="191">
        <f>'[3]4. LTROR'!$F24</f>
        <v>7.9247105693798531E-2</v>
      </c>
    </row>
    <row r="31" spans="3:17">
      <c r="C31" s="306" t="s">
        <v>239</v>
      </c>
      <c r="D31" s="306"/>
      <c r="E31" s="56">
        <v>0.05</v>
      </c>
      <c r="F31" s="56"/>
      <c r="G31" s="56"/>
      <c r="H31" s="213">
        <f>'[3]4. LTROR'!$F25</f>
        <v>5.2299736389997041E-2</v>
      </c>
    </row>
    <row r="32" spans="3:17">
      <c r="C32" s="306" t="s">
        <v>258</v>
      </c>
      <c r="D32" s="306"/>
      <c r="E32" s="55">
        <f>SUM(E24:E31)</f>
        <v>1</v>
      </c>
      <c r="F32" s="55"/>
      <c r="G32" s="55"/>
      <c r="H32" s="55"/>
    </row>
    <row r="33" spans="3:9">
      <c r="E33" s="192"/>
    </row>
    <row r="35" spans="3:9">
      <c r="E35" s="301" t="s">
        <v>6</v>
      </c>
      <c r="F35" s="301"/>
      <c r="G35" s="301"/>
      <c r="H35" s="301"/>
      <c r="I35" s="301"/>
    </row>
    <row r="36" spans="3:9">
      <c r="E36" s="189" t="s">
        <v>28</v>
      </c>
      <c r="F36" s="189"/>
      <c r="G36" s="300" t="s">
        <v>27</v>
      </c>
      <c r="H36" s="300"/>
      <c r="I36" s="300"/>
    </row>
    <row r="37" spans="3:9">
      <c r="E37" s="189" t="s">
        <v>30</v>
      </c>
      <c r="F37" s="189"/>
      <c r="G37" s="300" t="s">
        <v>29</v>
      </c>
      <c r="H37" s="300"/>
      <c r="I37" s="300"/>
    </row>
    <row r="38" spans="3:9">
      <c r="C38" s="73" t="s">
        <v>31</v>
      </c>
      <c r="E38" s="190" t="s">
        <v>32</v>
      </c>
      <c r="F38" s="189"/>
      <c r="G38" s="304" t="s">
        <v>237</v>
      </c>
      <c r="H38" s="304"/>
      <c r="I38" s="304"/>
    </row>
    <row r="39" spans="3:9">
      <c r="C39" s="306" t="s">
        <v>252</v>
      </c>
      <c r="D39" s="306"/>
      <c r="E39" s="55">
        <v>0.31</v>
      </c>
      <c r="F39" s="55"/>
      <c r="G39" s="55"/>
      <c r="H39" s="191">
        <f>'[4]4. LTROR'!$E21</f>
        <v>6.6113129915155389E-2</v>
      </c>
      <c r="I39" s="55"/>
    </row>
    <row r="40" spans="3:9">
      <c r="C40" s="9" t="s">
        <v>244</v>
      </c>
      <c r="E40" s="55">
        <v>0.1</v>
      </c>
      <c r="F40" s="55"/>
      <c r="G40" s="55"/>
      <c r="H40" s="191">
        <f>'[4]4. LTROR'!$E22</f>
        <v>6.9042817415155389E-2</v>
      </c>
      <c r="I40" s="55"/>
    </row>
    <row r="41" spans="3:9">
      <c r="C41" s="9" t="s">
        <v>253</v>
      </c>
      <c r="E41" s="55">
        <v>0.06</v>
      </c>
      <c r="F41" s="55"/>
      <c r="G41" s="55"/>
      <c r="H41" s="191">
        <f>'[4]4. LTROR'!$E23</f>
        <v>8.3691254915155389E-2</v>
      </c>
      <c r="I41" s="55"/>
    </row>
    <row r="42" spans="3:9">
      <c r="C42" s="306" t="s">
        <v>254</v>
      </c>
      <c r="D42" s="306"/>
      <c r="E42" s="55">
        <v>0.27</v>
      </c>
      <c r="F42" s="55"/>
      <c r="G42" s="55"/>
      <c r="H42" s="191">
        <f>'[4]4. LTROR'!$E24</f>
        <v>2.0323199359599833E-2</v>
      </c>
      <c r="I42" s="55"/>
    </row>
    <row r="43" spans="3:9">
      <c r="C43" s="306" t="s">
        <v>255</v>
      </c>
      <c r="D43" s="306"/>
      <c r="E43" s="55">
        <v>0.09</v>
      </c>
      <c r="F43" s="55"/>
      <c r="G43" s="55"/>
      <c r="H43" s="191">
        <f>'[4]4. LTROR'!$E27</f>
        <v>9.5898286165155389E-2</v>
      </c>
      <c r="I43" s="55"/>
    </row>
    <row r="44" spans="3:9">
      <c r="C44" s="306" t="s">
        <v>256</v>
      </c>
      <c r="D44" s="306"/>
      <c r="E44" s="55">
        <v>0.08</v>
      </c>
      <c r="F44" s="55"/>
      <c r="G44" s="55"/>
      <c r="H44" s="191">
        <f>'[4]4. LTROR'!$E28</f>
        <v>4.7314301790155389E-2</v>
      </c>
      <c r="I44" s="55"/>
    </row>
    <row r="45" spans="3:9">
      <c r="C45" s="306" t="s">
        <v>257</v>
      </c>
      <c r="D45" s="306"/>
      <c r="E45" s="55">
        <v>0.04</v>
      </c>
      <c r="F45" s="55"/>
      <c r="G45" s="55"/>
      <c r="H45" s="191">
        <f>'[4]4. LTROR'!$E29</f>
        <v>5.4394379915155389E-2</v>
      </c>
      <c r="I45" s="55"/>
    </row>
    <row r="46" spans="3:9">
      <c r="C46" s="306" t="s">
        <v>239</v>
      </c>
      <c r="D46" s="306"/>
      <c r="E46" s="56">
        <v>0.05</v>
      </c>
      <c r="F46" s="56"/>
      <c r="G46" s="56"/>
      <c r="H46" s="213">
        <f>'[4]4. LTROR'!$E30</f>
        <v>6.0253754915155389E-2</v>
      </c>
      <c r="I46" s="55"/>
    </row>
    <row r="47" spans="3:9">
      <c r="C47" s="306" t="s">
        <v>258</v>
      </c>
      <c r="D47" s="306"/>
      <c r="E47" s="55">
        <f>SUM(E39:E46)</f>
        <v>1</v>
      </c>
      <c r="F47" s="55"/>
      <c r="G47" s="55"/>
      <c r="H47" s="55"/>
      <c r="I47" s="55"/>
    </row>
    <row r="48" spans="3:9">
      <c r="E48" s="55"/>
      <c r="F48" s="55"/>
      <c r="G48" s="55"/>
      <c r="H48" s="55"/>
      <c r="I48" s="55"/>
    </row>
    <row r="49" spans="3:9">
      <c r="E49" s="55"/>
      <c r="F49" s="55"/>
      <c r="G49" s="55"/>
      <c r="H49" s="55"/>
      <c r="I49" s="55"/>
    </row>
    <row r="50" spans="3:9">
      <c r="E50" s="305" t="s">
        <v>7</v>
      </c>
      <c r="F50" s="305"/>
      <c r="G50" s="305"/>
      <c r="H50" s="305"/>
      <c r="I50" s="305"/>
    </row>
    <row r="51" spans="3:9">
      <c r="E51" s="193" t="s">
        <v>28</v>
      </c>
      <c r="F51" s="193"/>
      <c r="G51" s="303" t="s">
        <v>27</v>
      </c>
      <c r="H51" s="303"/>
      <c r="I51" s="303"/>
    </row>
    <row r="52" spans="3:9">
      <c r="E52" s="193" t="s">
        <v>30</v>
      </c>
      <c r="F52" s="193"/>
      <c r="G52" s="303" t="s">
        <v>29</v>
      </c>
      <c r="H52" s="303"/>
      <c r="I52" s="303"/>
    </row>
    <row r="53" spans="3:9">
      <c r="C53" s="73" t="s">
        <v>31</v>
      </c>
      <c r="E53" s="194" t="s">
        <v>32</v>
      </c>
      <c r="F53" s="193"/>
      <c r="G53" s="304" t="s">
        <v>237</v>
      </c>
      <c r="H53" s="304"/>
      <c r="I53" s="304"/>
    </row>
    <row r="54" spans="3:9">
      <c r="C54" s="306" t="s">
        <v>259</v>
      </c>
      <c r="D54" s="306"/>
      <c r="E54" s="55">
        <v>0.3</v>
      </c>
      <c r="F54" s="55"/>
      <c r="G54" s="55"/>
      <c r="H54" s="191">
        <f>'[5]4. L-T RoR (2)'!$E15</f>
        <v>5.5E-2</v>
      </c>
      <c r="I54" s="55"/>
    </row>
    <row r="55" spans="3:9">
      <c r="C55" s="9" t="s">
        <v>260</v>
      </c>
      <c r="E55" s="55">
        <v>0.08</v>
      </c>
      <c r="F55" s="55"/>
      <c r="G55" s="55"/>
      <c r="H55" s="191">
        <f>'[5]4. L-T RoR (2)'!$E16</f>
        <v>6.0999999999999999E-2</v>
      </c>
      <c r="I55" s="55"/>
    </row>
    <row r="56" spans="3:9">
      <c r="C56" s="9" t="s">
        <v>261</v>
      </c>
      <c r="E56" s="55">
        <v>0.05</v>
      </c>
      <c r="F56" s="55"/>
      <c r="G56" s="55"/>
      <c r="H56" s="191">
        <f>'[5]4. L-T RoR (2)'!$E17</f>
        <v>7.6999999999999999E-2</v>
      </c>
      <c r="I56" s="55"/>
    </row>
    <row r="57" spans="3:9">
      <c r="C57" s="306" t="s">
        <v>262</v>
      </c>
      <c r="D57" s="306"/>
      <c r="E57" s="55">
        <v>0.28000000000000003</v>
      </c>
      <c r="F57" s="55"/>
      <c r="G57" s="55"/>
      <c r="H57" s="191">
        <f>'[5]4. L-T RoR (2)'!$E18</f>
        <v>3.2000000000000001E-2</v>
      </c>
      <c r="I57" s="55"/>
    </row>
    <row r="58" spans="3:9">
      <c r="C58" s="306" t="s">
        <v>255</v>
      </c>
      <c r="D58" s="306"/>
      <c r="E58" s="55">
        <v>0.08</v>
      </c>
      <c r="F58" s="55"/>
      <c r="G58" s="55"/>
      <c r="H58" s="191">
        <f>'[5]4. L-T RoR (2)'!$E21</f>
        <v>0.109</v>
      </c>
      <c r="I58" s="55"/>
    </row>
    <row r="59" spans="3:9">
      <c r="C59" s="306" t="s">
        <v>263</v>
      </c>
      <c r="D59" s="306"/>
      <c r="E59" s="55">
        <v>7.0000000000000007E-2</v>
      </c>
      <c r="F59" s="55"/>
      <c r="G59" s="55"/>
      <c r="H59" s="191">
        <f>'[5]4. L-T RoR (2)'!$E22</f>
        <v>5.2999999999999999E-2</v>
      </c>
      <c r="I59" s="55"/>
    </row>
    <row r="60" spans="3:9">
      <c r="C60" s="306" t="s">
        <v>257</v>
      </c>
      <c r="D60" s="306"/>
      <c r="E60" s="55">
        <v>0.03</v>
      </c>
      <c r="F60" s="55"/>
      <c r="G60" s="55"/>
      <c r="H60" s="191">
        <f>'[5]4. L-T RoR (2)'!$E23</f>
        <v>7.8E-2</v>
      </c>
      <c r="I60" s="55"/>
    </row>
    <row r="61" spans="3:9">
      <c r="C61" s="306" t="s">
        <v>264</v>
      </c>
      <c r="D61" s="306"/>
      <c r="E61" s="55">
        <v>0.06</v>
      </c>
      <c r="F61" s="55"/>
      <c r="G61" s="55"/>
      <c r="H61" s="191">
        <f>'[5]4. L-T RoR (2)'!$E24</f>
        <v>4.5999999999999999E-2</v>
      </c>
      <c r="I61" s="55"/>
    </row>
    <row r="62" spans="3:9">
      <c r="C62" s="306" t="s">
        <v>265</v>
      </c>
      <c r="D62" s="306"/>
      <c r="E62" s="56">
        <v>0.05</v>
      </c>
      <c r="F62" s="56"/>
      <c r="G62" s="56"/>
      <c r="H62" s="213">
        <f>'[5]4. L-T RoR (2)'!$E25</f>
        <v>0.06</v>
      </c>
      <c r="I62" s="55"/>
    </row>
    <row r="63" spans="3:9">
      <c r="C63" s="306" t="s">
        <v>266</v>
      </c>
      <c r="D63" s="306"/>
      <c r="E63" s="55">
        <f>SUM(E54:E62)</f>
        <v>1</v>
      </c>
      <c r="F63" s="55"/>
      <c r="G63" s="55"/>
      <c r="H63" s="55"/>
      <c r="I63" s="55"/>
    </row>
    <row r="64" spans="3:9">
      <c r="E64" s="55"/>
      <c r="F64" s="55"/>
      <c r="G64" s="55"/>
      <c r="H64" s="55"/>
      <c r="I64" s="55"/>
    </row>
    <row r="65" spans="3:9">
      <c r="E65" s="55"/>
      <c r="F65" s="55"/>
      <c r="G65" s="55"/>
      <c r="H65" s="55"/>
      <c r="I65" s="55"/>
    </row>
    <row r="66" spans="3:9">
      <c r="E66" s="302" t="s">
        <v>8</v>
      </c>
      <c r="F66" s="302"/>
      <c r="G66" s="302"/>
      <c r="H66" s="302"/>
      <c r="I66" s="302"/>
    </row>
    <row r="67" spans="3:9">
      <c r="E67" s="193" t="s">
        <v>28</v>
      </c>
      <c r="F67" s="193"/>
      <c r="G67" s="303" t="s">
        <v>27</v>
      </c>
      <c r="H67" s="303"/>
      <c r="I67" s="303"/>
    </row>
    <row r="68" spans="3:9">
      <c r="E68" s="193" t="s">
        <v>30</v>
      </c>
      <c r="F68" s="193"/>
      <c r="G68" s="303" t="s">
        <v>29</v>
      </c>
      <c r="H68" s="303"/>
      <c r="I68" s="303"/>
    </row>
    <row r="69" spans="3:9">
      <c r="C69" s="73" t="s">
        <v>31</v>
      </c>
      <c r="E69" s="194" t="s">
        <v>32</v>
      </c>
      <c r="F69" s="193"/>
      <c r="G69" s="304" t="s">
        <v>237</v>
      </c>
      <c r="H69" s="304"/>
      <c r="I69" s="304"/>
    </row>
    <row r="70" spans="3:9">
      <c r="C70" s="306" t="s">
        <v>259</v>
      </c>
      <c r="D70" s="306"/>
      <c r="E70" s="55">
        <v>0.27</v>
      </c>
      <c r="F70" s="55"/>
      <c r="G70" s="55"/>
      <c r="H70" s="55">
        <f>'[6]4. L-T RoR'!$E15</f>
        <v>5.5E-2</v>
      </c>
      <c r="I70" s="55"/>
    </row>
    <row r="71" spans="3:9">
      <c r="C71" s="9" t="s">
        <v>260</v>
      </c>
      <c r="E71" s="55">
        <v>0.09</v>
      </c>
      <c r="F71" s="55"/>
      <c r="G71" s="55"/>
      <c r="H71" s="55">
        <f>'[6]4. L-T RoR'!$E16</f>
        <v>5.7000000000000002E-2</v>
      </c>
      <c r="I71" s="55"/>
    </row>
    <row r="72" spans="3:9">
      <c r="C72" s="9" t="s">
        <v>261</v>
      </c>
      <c r="E72" s="55">
        <v>0.06</v>
      </c>
      <c r="F72" s="55"/>
      <c r="G72" s="55"/>
      <c r="H72" s="55">
        <f>'[6]4. L-T RoR'!$E17</f>
        <v>0.10199999999999999</v>
      </c>
      <c r="I72" s="55"/>
    </row>
    <row r="73" spans="3:9">
      <c r="C73" s="306" t="s">
        <v>262</v>
      </c>
      <c r="D73" s="306"/>
      <c r="E73" s="55">
        <v>0.31</v>
      </c>
      <c r="F73" s="55"/>
      <c r="G73" s="55"/>
      <c r="H73" s="55">
        <f>'[6]4. L-T RoR'!$E18</f>
        <v>2.8000000000000001E-2</v>
      </c>
      <c r="I73" s="55"/>
    </row>
    <row r="74" spans="3:9">
      <c r="C74" s="306" t="s">
        <v>255</v>
      </c>
      <c r="D74" s="306"/>
      <c r="E74" s="55">
        <v>0.08</v>
      </c>
      <c r="F74" s="55"/>
      <c r="G74" s="55"/>
      <c r="H74" s="55">
        <f>'[6]4. L-T RoR'!$E21</f>
        <v>0.10100000000000001</v>
      </c>
      <c r="I74" s="55"/>
    </row>
    <row r="75" spans="3:9">
      <c r="C75" s="306" t="s">
        <v>263</v>
      </c>
      <c r="D75" s="306"/>
      <c r="E75" s="55">
        <v>7.0000000000000007E-2</v>
      </c>
      <c r="F75" s="55"/>
      <c r="G75" s="55"/>
      <c r="H75" s="55">
        <f>'[6]4. L-T RoR'!$E22</f>
        <v>4.5062473347547982E-2</v>
      </c>
      <c r="I75" s="55"/>
    </row>
    <row r="76" spans="3:9">
      <c r="C76" s="306" t="s">
        <v>257</v>
      </c>
      <c r="D76" s="306"/>
      <c r="E76" s="55">
        <v>0.03</v>
      </c>
      <c r="F76" s="55"/>
      <c r="G76" s="55"/>
      <c r="H76" s="55">
        <f>'[6]4. L-T RoR'!$E23</f>
        <v>0.05</v>
      </c>
      <c r="I76" s="55"/>
    </row>
    <row r="77" spans="3:9">
      <c r="C77" s="306" t="s">
        <v>264</v>
      </c>
      <c r="D77" s="306"/>
      <c r="E77" s="55">
        <v>0.05</v>
      </c>
      <c r="F77" s="55"/>
      <c r="G77" s="55"/>
      <c r="H77" s="55">
        <f>'[6]4. L-T RoR'!$E24</f>
        <v>4.2999999999999997E-2</v>
      </c>
      <c r="I77" s="55"/>
    </row>
    <row r="78" spans="3:9">
      <c r="C78" s="306" t="s">
        <v>265</v>
      </c>
      <c r="D78" s="306"/>
      <c r="E78" s="56">
        <v>0.04</v>
      </c>
      <c r="F78" s="56"/>
      <c r="G78" s="56"/>
      <c r="H78" s="56">
        <f>'[6]4. L-T RoR'!$E25</f>
        <v>6.7000000000000004E-2</v>
      </c>
      <c r="I78" s="55"/>
    </row>
    <row r="79" spans="3:9">
      <c r="C79" s="306" t="s">
        <v>266</v>
      </c>
      <c r="D79" s="306"/>
      <c r="E79" s="55">
        <v>1</v>
      </c>
      <c r="F79" s="56"/>
      <c r="G79" s="56"/>
      <c r="H79" s="191"/>
      <c r="I79" s="55"/>
    </row>
    <row r="80" spans="3:9">
      <c r="E80" s="55"/>
      <c r="F80" s="55"/>
      <c r="G80" s="55"/>
      <c r="H80" s="55"/>
      <c r="I80" s="55"/>
    </row>
  </sheetData>
  <mergeCells count="60">
    <mergeCell ref="C32:D32"/>
    <mergeCell ref="C47:D47"/>
    <mergeCell ref="C78:D78"/>
    <mergeCell ref="C63:D63"/>
    <mergeCell ref="C79:D79"/>
    <mergeCell ref="C73:D73"/>
    <mergeCell ref="C74:D74"/>
    <mergeCell ref="C75:D75"/>
    <mergeCell ref="C61:D61"/>
    <mergeCell ref="C62:D62"/>
    <mergeCell ref="C70:D70"/>
    <mergeCell ref="C76:D76"/>
    <mergeCell ref="C77:D77"/>
    <mergeCell ref="C54:D54"/>
    <mergeCell ref="C57:D57"/>
    <mergeCell ref="C58:D58"/>
    <mergeCell ref="C59:D59"/>
    <mergeCell ref="C60:D60"/>
    <mergeCell ref="C39:D39"/>
    <mergeCell ref="C42:D42"/>
    <mergeCell ref="C44:D44"/>
    <mergeCell ref="C45:D45"/>
    <mergeCell ref="C46:D46"/>
    <mergeCell ref="C43:D43"/>
    <mergeCell ref="C27:D27"/>
    <mergeCell ref="C28:D28"/>
    <mergeCell ref="C29:D29"/>
    <mergeCell ref="C30:D30"/>
    <mergeCell ref="C31:D31"/>
    <mergeCell ref="C16:D16"/>
    <mergeCell ref="C17:D17"/>
    <mergeCell ref="C18:D18"/>
    <mergeCell ref="C19:D19"/>
    <mergeCell ref="C24:D24"/>
    <mergeCell ref="C9:D9"/>
    <mergeCell ref="C12:D12"/>
    <mergeCell ref="C13:D13"/>
    <mergeCell ref="C14:D14"/>
    <mergeCell ref="C15:D15"/>
    <mergeCell ref="E66:I66"/>
    <mergeCell ref="G67:I67"/>
    <mergeCell ref="G68:I68"/>
    <mergeCell ref="G69:I69"/>
    <mergeCell ref="C3:I3"/>
    <mergeCell ref="G37:I37"/>
    <mergeCell ref="G38:I38"/>
    <mergeCell ref="E50:I50"/>
    <mergeCell ref="G51:I51"/>
    <mergeCell ref="G52:I52"/>
    <mergeCell ref="G53:I53"/>
    <mergeCell ref="E20:I20"/>
    <mergeCell ref="G21:I21"/>
    <mergeCell ref="G22:I22"/>
    <mergeCell ref="G23:I23"/>
    <mergeCell ref="E35:I35"/>
    <mergeCell ref="G36:I36"/>
    <mergeCell ref="G8:I8"/>
    <mergeCell ref="G6:I6"/>
    <mergeCell ref="G7:I7"/>
    <mergeCell ref="E5:I5"/>
  </mergeCells>
  <printOptions horizontalCentered="1"/>
  <pageMargins left="0.5" right="0.15" top="0.75" bottom="0.5" header="0.25" footer="0.25"/>
  <pageSetup scale="78" orientation="portrait" horizontalDpi="1200" verticalDpi="1200" r:id="rId1"/>
  <headerFooter>
    <oddFooter>&amp;L&amp;Z
&amp;F&amp;CNYC Office of the Actuary&amp;R&amp;D</oddFooter>
  </headerFooter>
  <rowBreaks count="1" manualBreakCount="1">
    <brk id="33" min="1" max="8"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E939-032A-4833-A1C7-197AD33224AC}">
  <sheetPr>
    <tabColor theme="8" tint="0.59999389629810485"/>
    <pageSetUpPr fitToPage="1"/>
  </sheetPr>
  <dimension ref="B3:T41"/>
  <sheetViews>
    <sheetView showGridLines="0" topLeftCell="A6" zoomScale="90" zoomScaleNormal="90" zoomScaleSheetLayoutView="100" workbookViewId="0">
      <selection activeCell="R50" sqref="R50"/>
    </sheetView>
  </sheetViews>
  <sheetFormatPr defaultColWidth="9.140625" defaultRowHeight="15"/>
  <cols>
    <col min="1" max="1" width="9.140625" style="2"/>
    <col min="2" max="3" width="3.7109375" style="2" customWidth="1"/>
    <col min="4" max="4" width="2.7109375" style="2" customWidth="1"/>
    <col min="5" max="5" width="47.85546875" style="2" customWidth="1"/>
    <col min="6" max="6" width="12.7109375" style="2" customWidth="1"/>
    <col min="7" max="7" width="1.7109375" style="2" customWidth="1"/>
    <col min="8" max="8" width="12.7109375" style="2" customWidth="1"/>
    <col min="9" max="9" width="1.7109375" style="2" customWidth="1"/>
    <col min="10" max="10" width="12.7109375" style="2" customWidth="1"/>
    <col min="11" max="11" width="1.7109375" style="2" customWidth="1"/>
    <col min="12" max="12" width="12.7109375" style="2" customWidth="1"/>
    <col min="13" max="13" width="1.7109375" style="2" customWidth="1"/>
    <col min="14" max="14" width="12.7109375" style="2" customWidth="1"/>
    <col min="15" max="15" width="1.7109375" style="2" customWidth="1"/>
    <col min="16" max="16" width="12.7109375" style="2" customWidth="1"/>
    <col min="17" max="16384" width="9.140625" style="2"/>
  </cols>
  <sheetData>
    <row r="3" spans="2:20" ht="18.75">
      <c r="B3" s="308" t="s">
        <v>56</v>
      </c>
      <c r="C3" s="308"/>
      <c r="D3" s="308"/>
      <c r="E3" s="308"/>
      <c r="F3" s="308"/>
      <c r="G3" s="308"/>
      <c r="H3" s="308"/>
      <c r="I3" s="308"/>
      <c r="J3" s="308"/>
      <c r="K3" s="308"/>
      <c r="L3" s="308"/>
      <c r="M3" s="308"/>
      <c r="N3" s="308"/>
      <c r="O3" s="308"/>
      <c r="P3" s="308"/>
    </row>
    <row r="5" spans="2:20">
      <c r="F5" s="309" t="s">
        <v>7</v>
      </c>
      <c r="G5" s="309"/>
      <c r="H5" s="309"/>
      <c r="I5" s="309"/>
      <c r="J5" s="309"/>
      <c r="K5" s="60"/>
      <c r="L5" s="309" t="s">
        <v>8</v>
      </c>
      <c r="M5" s="309"/>
      <c r="N5" s="309"/>
      <c r="O5" s="309"/>
      <c r="P5" s="309"/>
    </row>
    <row r="6" spans="2:20">
      <c r="F6" s="58" t="s">
        <v>3</v>
      </c>
      <c r="G6" s="58"/>
      <c r="H6" s="58" t="s">
        <v>60</v>
      </c>
      <c r="I6" s="58"/>
      <c r="J6" s="58" t="s">
        <v>62</v>
      </c>
      <c r="K6" s="60"/>
      <c r="L6" s="58" t="s">
        <v>3</v>
      </c>
      <c r="M6" s="58"/>
      <c r="N6" s="58" t="s">
        <v>60</v>
      </c>
      <c r="O6" s="58"/>
      <c r="P6" s="122" t="s">
        <v>62</v>
      </c>
    </row>
    <row r="7" spans="2:20">
      <c r="F7" s="58" t="s">
        <v>59</v>
      </c>
      <c r="G7" s="58"/>
      <c r="H7" s="58" t="s">
        <v>61</v>
      </c>
      <c r="I7" s="58"/>
      <c r="J7" s="58" t="s">
        <v>59</v>
      </c>
      <c r="K7" s="60"/>
      <c r="L7" s="58" t="s">
        <v>59</v>
      </c>
      <c r="M7" s="58"/>
      <c r="N7" s="58" t="s">
        <v>61</v>
      </c>
      <c r="O7" s="58"/>
      <c r="P7" s="58" t="s">
        <v>59</v>
      </c>
    </row>
    <row r="8" spans="2:20">
      <c r="F8" s="187" t="s">
        <v>33</v>
      </c>
      <c r="G8" s="58"/>
      <c r="H8" s="187" t="s">
        <v>55</v>
      </c>
      <c r="I8" s="58"/>
      <c r="J8" s="187" t="s">
        <v>33</v>
      </c>
      <c r="K8" s="60"/>
      <c r="L8" s="187" t="s">
        <v>33</v>
      </c>
      <c r="M8" s="58"/>
      <c r="N8" s="187" t="s">
        <v>55</v>
      </c>
      <c r="O8" s="58"/>
      <c r="P8" s="187" t="s">
        <v>33</v>
      </c>
    </row>
    <row r="9" spans="2:20">
      <c r="F9" s="58"/>
      <c r="G9" s="58"/>
      <c r="H9" s="58"/>
      <c r="I9" s="58"/>
      <c r="J9" s="310" t="s">
        <v>70</v>
      </c>
      <c r="K9" s="310"/>
      <c r="L9" s="310"/>
      <c r="M9" s="58"/>
      <c r="N9" s="58"/>
      <c r="O9" s="58"/>
      <c r="P9" s="58"/>
    </row>
    <row r="10" spans="2:20" ht="17.25">
      <c r="B10" s="195"/>
      <c r="C10" s="60" t="s">
        <v>342</v>
      </c>
      <c r="D10" s="60"/>
      <c r="E10" s="60"/>
      <c r="F10" s="231">
        <f>'[11]7'!F24</f>
        <v>59303</v>
      </c>
      <c r="G10" s="231">
        <f>'[11]7'!G24</f>
        <v>0</v>
      </c>
      <c r="H10" s="231">
        <f>'[11]7'!H24</f>
        <v>57266</v>
      </c>
      <c r="I10" s="231">
        <f>'[11]7'!I24</f>
        <v>0</v>
      </c>
      <c r="J10" s="231">
        <f>'[11]7'!J24</f>
        <v>2037</v>
      </c>
      <c r="K10" s="201">
        <f>'[11]7'!K24</f>
        <v>0</v>
      </c>
      <c r="L10" s="231">
        <f>'[11]7'!L24</f>
        <v>24871</v>
      </c>
      <c r="M10" s="231">
        <f>'[11]7'!M24</f>
        <v>0</v>
      </c>
      <c r="N10" s="231">
        <f>'[11]7'!N24</f>
        <v>19892</v>
      </c>
      <c r="O10" s="231">
        <f>'[11]7'!O24</f>
        <v>0</v>
      </c>
      <c r="P10" s="231">
        <f>'[11]7'!P24</f>
        <v>4979</v>
      </c>
    </row>
    <row r="11" spans="2:20">
      <c r="B11" s="195"/>
      <c r="C11" s="60" t="s">
        <v>319</v>
      </c>
      <c r="D11" s="60"/>
      <c r="E11" s="60"/>
      <c r="F11" s="4"/>
      <c r="G11" s="4"/>
      <c r="H11" s="4"/>
      <c r="I11" s="4"/>
      <c r="J11" s="4"/>
      <c r="L11" s="4"/>
      <c r="M11" s="4"/>
      <c r="N11" s="4"/>
      <c r="O11" s="4"/>
      <c r="P11" s="4"/>
    </row>
    <row r="12" spans="2:20">
      <c r="B12" s="77"/>
      <c r="D12" s="77"/>
      <c r="E12" s="2" t="s">
        <v>267</v>
      </c>
      <c r="F12" s="4">
        <v>1432</v>
      </c>
      <c r="G12" s="4"/>
      <c r="H12" s="4">
        <v>0</v>
      </c>
      <c r="I12" s="4">
        <v>0</v>
      </c>
      <c r="J12" s="4">
        <f>+F12-H12</f>
        <v>1432</v>
      </c>
      <c r="K12" s="4">
        <v>0</v>
      </c>
      <c r="L12" s="4">
        <v>586</v>
      </c>
      <c r="M12" s="4">
        <v>0</v>
      </c>
      <c r="N12" s="4">
        <v>0</v>
      </c>
      <c r="O12" s="4">
        <v>0</v>
      </c>
      <c r="P12" s="4">
        <f>+L12-N12</f>
        <v>586</v>
      </c>
    </row>
    <row r="13" spans="2:20">
      <c r="B13" s="77"/>
      <c r="D13" s="77"/>
      <c r="E13" s="2" t="s">
        <v>268</v>
      </c>
      <c r="F13" s="4">
        <v>4121</v>
      </c>
      <c r="G13" s="4"/>
      <c r="H13" s="4">
        <v>0</v>
      </c>
      <c r="I13" s="4">
        <v>0</v>
      </c>
      <c r="J13" s="4">
        <f t="shared" ref="J13:J21" si="0">+F13-H13</f>
        <v>4121</v>
      </c>
      <c r="K13" s="4">
        <v>0</v>
      </c>
      <c r="L13" s="4">
        <v>1726</v>
      </c>
      <c r="M13" s="4">
        <v>0</v>
      </c>
      <c r="N13" s="4">
        <v>0</v>
      </c>
      <c r="O13" s="4">
        <v>0</v>
      </c>
      <c r="P13" s="4">
        <f t="shared" ref="P13:P15" si="1">+L13-N13</f>
        <v>1726</v>
      </c>
    </row>
    <row r="14" spans="2:20">
      <c r="B14" s="77"/>
      <c r="D14" s="71"/>
      <c r="E14" s="9" t="s">
        <v>269</v>
      </c>
      <c r="F14" s="4">
        <v>0</v>
      </c>
      <c r="G14" s="4"/>
      <c r="H14" s="4">
        <v>0</v>
      </c>
      <c r="I14" s="4">
        <v>0</v>
      </c>
      <c r="J14" s="4">
        <f t="shared" si="0"/>
        <v>0</v>
      </c>
      <c r="K14" s="4">
        <v>0</v>
      </c>
      <c r="L14" s="4">
        <v>0</v>
      </c>
      <c r="M14" s="4">
        <v>0</v>
      </c>
      <c r="N14" s="4">
        <v>0</v>
      </c>
      <c r="O14" s="4">
        <v>0</v>
      </c>
      <c r="P14" s="4">
        <f t="shared" si="1"/>
        <v>0</v>
      </c>
    </row>
    <row r="15" spans="2:20">
      <c r="B15" s="77"/>
      <c r="D15" s="71"/>
      <c r="E15" s="9" t="s">
        <v>321</v>
      </c>
      <c r="F15" s="4">
        <v>473</v>
      </c>
      <c r="G15" s="4"/>
      <c r="H15" s="4">
        <v>0</v>
      </c>
      <c r="I15" s="4">
        <v>0</v>
      </c>
      <c r="J15" s="4">
        <f t="shared" si="0"/>
        <v>473</v>
      </c>
      <c r="K15" s="4">
        <v>0</v>
      </c>
      <c r="L15" s="4">
        <v>165</v>
      </c>
      <c r="M15" s="4">
        <v>0</v>
      </c>
      <c r="N15" s="4">
        <v>0</v>
      </c>
      <c r="O15" s="4">
        <v>0</v>
      </c>
      <c r="P15" s="4">
        <f t="shared" si="1"/>
        <v>165</v>
      </c>
    </row>
    <row r="16" spans="2:20">
      <c r="B16" s="77"/>
      <c r="D16" s="71"/>
      <c r="E16" s="9" t="s">
        <v>270</v>
      </c>
      <c r="F16" s="4">
        <v>0</v>
      </c>
      <c r="G16" s="4"/>
      <c r="H16" s="4">
        <v>0</v>
      </c>
      <c r="I16" s="4">
        <v>0</v>
      </c>
      <c r="J16" s="4">
        <f>+F16-H16</f>
        <v>0</v>
      </c>
      <c r="K16" s="4">
        <v>0</v>
      </c>
      <c r="L16" s="4">
        <v>0</v>
      </c>
      <c r="M16" s="4">
        <v>0</v>
      </c>
      <c r="N16" s="4">
        <v>0</v>
      </c>
      <c r="O16" s="4">
        <v>0</v>
      </c>
      <c r="P16" s="4">
        <f>+L16-N16</f>
        <v>0</v>
      </c>
      <c r="T16" s="60"/>
    </row>
    <row r="17" spans="2:16">
      <c r="B17" s="77"/>
      <c r="D17" s="71"/>
      <c r="E17" s="9" t="s">
        <v>271</v>
      </c>
      <c r="F17" s="4">
        <v>0</v>
      </c>
      <c r="G17" s="4"/>
      <c r="H17" s="4">
        <v>2490</v>
      </c>
      <c r="I17" s="4">
        <v>0</v>
      </c>
      <c r="J17" s="4">
        <f t="shared" si="0"/>
        <v>-2490</v>
      </c>
      <c r="K17" s="4">
        <v>0</v>
      </c>
      <c r="L17" s="4">
        <v>0</v>
      </c>
      <c r="M17" s="4">
        <v>0</v>
      </c>
      <c r="N17" s="4">
        <v>1447</v>
      </c>
      <c r="O17" s="4">
        <v>0</v>
      </c>
      <c r="P17" s="4">
        <f t="shared" ref="P17:P22" si="2">+L17-N17</f>
        <v>-1447</v>
      </c>
    </row>
    <row r="18" spans="2:16">
      <c r="B18" s="77"/>
      <c r="D18" s="71"/>
      <c r="E18" s="9" t="s">
        <v>272</v>
      </c>
      <c r="F18" s="4">
        <v>0</v>
      </c>
      <c r="G18" s="4"/>
      <c r="H18" s="4">
        <v>281</v>
      </c>
      <c r="I18" s="4">
        <v>0</v>
      </c>
      <c r="J18" s="4">
        <f t="shared" si="0"/>
        <v>-281</v>
      </c>
      <c r="K18" s="4">
        <v>0</v>
      </c>
      <c r="L18" s="4">
        <v>0</v>
      </c>
      <c r="M18" s="4">
        <v>0</v>
      </c>
      <c r="N18" s="4">
        <v>134</v>
      </c>
      <c r="O18" s="4">
        <v>0</v>
      </c>
      <c r="P18" s="4">
        <f t="shared" si="2"/>
        <v>-134</v>
      </c>
    </row>
    <row r="19" spans="2:16">
      <c r="B19" s="77"/>
      <c r="D19" s="71"/>
      <c r="E19" s="9" t="s">
        <v>273</v>
      </c>
      <c r="F19" s="4">
        <v>0</v>
      </c>
      <c r="G19" s="4"/>
      <c r="H19" s="4">
        <v>-4405</v>
      </c>
      <c r="I19" s="4">
        <v>0</v>
      </c>
      <c r="J19" s="4">
        <f t="shared" si="0"/>
        <v>4405</v>
      </c>
      <c r="K19" s="4">
        <v>0</v>
      </c>
      <c r="L19" s="4">
        <v>0</v>
      </c>
      <c r="M19" s="4">
        <v>0</v>
      </c>
      <c r="N19" s="4">
        <v>-1583</v>
      </c>
      <c r="O19" s="4">
        <v>0</v>
      </c>
      <c r="P19" s="4">
        <f t="shared" si="2"/>
        <v>1583</v>
      </c>
    </row>
    <row r="20" spans="2:16">
      <c r="B20" s="77"/>
      <c r="D20" s="71"/>
      <c r="E20" s="9" t="s">
        <v>274</v>
      </c>
      <c r="F20" s="4">
        <v>-3814</v>
      </c>
      <c r="G20" s="4"/>
      <c r="H20" s="4">
        <v>-3814</v>
      </c>
      <c r="I20" s="4">
        <v>0</v>
      </c>
      <c r="J20" s="4">
        <f t="shared" si="0"/>
        <v>0</v>
      </c>
      <c r="K20" s="4">
        <v>0</v>
      </c>
      <c r="L20" s="4">
        <v>-1621</v>
      </c>
      <c r="M20" s="4">
        <v>0</v>
      </c>
      <c r="N20" s="4">
        <v>-1621</v>
      </c>
      <c r="O20" s="4">
        <v>0</v>
      </c>
      <c r="P20" s="4">
        <f t="shared" si="2"/>
        <v>0</v>
      </c>
    </row>
    <row r="21" spans="2:16">
      <c r="B21" s="77"/>
      <c r="D21" s="71"/>
      <c r="E21" s="9" t="s">
        <v>275</v>
      </c>
      <c r="F21" s="4">
        <v>0</v>
      </c>
      <c r="G21" s="4"/>
      <c r="H21" s="4">
        <v>-24</v>
      </c>
      <c r="I21" s="4">
        <v>0</v>
      </c>
      <c r="J21" s="4">
        <f t="shared" si="0"/>
        <v>24</v>
      </c>
      <c r="K21" s="4">
        <v>0</v>
      </c>
      <c r="L21" s="4">
        <v>0</v>
      </c>
      <c r="M21" s="4">
        <v>0</v>
      </c>
      <c r="N21" s="4">
        <v>-13</v>
      </c>
      <c r="O21" s="4">
        <v>0</v>
      </c>
      <c r="P21" s="4">
        <f t="shared" si="2"/>
        <v>13</v>
      </c>
    </row>
    <row r="22" spans="2:16">
      <c r="B22" s="77"/>
      <c r="D22" s="71"/>
      <c r="E22" s="9" t="s">
        <v>276</v>
      </c>
      <c r="F22" s="5">
        <v>0</v>
      </c>
      <c r="G22" s="4"/>
      <c r="H22" s="5">
        <v>5</v>
      </c>
      <c r="I22" s="4">
        <v>0</v>
      </c>
      <c r="J22" s="5">
        <f>+F22-H22</f>
        <v>-5</v>
      </c>
      <c r="K22" s="4">
        <v>0</v>
      </c>
      <c r="L22" s="5">
        <v>0</v>
      </c>
      <c r="M22" s="4">
        <v>0</v>
      </c>
      <c r="N22" s="5">
        <v>1</v>
      </c>
      <c r="O22" s="4">
        <v>0</v>
      </c>
      <c r="P22" s="5">
        <f t="shared" si="2"/>
        <v>-1</v>
      </c>
    </row>
    <row r="23" spans="2:16" ht="17.25">
      <c r="B23" s="77"/>
      <c r="D23" s="9"/>
      <c r="E23" s="9" t="s">
        <v>277</v>
      </c>
      <c r="F23" s="197">
        <f>SUM(F12:F22)</f>
        <v>2212</v>
      </c>
      <c r="G23" s="197"/>
      <c r="H23" s="197">
        <f>SUM(H12:H22)</f>
        <v>-5467</v>
      </c>
      <c r="I23" s="216"/>
      <c r="J23" s="197">
        <f>SUM(J12:J22)</f>
        <v>7679</v>
      </c>
      <c r="K23" s="214"/>
      <c r="L23" s="197">
        <f>SUM(L12:L22)</f>
        <v>856</v>
      </c>
      <c r="M23" s="197"/>
      <c r="N23" s="197">
        <f>SUM(N12:N22)</f>
        <v>-1635</v>
      </c>
      <c r="O23" s="197"/>
      <c r="P23" s="197">
        <f>SUM(P12:P22)</f>
        <v>2491</v>
      </c>
    </row>
    <row r="24" spans="2:16" ht="17.25">
      <c r="B24" s="199"/>
      <c r="C24" s="307" t="s">
        <v>320</v>
      </c>
      <c r="D24" s="307"/>
      <c r="E24" s="307"/>
      <c r="F24" s="200">
        <f>+F23+F10</f>
        <v>61515</v>
      </c>
      <c r="G24" s="200"/>
      <c r="H24" s="200">
        <f>+H23+H10</f>
        <v>51799</v>
      </c>
      <c r="I24" s="217"/>
      <c r="J24" s="200">
        <f>+J23+J10</f>
        <v>9716</v>
      </c>
      <c r="K24" s="215"/>
      <c r="L24" s="200">
        <f>+L23+L10</f>
        <v>25727</v>
      </c>
      <c r="M24" s="200"/>
      <c r="N24" s="200">
        <f>+N23+N10</f>
        <v>18257</v>
      </c>
      <c r="O24" s="200"/>
      <c r="P24" s="200">
        <f>+P23+P10</f>
        <v>7470</v>
      </c>
    </row>
    <row r="25" spans="2:16">
      <c r="B25" s="77"/>
      <c r="F25" s="4"/>
      <c r="G25" s="4"/>
      <c r="H25" s="4"/>
      <c r="I25" s="4"/>
      <c r="J25" s="4"/>
      <c r="L25" s="4"/>
      <c r="M25" s="4"/>
      <c r="N25" s="4"/>
      <c r="O25" s="4"/>
      <c r="P25" s="4"/>
    </row>
    <row r="26" spans="2:16">
      <c r="B26" s="199"/>
      <c r="C26" s="60" t="s">
        <v>343</v>
      </c>
      <c r="D26" s="60"/>
      <c r="E26" s="60"/>
      <c r="F26" s="4"/>
      <c r="G26" s="4"/>
      <c r="H26" s="4"/>
      <c r="I26" s="4"/>
      <c r="J26" s="4"/>
      <c r="L26" s="4"/>
      <c r="M26" s="4"/>
      <c r="N26" s="4"/>
      <c r="O26" s="4"/>
      <c r="P26" s="4"/>
    </row>
    <row r="27" spans="2:16">
      <c r="B27" s="77"/>
      <c r="D27" s="77"/>
      <c r="E27" s="2" t="s">
        <v>267</v>
      </c>
      <c r="F27" s="4">
        <f>ROUND('[5]8. Sch_Cha_NPL_Ratios'!G10,-6)/1000000</f>
        <v>1419</v>
      </c>
      <c r="G27" s="4"/>
      <c r="H27" s="4">
        <v>0</v>
      </c>
      <c r="I27" s="4"/>
      <c r="J27" s="4">
        <f>+F27-H27</f>
        <v>1419</v>
      </c>
      <c r="L27" s="4">
        <f>ROUND('[6]8. Sch_Cha_NPL_Ratios'!G10,-6)/1000000</f>
        <v>593</v>
      </c>
      <c r="M27" s="4"/>
      <c r="N27" s="4">
        <v>0</v>
      </c>
      <c r="O27" s="4"/>
      <c r="P27" s="4">
        <f>+L27-N27</f>
        <v>593</v>
      </c>
    </row>
    <row r="28" spans="2:16">
      <c r="B28" s="77"/>
      <c r="D28" s="77"/>
      <c r="E28" s="2" t="s">
        <v>268</v>
      </c>
      <c r="F28" s="4">
        <f>ROUND('[5]8. Sch_Cha_NPL_Ratios'!G11,-6)/1000000-2</f>
        <v>4256</v>
      </c>
      <c r="G28" s="4"/>
      <c r="H28" s="4">
        <v>0</v>
      </c>
      <c r="I28" s="4"/>
      <c r="J28" s="4">
        <f t="shared" ref="J28:J36" si="3">+F28-H28</f>
        <v>4256</v>
      </c>
      <c r="L28" s="4">
        <f>ROUND('[6]8. Sch_Cha_NPL_Ratios'!G11,-6)/1000000+1</f>
        <v>1782</v>
      </c>
      <c r="M28" s="4"/>
      <c r="N28" s="4">
        <v>0</v>
      </c>
      <c r="O28" s="4"/>
      <c r="P28" s="4">
        <f t="shared" ref="P28:P30" si="4">+L28-N28</f>
        <v>1782</v>
      </c>
    </row>
    <row r="29" spans="2:16">
      <c r="B29" s="77"/>
      <c r="D29" s="71"/>
      <c r="E29" s="9" t="s">
        <v>269</v>
      </c>
      <c r="F29" s="4">
        <f>ROUND('[5]8. Sch_Cha_NPL_Ratios'!G12,-6)/1000000</f>
        <v>63</v>
      </c>
      <c r="G29" s="4"/>
      <c r="H29" s="4">
        <v>0</v>
      </c>
      <c r="I29" s="4"/>
      <c r="J29" s="4">
        <f t="shared" si="3"/>
        <v>63</v>
      </c>
      <c r="L29" s="4">
        <f>ROUND('[6]8. Sch_Cha_NPL_Ratios'!G12,-6)/1000000</f>
        <v>36</v>
      </c>
      <c r="M29" s="4"/>
      <c r="N29" s="4">
        <v>0</v>
      </c>
      <c r="O29" s="4"/>
      <c r="P29" s="4">
        <f t="shared" si="4"/>
        <v>36</v>
      </c>
    </row>
    <row r="30" spans="2:16">
      <c r="B30" s="77"/>
      <c r="D30" s="71"/>
      <c r="E30" s="9" t="s">
        <v>321</v>
      </c>
      <c r="F30" s="4">
        <f>ROUND('[5]8. Sch_Cha_NPL_Ratios'!G13,-6)/1000000</f>
        <v>564</v>
      </c>
      <c r="G30" s="4"/>
      <c r="H30" s="4">
        <v>0</v>
      </c>
      <c r="I30" s="4"/>
      <c r="J30" s="4">
        <f t="shared" si="3"/>
        <v>564</v>
      </c>
      <c r="L30" s="4">
        <f>ROUND('[6]8. Sch_Cha_NPL_Ratios'!G13,-6)/1000000</f>
        <v>340</v>
      </c>
      <c r="M30" s="4"/>
      <c r="N30" s="4">
        <v>0</v>
      </c>
      <c r="O30" s="4"/>
      <c r="P30" s="4">
        <f t="shared" si="4"/>
        <v>340</v>
      </c>
    </row>
    <row r="31" spans="2:16">
      <c r="B31" s="77"/>
      <c r="D31" s="71"/>
      <c r="E31" s="9" t="s">
        <v>270</v>
      </c>
      <c r="F31" s="4">
        <f>ROUND('[5]8. Sch_Cha_NPL_Ratios'!G14,-6)/1000000</f>
        <v>0</v>
      </c>
      <c r="G31" s="4"/>
      <c r="H31" s="4">
        <v>0</v>
      </c>
      <c r="I31" s="4"/>
      <c r="J31" s="4">
        <f>+F31-H31</f>
        <v>0</v>
      </c>
      <c r="L31" s="4">
        <f>ROUND('[6]8. Sch_Cha_NPL_Ratios'!G14,-6)/1000000</f>
        <v>0</v>
      </c>
      <c r="M31" s="4"/>
      <c r="N31" s="4">
        <v>0</v>
      </c>
      <c r="O31" s="4"/>
      <c r="P31" s="4">
        <f>+L31-N31</f>
        <v>0</v>
      </c>
    </row>
    <row r="32" spans="2:16">
      <c r="B32" s="77"/>
      <c r="D32" s="71"/>
      <c r="E32" s="9" t="s">
        <v>271</v>
      </c>
      <c r="F32" s="4">
        <v>0</v>
      </c>
      <c r="G32" s="4"/>
      <c r="H32" s="4">
        <f>ROUND('[5]8. Sch_Cha_NPL_Ratios'!G22,-6)/1000000</f>
        <v>2334</v>
      </c>
      <c r="I32" s="4"/>
      <c r="J32" s="4">
        <f t="shared" si="3"/>
        <v>-2334</v>
      </c>
      <c r="L32" s="4">
        <v>0</v>
      </c>
      <c r="M32" s="4"/>
      <c r="N32" s="4">
        <f>ROUND('[6]8. Sch_Cha_NPL_Ratios'!G22,-6)/1000000</f>
        <v>1424</v>
      </c>
      <c r="O32" s="4"/>
      <c r="P32" s="4">
        <f t="shared" ref="P32:P37" si="5">+L32-N32</f>
        <v>-1424</v>
      </c>
    </row>
    <row r="33" spans="2:16">
      <c r="B33" s="77"/>
      <c r="D33" s="71"/>
      <c r="E33" s="9" t="s">
        <v>272</v>
      </c>
      <c r="F33" s="4">
        <v>0</v>
      </c>
      <c r="G33" s="4"/>
      <c r="H33" s="4">
        <f>ROUND('[5]8. Sch_Cha_NPL_Ratios'!G23,-6)/1000000</f>
        <v>268</v>
      </c>
      <c r="I33" s="4"/>
      <c r="J33" s="4">
        <f t="shared" si="3"/>
        <v>-268</v>
      </c>
      <c r="L33" s="4">
        <v>0</v>
      </c>
      <c r="M33" s="4"/>
      <c r="N33" s="4">
        <f>ROUND('[6]8. Sch_Cha_NPL_Ratios'!G23,-6)/1000000</f>
        <v>118</v>
      </c>
      <c r="O33" s="4"/>
      <c r="P33" s="4">
        <f t="shared" si="5"/>
        <v>-118</v>
      </c>
    </row>
    <row r="34" spans="2:16">
      <c r="B34" s="77"/>
      <c r="D34" s="71"/>
      <c r="E34" s="9" t="s">
        <v>273</v>
      </c>
      <c r="F34" s="4">
        <v>0</v>
      </c>
      <c r="G34" s="4"/>
      <c r="H34" s="4">
        <f>ROUND('[5]8. Sch_Cha_NPL_Ratios'!G24,-6)/1000000-1</f>
        <v>4395</v>
      </c>
      <c r="I34" s="4"/>
      <c r="J34" s="4">
        <f t="shared" si="3"/>
        <v>-4395</v>
      </c>
      <c r="L34" s="4">
        <v>0</v>
      </c>
      <c r="M34" s="4"/>
      <c r="N34" s="4">
        <f>ROUND('[6]8. Sch_Cha_NPL_Ratios'!G24,-6)/1000000</f>
        <v>1427</v>
      </c>
      <c r="O34" s="4"/>
      <c r="P34" s="4">
        <f t="shared" si="5"/>
        <v>-1427</v>
      </c>
    </row>
    <row r="35" spans="2:16">
      <c r="B35" s="77"/>
      <c r="D35" s="71"/>
      <c r="E35" s="9" t="s">
        <v>274</v>
      </c>
      <c r="F35" s="4">
        <f>ROUND('[5]8. Sch_Cha_NPL_Ratios'!G15,-6)/1000000</f>
        <v>-4290</v>
      </c>
      <c r="G35" s="4"/>
      <c r="H35" s="4">
        <f>ROUND('[5]8. Sch_Cha_NPL_Ratios'!G25,-6)/1000000</f>
        <v>-4290</v>
      </c>
      <c r="I35" s="4"/>
      <c r="J35" s="4">
        <f t="shared" si="3"/>
        <v>0</v>
      </c>
      <c r="L35" s="4">
        <f>ROUND('[6]8. Sch_Cha_NPL_Ratios'!$G$15,-6)/1000000</f>
        <v>-1777</v>
      </c>
      <c r="M35" s="4"/>
      <c r="N35" s="4">
        <f>ROUND('[6]8. Sch_Cha_NPL_Ratios'!G25,-6)/1000000</f>
        <v>-1777</v>
      </c>
      <c r="O35" s="4"/>
      <c r="P35" s="4">
        <f t="shared" si="5"/>
        <v>0</v>
      </c>
    </row>
    <row r="36" spans="2:16">
      <c r="B36" s="77"/>
      <c r="D36" s="71"/>
      <c r="E36" s="9" t="s">
        <v>275</v>
      </c>
      <c r="F36" s="4">
        <v>0</v>
      </c>
      <c r="G36" s="4"/>
      <c r="H36" s="4">
        <f>ROUND('[5]8. Sch_Cha_NPL_Ratios'!G26,-6)/1000000</f>
        <v>-30</v>
      </c>
      <c r="I36" s="4"/>
      <c r="J36" s="4">
        <f t="shared" si="3"/>
        <v>30</v>
      </c>
      <c r="L36" s="4">
        <v>0</v>
      </c>
      <c r="M36" s="4"/>
      <c r="N36" s="4">
        <f>ROUND('[6]8. Sch_Cha_NPL_Ratios'!G26,-6)/1000000</f>
        <v>-13</v>
      </c>
      <c r="O36" s="4"/>
      <c r="P36" s="4">
        <f t="shared" si="5"/>
        <v>13</v>
      </c>
    </row>
    <row r="37" spans="2:16">
      <c r="B37" s="77"/>
      <c r="D37" s="71"/>
      <c r="E37" s="9" t="s">
        <v>276</v>
      </c>
      <c r="F37" s="5">
        <v>0</v>
      </c>
      <c r="G37" s="4"/>
      <c r="H37" s="5">
        <f>ROUND('[5]8. Sch_Cha_NPL_Ratios'!G27,-6)/1000000</f>
        <v>4</v>
      </c>
      <c r="I37" s="4"/>
      <c r="J37" s="5">
        <f>+F37-H37</f>
        <v>-4</v>
      </c>
      <c r="L37" s="5">
        <v>0</v>
      </c>
      <c r="M37" s="4"/>
      <c r="N37" s="5">
        <f>ROUND('[6]8. Sch_Cha_NPL_Ratios'!G27,-6)/1000000</f>
        <v>1</v>
      </c>
      <c r="O37" s="4"/>
      <c r="P37" s="5">
        <f t="shared" si="5"/>
        <v>-1</v>
      </c>
    </row>
    <row r="38" spans="2:16" ht="17.25">
      <c r="B38" s="77"/>
      <c r="D38" s="9"/>
      <c r="E38" s="9" t="s">
        <v>277</v>
      </c>
      <c r="F38" s="197">
        <f>SUM(F27:F37)</f>
        <v>2012</v>
      </c>
      <c r="G38" s="197"/>
      <c r="H38" s="197">
        <f>SUM(H27:H37)</f>
        <v>2681</v>
      </c>
      <c r="I38" s="197"/>
      <c r="J38" s="197">
        <f>SUM(J27:J37)</f>
        <v>-669</v>
      </c>
      <c r="K38" s="198"/>
      <c r="L38" s="216">
        <f>SUM(L27:L37)</f>
        <v>974</v>
      </c>
      <c r="M38" s="216"/>
      <c r="N38" s="216">
        <f>SUM(N27:N37)</f>
        <v>1180</v>
      </c>
      <c r="O38" s="216"/>
      <c r="P38" s="216">
        <f>SUM(P27:P37)</f>
        <v>-206</v>
      </c>
    </row>
    <row r="39" spans="2:16" ht="17.25">
      <c r="B39" s="199"/>
      <c r="C39" s="307" t="s">
        <v>344</v>
      </c>
      <c r="D39" s="307"/>
      <c r="E39" s="307"/>
      <c r="F39" s="200">
        <f>+F38+F24</f>
        <v>63527</v>
      </c>
      <c r="G39" s="200"/>
      <c r="H39" s="200">
        <f>+H38+H24</f>
        <v>54480</v>
      </c>
      <c r="I39" s="200"/>
      <c r="J39" s="200">
        <f>+J38+J24</f>
        <v>9047</v>
      </c>
      <c r="K39" s="201"/>
      <c r="L39" s="217">
        <f>+L38+L24</f>
        <v>26701</v>
      </c>
      <c r="M39" s="217"/>
      <c r="N39" s="217">
        <f>+N38+N24</f>
        <v>19437</v>
      </c>
      <c r="O39" s="217"/>
      <c r="P39" s="217">
        <f>+P38+P24</f>
        <v>7264</v>
      </c>
    </row>
    <row r="40" spans="2:16">
      <c r="B40" s="195"/>
      <c r="F40" s="196"/>
      <c r="G40" s="196"/>
      <c r="H40" s="196"/>
      <c r="I40" s="196"/>
      <c r="J40" s="196"/>
    </row>
    <row r="41" spans="2:16">
      <c r="F41" s="4"/>
      <c r="G41" s="4"/>
      <c r="H41" s="4"/>
      <c r="I41" s="4"/>
      <c r="J41" s="4"/>
    </row>
  </sheetData>
  <mergeCells count="6">
    <mergeCell ref="C39:E39"/>
    <mergeCell ref="B3:P3"/>
    <mergeCell ref="F5:J5"/>
    <mergeCell ref="L5:P5"/>
    <mergeCell ref="J9:L9"/>
    <mergeCell ref="C24:E24"/>
  </mergeCells>
  <printOptions horizontalCentered="1"/>
  <pageMargins left="0.5" right="0" top="0.75" bottom="0.5" header="0.25" footer="0.25"/>
  <pageSetup scale="71" orientation="portrait" r:id="rId1"/>
  <headerFooter>
    <oddFooter>&amp;L&amp;Z
&amp;F&amp;CNYC Office of the Actuary&amp;R&amp;D</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4B52-4C24-4D03-9E0D-F93DABA706E0}">
  <sheetPr>
    <tabColor theme="8" tint="0.59999389629810485"/>
    <pageSetUpPr fitToPage="1"/>
  </sheetPr>
  <dimension ref="B2:O13"/>
  <sheetViews>
    <sheetView zoomScale="85" zoomScaleNormal="85" zoomScaleSheetLayoutView="100" workbookViewId="0">
      <selection activeCell="P48" sqref="P48"/>
    </sheetView>
  </sheetViews>
  <sheetFormatPr defaultColWidth="9.140625" defaultRowHeight="12.75"/>
  <cols>
    <col min="1" max="1" width="9.140625" style="123"/>
    <col min="2" max="2" width="2.7109375" style="123" customWidth="1"/>
    <col min="3" max="3" width="33.5703125" style="123" customWidth="1"/>
    <col min="4" max="4" width="12.7109375" style="123" customWidth="1"/>
    <col min="5" max="5" width="1.7109375" style="123" customWidth="1"/>
    <col min="6" max="6" width="12.7109375" style="123" customWidth="1"/>
    <col min="7" max="7" width="1.7109375" style="123" customWidth="1"/>
    <col min="8" max="8" width="12.7109375" style="123" customWidth="1"/>
    <col min="9" max="9" width="1.7109375" style="123" customWidth="1"/>
    <col min="10" max="10" width="12.7109375" style="123" customWidth="1"/>
    <col min="11" max="11" width="1.7109375" style="123" customWidth="1"/>
    <col min="12" max="12" width="12.7109375" style="123" customWidth="1"/>
    <col min="13" max="13" width="1.7109375" style="123" customWidth="1"/>
    <col min="14" max="14" width="12.7109375" style="123" customWidth="1"/>
    <col min="15" max="16384" width="9.140625" style="123"/>
  </cols>
  <sheetData>
    <row r="2" spans="2:15">
      <c r="B2" s="108"/>
      <c r="C2" s="108"/>
      <c r="D2" s="108"/>
      <c r="E2" s="108"/>
      <c r="F2" s="108"/>
      <c r="G2" s="108"/>
      <c r="H2" s="108"/>
      <c r="I2" s="108"/>
      <c r="J2" s="108"/>
      <c r="K2" s="108"/>
      <c r="L2" s="108"/>
      <c r="M2" s="108"/>
      <c r="N2" s="108"/>
    </row>
    <row r="3" spans="2:15">
      <c r="B3" s="311" t="s">
        <v>71</v>
      </c>
      <c r="C3" s="311"/>
      <c r="D3" s="311"/>
      <c r="E3" s="311"/>
      <c r="F3" s="311"/>
      <c r="G3" s="311"/>
      <c r="H3" s="311"/>
      <c r="I3" s="311"/>
      <c r="J3" s="311"/>
      <c r="K3" s="311"/>
      <c r="L3" s="311"/>
      <c r="M3" s="311"/>
      <c r="N3" s="311"/>
    </row>
    <row r="4" spans="2:15">
      <c r="B4" s="108"/>
      <c r="C4" s="108"/>
      <c r="D4" s="108"/>
      <c r="E4" s="108"/>
      <c r="F4" s="108"/>
      <c r="G4" s="108"/>
      <c r="H4" s="108"/>
      <c r="I4" s="108"/>
      <c r="J4" s="108"/>
      <c r="K4" s="108"/>
      <c r="L4" s="108"/>
      <c r="M4" s="108"/>
      <c r="N4" s="108"/>
    </row>
    <row r="5" spans="2:15">
      <c r="B5" s="108"/>
      <c r="C5" s="108"/>
      <c r="D5" s="312" t="s">
        <v>345</v>
      </c>
      <c r="E5" s="312"/>
      <c r="F5" s="312"/>
      <c r="G5" s="312"/>
      <c r="H5" s="312"/>
      <c r="I5" s="118"/>
      <c r="J5" s="312" t="s">
        <v>318</v>
      </c>
      <c r="K5" s="312"/>
      <c r="L5" s="312"/>
      <c r="M5" s="312"/>
      <c r="N5" s="312"/>
      <c r="O5" s="202"/>
    </row>
    <row r="6" spans="2:15">
      <c r="B6" s="108"/>
      <c r="C6" s="108"/>
      <c r="D6" s="111"/>
      <c r="E6" s="111"/>
      <c r="F6" s="111" t="s">
        <v>63</v>
      </c>
      <c r="G6" s="111"/>
      <c r="H6" s="111"/>
      <c r="I6" s="118"/>
      <c r="J6" s="111"/>
      <c r="K6" s="111"/>
      <c r="L6" s="111" t="s">
        <v>63</v>
      </c>
      <c r="M6" s="111"/>
      <c r="N6" s="111"/>
      <c r="O6" s="202"/>
    </row>
    <row r="7" spans="2:15">
      <c r="B7" s="108"/>
      <c r="C7" s="108"/>
      <c r="D7" s="119" t="s">
        <v>68</v>
      </c>
      <c r="E7" s="111"/>
      <c r="F7" s="111" t="s">
        <v>64</v>
      </c>
      <c r="G7" s="111"/>
      <c r="H7" s="119" t="s">
        <v>69</v>
      </c>
      <c r="I7" s="118"/>
      <c r="J7" s="119" t="s">
        <v>68</v>
      </c>
      <c r="K7" s="111"/>
      <c r="L7" s="111" t="s">
        <v>64</v>
      </c>
      <c r="M7" s="111"/>
      <c r="N7" s="119" t="s">
        <v>69</v>
      </c>
      <c r="O7" s="202"/>
    </row>
    <row r="8" spans="2:15">
      <c r="B8" s="108"/>
      <c r="C8" s="108"/>
      <c r="D8" s="110" t="s">
        <v>66</v>
      </c>
      <c r="E8" s="111"/>
      <c r="F8" s="110" t="s">
        <v>65</v>
      </c>
      <c r="G8" s="111"/>
      <c r="H8" s="110" t="s">
        <v>67</v>
      </c>
      <c r="I8" s="118"/>
      <c r="J8" s="110" t="s">
        <v>66</v>
      </c>
      <c r="K8" s="111"/>
      <c r="L8" s="110" t="s">
        <v>65</v>
      </c>
      <c r="M8" s="111"/>
      <c r="N8" s="110" t="s">
        <v>67</v>
      </c>
      <c r="O8" s="202"/>
    </row>
    <row r="9" spans="2:15">
      <c r="B9" s="108"/>
      <c r="C9" s="108"/>
      <c r="D9" s="111"/>
      <c r="E9" s="111"/>
      <c r="F9" s="111"/>
      <c r="G9" s="111"/>
      <c r="H9" s="313" t="s">
        <v>70</v>
      </c>
      <c r="I9" s="313"/>
      <c r="J9" s="313"/>
      <c r="K9" s="111"/>
      <c r="L9" s="111"/>
      <c r="M9" s="111"/>
      <c r="N9" s="111"/>
      <c r="O9" s="202"/>
    </row>
    <row r="10" spans="2:15">
      <c r="B10" s="108"/>
      <c r="C10" s="108"/>
      <c r="D10" s="111"/>
      <c r="E10" s="111"/>
      <c r="F10" s="111"/>
      <c r="G10" s="111"/>
      <c r="H10" s="111"/>
      <c r="I10" s="118"/>
      <c r="J10" s="111"/>
      <c r="K10" s="111"/>
      <c r="L10" s="111"/>
      <c r="M10" s="111"/>
      <c r="N10" s="111"/>
      <c r="O10" s="202"/>
    </row>
    <row r="11" spans="2:15">
      <c r="B11" s="108"/>
      <c r="C11" s="108" t="s">
        <v>235</v>
      </c>
      <c r="D11" s="203">
        <f>ROUND([12]TOTAL!$F$22,-6)/1000000</f>
        <v>16375</v>
      </c>
      <c r="E11" s="203"/>
      <c r="F11" s="203">
        <f>ROUND([12]TOTAL!$G$22,-6)/1000000</f>
        <v>9047</v>
      </c>
      <c r="G11" s="203"/>
      <c r="H11" s="203">
        <f>ROUND([12]TOTAL!$H$22,-6)/1000000</f>
        <v>2940</v>
      </c>
      <c r="I11" s="108"/>
      <c r="J11" s="203">
        <v>16828</v>
      </c>
      <c r="K11" s="203"/>
      <c r="L11" s="203">
        <v>9716</v>
      </c>
      <c r="M11" s="203"/>
      <c r="N11" s="203">
        <v>3794</v>
      </c>
    </row>
    <row r="12" spans="2:15">
      <c r="B12" s="108"/>
      <c r="C12" s="108" t="s">
        <v>236</v>
      </c>
      <c r="D12" s="115">
        <f>ROUND([13]TOTAL!$F$22,-6)/1000000</f>
        <v>10273</v>
      </c>
      <c r="E12" s="115"/>
      <c r="F12" s="115">
        <f>ROUND([13]TOTAL!$G$22,-6)/1000000</f>
        <v>7264</v>
      </c>
      <c r="G12" s="115"/>
      <c r="H12" s="115">
        <f>ROUND([13]TOTAL!$H$22,-6)/1000000</f>
        <v>4733</v>
      </c>
      <c r="I12" s="108"/>
      <c r="J12" s="115">
        <v>10381</v>
      </c>
      <c r="K12" s="115"/>
      <c r="L12" s="115">
        <v>7470</v>
      </c>
      <c r="M12" s="115"/>
      <c r="N12" s="115">
        <v>5023</v>
      </c>
    </row>
    <row r="13" spans="2:15">
      <c r="B13" s="108"/>
      <c r="C13" s="108"/>
      <c r="D13" s="115"/>
      <c r="E13" s="115"/>
      <c r="F13" s="115"/>
      <c r="G13" s="115"/>
      <c r="H13" s="115"/>
      <c r="I13" s="108"/>
      <c r="J13" s="115"/>
      <c r="K13" s="115"/>
      <c r="L13" s="115"/>
      <c r="M13" s="115"/>
      <c r="N13" s="115"/>
    </row>
  </sheetData>
  <mergeCells count="4">
    <mergeCell ref="B3:N3"/>
    <mergeCell ref="D5:H5"/>
    <mergeCell ref="J5:N5"/>
    <mergeCell ref="H9:J9"/>
  </mergeCells>
  <printOptions horizontalCentered="1"/>
  <pageMargins left="0.5" right="0" top="0.75" bottom="0.5" header="0.25" footer="0.25"/>
  <pageSetup scale="84" orientation="portrait" r:id="rId1"/>
  <headerFooter>
    <oddFooter>&amp;L&amp;Z
&amp;F&amp;CNYC Office of the Actuary&amp;R&amp;D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2CE1B-4CD7-40FF-9CF9-AB6D80997780}">
  <sheetPr>
    <tabColor theme="8" tint="0.59999389629810485"/>
    <pageSetUpPr fitToPage="1"/>
  </sheetPr>
  <dimension ref="B3:N19"/>
  <sheetViews>
    <sheetView showGridLines="0" zoomScale="85" zoomScaleNormal="85" zoomScaleSheetLayoutView="100" workbookViewId="0">
      <selection activeCell="D10" sqref="D10"/>
    </sheetView>
  </sheetViews>
  <sheetFormatPr defaultColWidth="9.140625" defaultRowHeight="12.75"/>
  <cols>
    <col min="1" max="1" width="9.140625" style="108"/>
    <col min="2" max="2" width="2.7109375" style="108" customWidth="1"/>
    <col min="3" max="3" width="45.7109375" style="108" customWidth="1"/>
    <col min="4" max="4" width="11.7109375" style="108" customWidth="1"/>
    <col min="5" max="5" width="1.7109375" style="108" customWidth="1"/>
    <col min="6" max="6" width="11.7109375" style="108" customWidth="1"/>
    <col min="7" max="7" width="1.7109375" style="108" customWidth="1"/>
    <col min="8" max="8" width="11.7109375" style="108" customWidth="1"/>
    <col min="9" max="9" width="1.7109375" style="108" customWidth="1"/>
    <col min="10" max="10" width="11.7109375" style="108" customWidth="1"/>
    <col min="11" max="11" width="1.7109375" style="108" customWidth="1"/>
    <col min="12" max="12" width="11.7109375" style="108" customWidth="1"/>
    <col min="13" max="13" width="1.7109375" style="108" customWidth="1"/>
    <col min="14" max="14" width="11.7109375" style="108" customWidth="1"/>
    <col min="15" max="16384" width="9.140625" style="108"/>
  </cols>
  <sheetData>
    <row r="3" spans="2:14">
      <c r="B3" s="311" t="s">
        <v>73</v>
      </c>
      <c r="C3" s="311"/>
      <c r="D3" s="311"/>
      <c r="E3" s="311"/>
      <c r="F3" s="311"/>
      <c r="G3" s="311"/>
      <c r="H3" s="311"/>
      <c r="I3" s="311"/>
      <c r="J3" s="311"/>
      <c r="K3" s="311"/>
      <c r="L3" s="311"/>
      <c r="M3" s="311"/>
      <c r="N3" s="311"/>
    </row>
    <row r="5" spans="2:14">
      <c r="D5" s="312" t="s">
        <v>345</v>
      </c>
      <c r="E5" s="312"/>
      <c r="F5" s="312"/>
      <c r="G5" s="312"/>
      <c r="H5" s="312"/>
      <c r="I5" s="118"/>
      <c r="J5" s="312" t="s">
        <v>318</v>
      </c>
      <c r="K5" s="312"/>
      <c r="L5" s="312"/>
      <c r="M5" s="312"/>
      <c r="N5" s="312"/>
    </row>
    <row r="6" spans="2:14">
      <c r="D6" s="120" t="s">
        <v>4</v>
      </c>
      <c r="E6" s="111"/>
      <c r="F6" s="120" t="s">
        <v>5</v>
      </c>
      <c r="G6" s="111"/>
      <c r="H6" s="120" t="s">
        <v>6</v>
      </c>
      <c r="I6" s="118"/>
      <c r="J6" s="120" t="s">
        <v>4</v>
      </c>
      <c r="K6" s="111"/>
      <c r="L6" s="120" t="s">
        <v>5</v>
      </c>
      <c r="M6" s="111"/>
      <c r="N6" s="120" t="s">
        <v>6</v>
      </c>
    </row>
    <row r="7" spans="2:14">
      <c r="D7" s="111"/>
      <c r="E7" s="111"/>
      <c r="F7" s="111"/>
      <c r="G7" s="111"/>
      <c r="H7" s="313" t="s">
        <v>74</v>
      </c>
      <c r="I7" s="313"/>
      <c r="J7" s="313"/>
      <c r="K7" s="111"/>
      <c r="L7" s="111"/>
      <c r="M7" s="111"/>
      <c r="N7" s="111"/>
    </row>
    <row r="8" spans="2:14">
      <c r="D8" s="109"/>
      <c r="E8" s="109"/>
      <c r="F8" s="109"/>
      <c r="G8" s="109"/>
      <c r="H8" s="109"/>
      <c r="J8" s="109"/>
      <c r="K8" s="109"/>
      <c r="L8" s="109"/>
      <c r="M8" s="109"/>
      <c r="N8" s="109"/>
    </row>
    <row r="9" spans="2:14">
      <c r="C9" s="108" t="s">
        <v>227</v>
      </c>
      <c r="D9" s="121">
        <f>'[2]15b. SchPenAmtsbyEmpl 6-30-TY'!$C$49/'[2]15b. SchPenAmtsbyEmpl 6-30-TY'!$C$51</f>
        <v>0.59154087612823547</v>
      </c>
      <c r="E9" s="113"/>
      <c r="F9" s="121">
        <f>SUM('[3]15b. SchPenAmtsbyEmpl 6-30-TY'!$E$21,'[3]15b. SchPenAmtsbyEmpl 6-30-TY'!$E$25)/'[3]15b. SchPenAmtsbyEmpl 6-30-TY'!$E$29</f>
        <v>0.96645484631612244</v>
      </c>
      <c r="G9" s="113"/>
      <c r="H9" s="121">
        <f>SUM('[14]15b. SchPenAmtsbyEmpl 6-30-TY'!$C$23,'[14]15b. SchPenAmtsbyEmpl 6-30-TY'!$C$25)/'[14]15b. SchPenAmtsbyEmpl 6-30-TY'!$C$29</f>
        <v>0.99959477089148197</v>
      </c>
      <c r="J9" s="121">
        <v>0.59576982614986196</v>
      </c>
      <c r="K9" s="113"/>
      <c r="L9" s="121">
        <v>0.96884203242425626</v>
      </c>
      <c r="M9" s="113"/>
      <c r="N9" s="121">
        <v>0.99952286608602503</v>
      </c>
    </row>
    <row r="10" spans="2:14">
      <c r="C10" s="108" t="s">
        <v>228</v>
      </c>
      <c r="D10" s="113">
        <f>ROUND('[2]7d.NPL-Chg Obligors @6-30-T (3)'!$K$91,-6)/1000000</f>
        <v>10554</v>
      </c>
      <c r="E10" s="113"/>
      <c r="F10" s="113">
        <f>ROUND('[3]15b. SchPenAmtsbyEmpl 6-30-TY'!$E$21+'[3]15b. SchPenAmtsbyEmpl 6-30-TY'!$E$25,-6)/1000000</f>
        <v>13220</v>
      </c>
      <c r="G10" s="113"/>
      <c r="H10" s="113">
        <f>ROUND('[14]15b. SchPenAmtsbyEmpl 6-30-TY'!$C$23+'[14]15b. SchPenAmtsbyEmpl 6-30-TY'!$C$25,-6)/1000000</f>
        <v>73</v>
      </c>
      <c r="J10" s="113">
        <v>10786</v>
      </c>
      <c r="K10" s="113"/>
      <c r="L10" s="113">
        <v>14253</v>
      </c>
      <c r="M10" s="113"/>
      <c r="N10" s="113">
        <v>124</v>
      </c>
    </row>
    <row r="11" spans="2:14">
      <c r="D11" s="115"/>
      <c r="E11" s="115"/>
      <c r="F11" s="115"/>
      <c r="G11" s="115"/>
      <c r="H11" s="115"/>
      <c r="J11" s="115"/>
      <c r="K11" s="115"/>
      <c r="L11" s="115"/>
      <c r="M11" s="115"/>
      <c r="N11" s="115"/>
    </row>
    <row r="12" spans="2:14">
      <c r="L12" s="204"/>
    </row>
    <row r="19" spans="6:6">
      <c r="F19" s="234"/>
    </row>
  </sheetData>
  <mergeCells count="4">
    <mergeCell ref="B3:N3"/>
    <mergeCell ref="D5:H5"/>
    <mergeCell ref="J5:N5"/>
    <mergeCell ref="H7:J7"/>
  </mergeCells>
  <printOptions horizontalCentered="1"/>
  <pageMargins left="0.5" right="0" top="0.75" bottom="0.5" header="0.25" footer="0.25"/>
  <pageSetup orientation="landscape" r:id="rId1"/>
  <headerFooter>
    <oddHeader xml:space="preserve">&amp;R&amp;"Times New Roman,Bold"&amp;10
</oddHeader>
    <oddFooter>&amp;L&amp;Z
&amp;F&amp;CNYC Office of the Actuary&amp;R&amp;D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19</vt:i4>
      </vt:variant>
    </vt:vector>
  </HeadingPairs>
  <TitlesOfParts>
    <vt:vector size="38" baseType="lpstr">
      <vt:lpstr>1-Page 148</vt:lpstr>
      <vt:lpstr>2-Page 148</vt:lpstr>
      <vt:lpstr>3-Page 148</vt:lpstr>
      <vt:lpstr>4-Page 150</vt:lpstr>
      <vt:lpstr>5-Page 152</vt:lpstr>
      <vt:lpstr>6-Page 153-154</vt:lpstr>
      <vt:lpstr>7-Page 155</vt:lpstr>
      <vt:lpstr>8-Page 155-Bottom</vt:lpstr>
      <vt:lpstr>9-Page 156</vt:lpstr>
      <vt:lpstr>10-Page 156-M</vt:lpstr>
      <vt:lpstr>11-Page 156-Bottom</vt:lpstr>
      <vt:lpstr>13-Page 160</vt:lpstr>
      <vt:lpstr>14-Page 166-167</vt:lpstr>
      <vt:lpstr>15-Page 168-169</vt:lpstr>
      <vt:lpstr>16-Page 170-171</vt:lpstr>
      <vt:lpstr>17-Page 172-173</vt:lpstr>
      <vt:lpstr>18-Page 174-177</vt:lpstr>
      <vt:lpstr>Sheet1</vt:lpstr>
      <vt:lpstr>.</vt:lpstr>
      <vt:lpstr>'.'!Print_Area</vt:lpstr>
      <vt:lpstr>'10-Page 156-M'!Print_Area</vt:lpstr>
      <vt:lpstr>'11-Page 156-Bottom'!Print_Area</vt:lpstr>
      <vt:lpstr>'13-Page 160'!Print_Area</vt:lpstr>
      <vt:lpstr>'14-Page 166-167'!Print_Area</vt:lpstr>
      <vt:lpstr>'15-Page 168-169'!Print_Area</vt:lpstr>
      <vt:lpstr>'16-Page 170-171'!Print_Area</vt:lpstr>
      <vt:lpstr>'17-Page 172-173'!Print_Area</vt:lpstr>
      <vt:lpstr>'18-Page 174-177'!Print_Area</vt:lpstr>
      <vt:lpstr>'1-Page 148'!Print_Area</vt:lpstr>
      <vt:lpstr>'2-Page 148'!Print_Area</vt:lpstr>
      <vt:lpstr>'3-Page 148'!Print_Area</vt:lpstr>
      <vt:lpstr>'4-Page 150'!Print_Area</vt:lpstr>
      <vt:lpstr>'5-Page 152'!Print_Area</vt:lpstr>
      <vt:lpstr>'6-Page 153-154'!Print_Area</vt:lpstr>
      <vt:lpstr>'7-Page 155'!Print_Area</vt:lpstr>
      <vt:lpstr>'8-Page 155-Bottom'!Print_Area</vt:lpstr>
      <vt:lpstr>'9-Page 156'!Print_Area</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Huynh</dc:creator>
  <cp:lastModifiedBy>Jeffers-Beaubrun, Yvonne</cp:lastModifiedBy>
  <cp:lastPrinted>2023-10-05T15:48:28Z</cp:lastPrinted>
  <dcterms:created xsi:type="dcterms:W3CDTF">2020-07-06T21:24:23Z</dcterms:created>
  <dcterms:modified xsi:type="dcterms:W3CDTF">2023-10-12T19:04:57Z</dcterms:modified>
</cp:coreProperties>
</file>