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6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E8E2D607-81DB-4FBC-BC56-69B16E329907}" xr6:coauthVersionLast="43" xr6:coauthVersionMax="43" xr10:uidLastSave="{00000000-0000-0000-0000-000000000000}"/>
  <bookViews>
    <workbookView xWindow="-23148" yWindow="-108" windowWidth="23256" windowHeight="12576" tabRatio="882" activeTab="1" xr2:uid="{00000000-000D-0000-FFFF-FFFF00000000}"/>
  </bookViews>
  <sheets>
    <sheet name="LOG" sheetId="16" r:id="rId1"/>
    <sheet name="SLRatioImport" sheetId="2" r:id="rId2"/>
    <sheet name="SLRatio" sheetId="19" r:id="rId3"/>
    <sheet name="Report &amp; Lookup Table" sheetId="6" r:id="rId4"/>
    <sheet name="SEAK" sheetId="18" r:id="rId5"/>
    <sheet name="Canada" sheetId="14" r:id="rId6"/>
    <sheet name="PFMCtroll" sheetId="15" r:id="rId7"/>
    <sheet name="PFMCsport" sheetId="13" r:id="rId8"/>
    <sheet name="Creel (MSF) Data" sheetId="7" r:id="rId9"/>
    <sheet name="Baseline (NS) Data" sheetId="1" r:id="rId10"/>
    <sheet name="tblFishery" sheetId="5" r:id="rId11"/>
    <sheet name="Workup" sheetId="4" r:id="rId12"/>
    <sheet name="scratch" sheetId="8" r:id="rId13"/>
    <sheet name="scratchII" sheetId="9" r:id="rId14"/>
    <sheet name="scratchIII" sheetId="10" r:id="rId15"/>
  </sheets>
  <definedNames>
    <definedName name="_xlnm._FilterDatabase" localSheetId="5" hidden="1">Canada!$A$7:$H$79</definedName>
    <definedName name="_xlnm._FilterDatabase" localSheetId="6" hidden="1">PFMCtroll!#REF!</definedName>
    <definedName name="_xlnm._FilterDatabase" localSheetId="4" hidden="1">SEAK!#REF!</definedName>
    <definedName name="_xlnm._FilterDatabase" localSheetId="1" hidden="1">SLRatioImport!$A$4:$C$102</definedName>
    <definedName name="_xlnm.Print_Area" localSheetId="3">'Report &amp; Lookup Table'!$B$1:$I$48</definedName>
  </definedNames>
  <calcPr calcId="191029"/>
  <pivotCaches>
    <pivotCache cacheId="176" r:id="rId16"/>
    <pivotCache cacheId="177" r:id="rId17"/>
    <pivotCache cacheId="178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2" l="1"/>
  <c r="C93" i="2"/>
  <c r="C94" i="2"/>
  <c r="C95" i="2"/>
  <c r="C96" i="2"/>
  <c r="C97" i="2"/>
  <c r="C98" i="2"/>
  <c r="C99" i="2"/>
  <c r="C100" i="2"/>
  <c r="C101" i="2"/>
  <c r="C102" i="2"/>
  <c r="C83" i="2"/>
  <c r="C84" i="2"/>
  <c r="C85" i="2"/>
  <c r="C86" i="2"/>
  <c r="C87" i="2"/>
  <c r="C88" i="2"/>
  <c r="C89" i="2"/>
  <c r="C90" i="2"/>
  <c r="C91" i="2"/>
  <c r="C73" i="2"/>
  <c r="C74" i="2"/>
  <c r="C75" i="2"/>
  <c r="C76" i="2"/>
  <c r="C77" i="2"/>
  <c r="C78" i="2"/>
  <c r="C79" i="2"/>
  <c r="C80" i="2"/>
  <c r="C81" i="2"/>
  <c r="C82" i="2"/>
  <c r="C66" i="2"/>
  <c r="C67" i="2"/>
  <c r="C68" i="2"/>
  <c r="C69" i="2"/>
  <c r="C70" i="2"/>
  <c r="C71" i="2"/>
  <c r="C72" i="2"/>
  <c r="C57" i="2"/>
  <c r="C58" i="2"/>
  <c r="C59" i="2"/>
  <c r="C60" i="2"/>
  <c r="C61" i="2"/>
  <c r="C62" i="2"/>
  <c r="C63" i="2"/>
  <c r="C64" i="2"/>
  <c r="C6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5" i="2"/>
  <c r="C36" i="2"/>
  <c r="C37" i="2"/>
  <c r="C38" i="2"/>
  <c r="C39" i="2"/>
  <c r="C40" i="2"/>
  <c r="C41" i="2"/>
  <c r="C32" i="2"/>
  <c r="C33" i="2"/>
  <c r="C34" i="2"/>
  <c r="C29" i="2"/>
  <c r="C30" i="2"/>
  <c r="C31" i="2"/>
  <c r="C26" i="2"/>
  <c r="C27" i="2"/>
  <c r="C28" i="2"/>
  <c r="C20" i="2"/>
  <c r="C21" i="2"/>
  <c r="C22" i="2"/>
  <c r="C23" i="2"/>
  <c r="C24" i="2"/>
  <c r="C25" i="2"/>
  <c r="C17" i="2"/>
  <c r="C18" i="2"/>
  <c r="C19" i="2"/>
  <c r="C15" i="2"/>
  <c r="C16" i="2"/>
  <c r="C14" i="2"/>
  <c r="C13" i="2"/>
  <c r="C12" i="2"/>
  <c r="C11" i="2"/>
  <c r="C10" i="2"/>
  <c r="C9" i="2"/>
  <c r="C8" i="2"/>
  <c r="C7" i="2"/>
  <c r="C6" i="2"/>
  <c r="C5" i="2"/>
  <c r="F40" i="6"/>
  <c r="F39" i="6"/>
  <c r="E41" i="6"/>
  <c r="E40" i="6"/>
  <c r="D40" i="6"/>
  <c r="E39" i="6"/>
  <c r="D39" i="6"/>
  <c r="E37" i="6"/>
  <c r="E36" i="6"/>
  <c r="E35" i="6"/>
  <c r="F34" i="6"/>
  <c r="E34" i="6"/>
  <c r="E33" i="6"/>
  <c r="E30" i="6"/>
  <c r="E32" i="6"/>
  <c r="F119" i="7" l="1"/>
  <c r="E119" i="7"/>
  <c r="G119" i="7" s="1"/>
  <c r="F118" i="7"/>
  <c r="E118" i="7"/>
  <c r="G118" i="7" s="1"/>
  <c r="M12" i="18"/>
  <c r="J9" i="14"/>
  <c r="K3" i="18"/>
  <c r="F17" i="14" l="1"/>
  <c r="E17" i="14"/>
  <c r="E26" i="14"/>
  <c r="E35" i="14"/>
  <c r="F44" i="14"/>
  <c r="E44" i="14"/>
  <c r="E62" i="14"/>
  <c r="E71" i="14"/>
  <c r="F11" i="14"/>
  <c r="E11" i="14"/>
  <c r="F20" i="14"/>
  <c r="E20" i="14"/>
  <c r="F29" i="14"/>
  <c r="E29" i="14"/>
  <c r="F38" i="14"/>
  <c r="E38" i="14"/>
  <c r="F47" i="14"/>
  <c r="E47" i="14"/>
  <c r="F56" i="14"/>
  <c r="E56" i="14"/>
  <c r="F65" i="14"/>
  <c r="E65" i="14"/>
  <c r="F74" i="14"/>
  <c r="E74" i="14"/>
  <c r="D74" i="14" l="1"/>
  <c r="J74" i="14" s="1"/>
  <c r="D65" i="14"/>
  <c r="D56" i="14"/>
  <c r="D47" i="14"/>
  <c r="D38" i="14"/>
  <c r="D29" i="14"/>
  <c r="D20" i="14"/>
  <c r="D11" i="14"/>
  <c r="D71" i="14"/>
  <c r="D62" i="14"/>
  <c r="D53" i="14"/>
  <c r="D44" i="14"/>
  <c r="D35" i="14"/>
  <c r="D26" i="14"/>
  <c r="D17" i="14"/>
  <c r="E8" i="14"/>
  <c r="D8" i="14"/>
  <c r="M119" i="1" l="1"/>
  <c r="M111" i="1"/>
  <c r="O100" i="1"/>
  <c r="M100" i="1"/>
  <c r="J10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H129" i="1"/>
  <c r="G129" i="1" s="1"/>
  <c r="H128" i="1"/>
  <c r="G128" i="1" s="1"/>
  <c r="H127" i="1"/>
  <c r="G127" i="1"/>
  <c r="H126" i="1"/>
  <c r="G126" i="1" s="1"/>
  <c r="H124" i="1"/>
  <c r="G124" i="1" s="1"/>
  <c r="H123" i="1"/>
  <c r="O119" i="1" s="1"/>
  <c r="H122" i="1"/>
  <c r="G122" i="1"/>
  <c r="H121" i="1"/>
  <c r="G121" i="1" s="1"/>
  <c r="H120" i="1"/>
  <c r="G120" i="1" s="1"/>
  <c r="H119" i="1"/>
  <c r="G119" i="1"/>
  <c r="H118" i="1"/>
  <c r="G118" i="1"/>
  <c r="H117" i="1"/>
  <c r="G117" i="1" s="1"/>
  <c r="H116" i="1"/>
  <c r="G116" i="1" s="1"/>
  <c r="H115" i="1"/>
  <c r="J111" i="1" s="1"/>
  <c r="H114" i="1"/>
  <c r="G114" i="1"/>
  <c r="H113" i="1"/>
  <c r="G113" i="1" s="1"/>
  <c r="H112" i="1"/>
  <c r="G112" i="1" s="1"/>
  <c r="H111" i="1"/>
  <c r="G111" i="1"/>
  <c r="H104" i="1"/>
  <c r="G104" i="1" s="1"/>
  <c r="H105" i="1"/>
  <c r="G105" i="1" s="1"/>
  <c r="H106" i="1"/>
  <c r="G106" i="1" s="1"/>
  <c r="H101" i="1"/>
  <c r="G101" i="1" s="1"/>
  <c r="H102" i="1"/>
  <c r="G102" i="1" s="1"/>
  <c r="H103" i="1"/>
  <c r="G103" i="1" s="1"/>
  <c r="H107" i="1"/>
  <c r="G107" i="1" s="1"/>
  <c r="H108" i="1"/>
  <c r="G108" i="1" s="1"/>
  <c r="G109" i="1"/>
  <c r="H109" i="1"/>
  <c r="H110" i="1"/>
  <c r="G110" i="1" s="1"/>
  <c r="H100" i="1"/>
  <c r="G100" i="1" s="1"/>
  <c r="H88" i="1"/>
  <c r="F89" i="1"/>
  <c r="C331" i="19"/>
  <c r="D331" i="19"/>
  <c r="C332" i="19"/>
  <c r="C336" i="19" s="1"/>
  <c r="C340" i="19" s="1"/>
  <c r="D332" i="19"/>
  <c r="D336" i="19" s="1"/>
  <c r="C333" i="19"/>
  <c r="C337" i="19" s="1"/>
  <c r="C341" i="19" s="1"/>
  <c r="D333" i="19"/>
  <c r="D337" i="19" s="1"/>
  <c r="D341" i="19" s="1"/>
  <c r="D334" i="19"/>
  <c r="D338" i="19" s="1"/>
  <c r="C335" i="19"/>
  <c r="C339" i="19" s="1"/>
  <c r="D330" i="19"/>
  <c r="C330" i="19"/>
  <c r="C334" i="19" s="1"/>
  <c r="C338" i="19" s="1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B251" i="19"/>
  <c r="B267" i="19" s="1"/>
  <c r="B283" i="19" s="1"/>
  <c r="B252" i="19"/>
  <c r="B253" i="19"/>
  <c r="B254" i="19"/>
  <c r="B255" i="19"/>
  <c r="B271" i="19" s="1"/>
  <c r="B287" i="19" s="1"/>
  <c r="B256" i="19"/>
  <c r="B257" i="19"/>
  <c r="B273" i="19" s="1"/>
  <c r="B289" i="19" s="1"/>
  <c r="B258" i="19"/>
  <c r="B259" i="19"/>
  <c r="B260" i="19"/>
  <c r="B276" i="19" s="1"/>
  <c r="B292" i="19" s="1"/>
  <c r="B261" i="19"/>
  <c r="B277" i="19" s="1"/>
  <c r="B262" i="19"/>
  <c r="B278" i="19" s="1"/>
  <c r="B294" i="19" s="1"/>
  <c r="B263" i="19"/>
  <c r="B279" i="19" s="1"/>
  <c r="B295" i="19" s="1"/>
  <c r="B264" i="19"/>
  <c r="B265" i="19"/>
  <c r="B268" i="19"/>
  <c r="B269" i="19"/>
  <c r="B285" i="19" s="1"/>
  <c r="B270" i="19"/>
  <c r="B272" i="19"/>
  <c r="B288" i="19" s="1"/>
  <c r="B274" i="19"/>
  <c r="B290" i="19" s="1"/>
  <c r="B275" i="19"/>
  <c r="B291" i="19" s="1"/>
  <c r="B280" i="19"/>
  <c r="B281" i="19"/>
  <c r="B297" i="19" s="1"/>
  <c r="B284" i="19"/>
  <c r="B286" i="19"/>
  <c r="B296" i="19"/>
  <c r="B250" i="19"/>
  <c r="B266" i="19" s="1"/>
  <c r="B282" i="19" s="1"/>
  <c r="C251" i="19"/>
  <c r="C267" i="19" s="1"/>
  <c r="C283" i="19" s="1"/>
  <c r="D251" i="19"/>
  <c r="C252" i="19"/>
  <c r="D252" i="19"/>
  <c r="E252" i="19" s="1"/>
  <c r="C253" i="19"/>
  <c r="D253" i="19"/>
  <c r="E253" i="19" s="1"/>
  <c r="C254" i="19"/>
  <c r="C270" i="19" s="1"/>
  <c r="C286" i="19" s="1"/>
  <c r="D254" i="19"/>
  <c r="E254" i="19" s="1"/>
  <c r="C255" i="19"/>
  <c r="D255" i="19"/>
  <c r="C256" i="19"/>
  <c r="D256" i="19"/>
  <c r="E256" i="19" s="1"/>
  <c r="C257" i="19"/>
  <c r="C273" i="19" s="1"/>
  <c r="C289" i="19" s="1"/>
  <c r="D257" i="19"/>
  <c r="C258" i="19"/>
  <c r="D258" i="19"/>
  <c r="E258" i="19" s="1"/>
  <c r="C259" i="19"/>
  <c r="D259" i="19"/>
  <c r="E259" i="19" s="1"/>
  <c r="C260" i="19"/>
  <c r="C276" i="19" s="1"/>
  <c r="C292" i="19" s="1"/>
  <c r="D260" i="19"/>
  <c r="E260" i="19" s="1"/>
  <c r="C261" i="19"/>
  <c r="D261" i="19"/>
  <c r="C262" i="19"/>
  <c r="D262" i="19"/>
  <c r="E262" i="19" s="1"/>
  <c r="C263" i="19"/>
  <c r="C279" i="19" s="1"/>
  <c r="C295" i="19" s="1"/>
  <c r="D263" i="19"/>
  <c r="C264" i="19"/>
  <c r="D264" i="19"/>
  <c r="E264" i="19" s="1"/>
  <c r="C265" i="19"/>
  <c r="D265" i="19"/>
  <c r="E265" i="19" s="1"/>
  <c r="C266" i="19"/>
  <c r="C282" i="19" s="1"/>
  <c r="D267" i="19"/>
  <c r="C268" i="19"/>
  <c r="C284" i="19" s="1"/>
  <c r="D268" i="19"/>
  <c r="E268" i="19" s="1"/>
  <c r="C269" i="19"/>
  <c r="C285" i="19" s="1"/>
  <c r="D269" i="19"/>
  <c r="D270" i="19"/>
  <c r="E270" i="19" s="1"/>
  <c r="C271" i="19"/>
  <c r="C287" i="19" s="1"/>
  <c r="D271" i="19"/>
  <c r="C272" i="19"/>
  <c r="C288" i="19" s="1"/>
  <c r="D272" i="19"/>
  <c r="E272" i="19" s="1"/>
  <c r="D273" i="19"/>
  <c r="D289" i="19" s="1"/>
  <c r="C274" i="19"/>
  <c r="C290" i="19" s="1"/>
  <c r="D274" i="19"/>
  <c r="E274" i="19" s="1"/>
  <c r="C275" i="19"/>
  <c r="C291" i="19" s="1"/>
  <c r="D276" i="19"/>
  <c r="C277" i="19"/>
  <c r="C293" i="19" s="1"/>
  <c r="D277" i="19"/>
  <c r="D293" i="19" s="1"/>
  <c r="C278" i="19"/>
  <c r="C294" i="19" s="1"/>
  <c r="D278" i="19"/>
  <c r="D294" i="19" s="1"/>
  <c r="E294" i="19" s="1"/>
  <c r="D279" i="19"/>
  <c r="C280" i="19"/>
  <c r="C296" i="19" s="1"/>
  <c r="D280" i="19"/>
  <c r="E280" i="19" s="1"/>
  <c r="C281" i="19"/>
  <c r="C297" i="19" s="1"/>
  <c r="D284" i="19"/>
  <c r="E284" i="19" s="1"/>
  <c r="D286" i="19"/>
  <c r="E286" i="19" s="1"/>
  <c r="D292" i="19"/>
  <c r="D296" i="19"/>
  <c r="E296" i="19" s="1"/>
  <c r="D250" i="19"/>
  <c r="D266" i="19" s="1"/>
  <c r="C250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34" i="19"/>
  <c r="E266" i="19" l="1"/>
  <c r="D282" i="19"/>
  <c r="E282" i="19" s="1"/>
  <c r="D340" i="19"/>
  <c r="E277" i="19"/>
  <c r="B293" i="19"/>
  <c r="E293" i="19" s="1"/>
  <c r="E261" i="19"/>
  <c r="K111" i="1"/>
  <c r="E271" i="19"/>
  <c r="E250" i="19"/>
  <c r="L111" i="1"/>
  <c r="D335" i="19"/>
  <c r="I100" i="1"/>
  <c r="N111" i="1"/>
  <c r="E276" i="19"/>
  <c r="O111" i="1"/>
  <c r="D281" i="19"/>
  <c r="E281" i="19" s="1"/>
  <c r="D275" i="19"/>
  <c r="E275" i="19" s="1"/>
  <c r="E269" i="19"/>
  <c r="E263" i="19"/>
  <c r="E257" i="19"/>
  <c r="E251" i="19"/>
  <c r="K100" i="1"/>
  <c r="I119" i="1"/>
  <c r="L100" i="1"/>
  <c r="J119" i="1"/>
  <c r="G115" i="1"/>
  <c r="G123" i="1"/>
  <c r="K119" i="1"/>
  <c r="E292" i="19"/>
  <c r="D290" i="19"/>
  <c r="E290" i="19" s="1"/>
  <c r="L119" i="1"/>
  <c r="E279" i="19"/>
  <c r="E289" i="19"/>
  <c r="E267" i="19"/>
  <c r="E255" i="19"/>
  <c r="N100" i="1"/>
  <c r="D288" i="19"/>
  <c r="E288" i="19" s="1"/>
  <c r="I111" i="1"/>
  <c r="N119" i="1"/>
  <c r="E278" i="19"/>
  <c r="E273" i="19"/>
  <c r="D297" i="19"/>
  <c r="E297" i="19" s="1"/>
  <c r="D295" i="19"/>
  <c r="E295" i="19" s="1"/>
  <c r="D291" i="19"/>
  <c r="E291" i="19" s="1"/>
  <c r="D287" i="19"/>
  <c r="E287" i="19" s="1"/>
  <c r="D285" i="19"/>
  <c r="E285" i="19" s="1"/>
  <c r="D283" i="19"/>
  <c r="E283" i="19" s="1"/>
  <c r="D339" i="19" l="1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09" i="19"/>
  <c r="E208" i="19"/>
  <c r="E207" i="19"/>
  <c r="E206" i="19"/>
  <c r="E205" i="19"/>
  <c r="E204" i="19"/>
  <c r="E203" i="19"/>
  <c r="E202" i="19"/>
  <c r="H8" i="1" l="1"/>
  <c r="K9" i="14"/>
  <c r="D90" i="14"/>
  <c r="L3" i="18"/>
  <c r="M3" i="18" l="1"/>
  <c r="M18" i="13"/>
  <c r="M13" i="13"/>
  <c r="L13" i="13"/>
  <c r="M12" i="13"/>
  <c r="T12" i="13"/>
  <c r="S12" i="13"/>
  <c r="S13" i="13"/>
  <c r="T13" i="13"/>
  <c r="E12" i="13"/>
  <c r="F12" i="13"/>
  <c r="F13" i="13"/>
  <c r="E13" i="13"/>
  <c r="E14" i="13"/>
  <c r="G114" i="7" l="1"/>
  <c r="F56" i="7" l="1"/>
  <c r="E56" i="7"/>
  <c r="G56" i="7" s="1"/>
  <c r="G29" i="7"/>
  <c r="F16" i="7"/>
  <c r="E16" i="7"/>
  <c r="G16" i="7" s="1"/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U5" i="18" l="1"/>
  <c r="U6" i="18"/>
  <c r="U7" i="18"/>
  <c r="U9" i="18"/>
  <c r="M8" i="18"/>
  <c r="M4" i="18"/>
  <c r="M9" i="18"/>
  <c r="M6" i="18"/>
  <c r="U3" i="18"/>
  <c r="M5" i="18"/>
  <c r="U8" i="18"/>
  <c r="U4" i="18"/>
  <c r="M10" i="18"/>
  <c r="M7" i="18"/>
  <c r="U10" i="18"/>
  <c r="D6" i="6" l="1"/>
  <c r="F6" i="6" s="1"/>
  <c r="U12" i="18"/>
  <c r="D7" i="6" s="1"/>
  <c r="E18" i="19" l="1"/>
  <c r="E26" i="19"/>
  <c r="E30" i="19"/>
  <c r="E22" i="19"/>
  <c r="G6" i="6"/>
  <c r="E13" i="19" s="1"/>
  <c r="E6" i="6"/>
  <c r="E3" i="19" s="1"/>
  <c r="E12" i="19"/>
  <c r="E4" i="19"/>
  <c r="E8" i="19"/>
  <c r="E16" i="19"/>
  <c r="E11" i="19"/>
  <c r="E15" i="19"/>
  <c r="E7" i="19"/>
  <c r="E5" i="19"/>
  <c r="E6" i="19"/>
  <c r="E10" i="19"/>
  <c r="E2" i="19"/>
  <c r="E14" i="19"/>
  <c r="G7" i="6"/>
  <c r="F7" i="6"/>
  <c r="E7" i="6"/>
  <c r="D82" i="14"/>
  <c r="K79" i="14"/>
  <c r="J79" i="14"/>
  <c r="K78" i="14"/>
  <c r="J78" i="14"/>
  <c r="K77" i="14"/>
  <c r="J77" i="14"/>
  <c r="K76" i="14"/>
  <c r="J76" i="14"/>
  <c r="K75" i="14"/>
  <c r="J75" i="14"/>
  <c r="K74" i="14"/>
  <c r="K73" i="14"/>
  <c r="J73" i="14"/>
  <c r="K72" i="14"/>
  <c r="J72" i="14"/>
  <c r="K71" i="14"/>
  <c r="J71" i="14"/>
  <c r="E17" i="19" l="1"/>
  <c r="E9" i="19"/>
  <c r="E28" i="19"/>
  <c r="E20" i="19"/>
  <c r="E32" i="19"/>
  <c r="E24" i="19"/>
  <c r="E29" i="19"/>
  <c r="E21" i="19"/>
  <c r="E33" i="19"/>
  <c r="E25" i="19"/>
  <c r="E27" i="19"/>
  <c r="E19" i="19"/>
  <c r="E23" i="19"/>
  <c r="E31" i="19"/>
  <c r="L30" i="13"/>
  <c r="S33" i="13"/>
  <c r="T33" i="13"/>
  <c r="L33" i="13"/>
  <c r="M33" i="13"/>
  <c r="E33" i="13"/>
  <c r="F33" i="13"/>
  <c r="T32" i="13"/>
  <c r="S32" i="13"/>
  <c r="T31" i="13"/>
  <c r="S31" i="13"/>
  <c r="T30" i="13"/>
  <c r="S30" i="13"/>
  <c r="T29" i="13"/>
  <c r="S29" i="13"/>
  <c r="M32" i="13"/>
  <c r="L32" i="13"/>
  <c r="M31" i="13"/>
  <c r="L31" i="13"/>
  <c r="M30" i="13"/>
  <c r="M29" i="13"/>
  <c r="L29" i="13"/>
  <c r="F32" i="13"/>
  <c r="E32" i="13"/>
  <c r="F31" i="13"/>
  <c r="E31" i="13"/>
  <c r="F30" i="13"/>
  <c r="E30" i="13"/>
  <c r="F29" i="13"/>
  <c r="E29" i="13"/>
  <c r="S25" i="13" l="1"/>
  <c r="T25" i="13"/>
  <c r="S26" i="13"/>
  <c r="T26" i="13"/>
  <c r="S27" i="13"/>
  <c r="T27" i="13"/>
  <c r="S28" i="13"/>
  <c r="T28" i="13"/>
  <c r="S14" i="13"/>
  <c r="T14" i="13"/>
  <c r="S15" i="13"/>
  <c r="T15" i="13"/>
  <c r="S16" i="13"/>
  <c r="T16" i="13"/>
  <c r="S17" i="13"/>
  <c r="T17" i="13"/>
  <c r="S18" i="13"/>
  <c r="T18" i="13"/>
  <c r="L25" i="13"/>
  <c r="M25" i="13"/>
  <c r="L26" i="13"/>
  <c r="M26" i="13"/>
  <c r="L27" i="13"/>
  <c r="M27" i="13"/>
  <c r="L28" i="13"/>
  <c r="M28" i="13"/>
  <c r="L14" i="13"/>
  <c r="M14" i="13"/>
  <c r="L15" i="13"/>
  <c r="M15" i="13"/>
  <c r="L16" i="13"/>
  <c r="M16" i="13"/>
  <c r="L17" i="13"/>
  <c r="M17" i="13"/>
  <c r="L18" i="13"/>
  <c r="T24" i="13"/>
  <c r="S24" i="13"/>
  <c r="M24" i="13"/>
  <c r="L24" i="13"/>
  <c r="F25" i="13"/>
  <c r="F26" i="13"/>
  <c r="F27" i="13"/>
  <c r="F28" i="13"/>
  <c r="F34" i="13" s="1"/>
  <c r="F18" i="6" s="1"/>
  <c r="F14" i="13"/>
  <c r="F15" i="13"/>
  <c r="F16" i="13"/>
  <c r="F17" i="13"/>
  <c r="F18" i="13"/>
  <c r="F24" i="13"/>
  <c r="E25" i="13"/>
  <c r="E26" i="13"/>
  <c r="E27" i="13"/>
  <c r="E28" i="13"/>
  <c r="E15" i="13"/>
  <c r="E16" i="13"/>
  <c r="E17" i="13"/>
  <c r="E18" i="13"/>
  <c r="E24" i="13"/>
  <c r="AN4" i="13"/>
  <c r="AH4" i="13"/>
  <c r="AN7" i="13"/>
  <c r="AN6" i="13"/>
  <c r="E177" i="19" l="1"/>
  <c r="E175" i="19"/>
  <c r="E173" i="19"/>
  <c r="E171" i="19"/>
  <c r="M34" i="13"/>
  <c r="T19" i="13"/>
  <c r="E23" i="6" s="1"/>
  <c r="F19" i="13"/>
  <c r="M19" i="13"/>
  <c r="E21" i="6" s="1"/>
  <c r="T34" i="13"/>
  <c r="F23" i="6" s="1"/>
  <c r="F21" i="6"/>
  <c r="E18" i="6"/>
  <c r="E201" i="19" l="1"/>
  <c r="E199" i="19"/>
  <c r="E197" i="19"/>
  <c r="E195" i="19"/>
  <c r="E212" i="19"/>
  <c r="E214" i="19"/>
  <c r="E216" i="19"/>
  <c r="E210" i="19"/>
  <c r="E176" i="19"/>
  <c r="E172" i="19"/>
  <c r="E174" i="19"/>
  <c r="E170" i="19"/>
  <c r="E194" i="19"/>
  <c r="E200" i="19"/>
  <c r="E198" i="19"/>
  <c r="E196" i="19"/>
  <c r="E215" i="19"/>
  <c r="E213" i="19"/>
  <c r="E211" i="19"/>
  <c r="E217" i="19"/>
  <c r="M76" i="1"/>
  <c r="L82" i="1"/>
  <c r="M82" i="1" s="1"/>
  <c r="H85" i="1" s="1"/>
  <c r="G85" i="1" s="1"/>
  <c r="K82" i="1"/>
  <c r="F42" i="6"/>
  <c r="D38" i="6"/>
  <c r="D41" i="6"/>
  <c r="E38" i="6"/>
  <c r="E42" i="6"/>
  <c r="E407" i="19" l="1"/>
  <c r="E415" i="19"/>
  <c r="E403" i="19"/>
  <c r="E411" i="19"/>
  <c r="E406" i="19"/>
  <c r="E414" i="19"/>
  <c r="E402" i="19"/>
  <c r="E410" i="19"/>
  <c r="E418" i="19"/>
  <c r="E427" i="19"/>
  <c r="E421" i="19"/>
  <c r="E424" i="19"/>
  <c r="E444" i="19"/>
  <c r="E440" i="19"/>
  <c r="E436" i="19"/>
  <c r="E432" i="19"/>
  <c r="E439" i="19"/>
  <c r="E435" i="19"/>
  <c r="E443" i="19"/>
  <c r="E431" i="19"/>
  <c r="G41" i="6"/>
  <c r="E426" i="19" l="1"/>
  <c r="E429" i="19"/>
  <c r="E420" i="19"/>
  <c r="E423" i="19"/>
  <c r="M59" i="1"/>
  <c r="M47" i="1"/>
  <c r="M3" i="1"/>
  <c r="G116" i="7" l="1"/>
  <c r="G117" i="7"/>
  <c r="G115" i="7"/>
  <c r="G59" i="7"/>
  <c r="G60" i="7"/>
  <c r="G61" i="7"/>
  <c r="G62" i="7"/>
  <c r="G64" i="7"/>
  <c r="G65" i="7"/>
  <c r="G58" i="7"/>
  <c r="G57" i="7"/>
  <c r="G107" i="7"/>
  <c r="G69" i="7"/>
  <c r="G98" i="7"/>
  <c r="G89" i="7"/>
  <c r="G78" i="7"/>
  <c r="G47" i="7" l="1"/>
  <c r="G38" i="7"/>
  <c r="F99" i="1" l="1"/>
  <c r="F98" i="1"/>
  <c r="F97" i="1"/>
  <c r="F96" i="1"/>
  <c r="F95" i="1"/>
  <c r="F94" i="1"/>
  <c r="F93" i="1"/>
  <c r="F92" i="1"/>
  <c r="H91" i="1"/>
  <c r="G91" i="1" s="1"/>
  <c r="F91" i="1"/>
  <c r="H70" i="1"/>
  <c r="G70" i="1" s="1"/>
  <c r="F70" i="1"/>
  <c r="F86" i="1" l="1"/>
  <c r="F85" i="1"/>
  <c r="H84" i="1"/>
  <c r="G84" i="1" s="1"/>
  <c r="F84" i="1"/>
  <c r="I43" i="1"/>
  <c r="I42" i="1"/>
  <c r="I41" i="1"/>
  <c r="I40" i="1"/>
  <c r="I44" i="1"/>
  <c r="H57" i="1"/>
  <c r="G57" i="1" s="1"/>
  <c r="F57" i="1"/>
  <c r="H69" i="1"/>
  <c r="G69" i="1" s="1"/>
  <c r="F69" i="1"/>
  <c r="H68" i="1"/>
  <c r="G68" i="1" s="1"/>
  <c r="F68" i="1"/>
  <c r="F14" i="1"/>
  <c r="H14" i="1"/>
  <c r="G14" i="1" s="1"/>
  <c r="G113" i="7" l="1"/>
  <c r="G28" i="7"/>
  <c r="G27" i="7"/>
  <c r="G96" i="7" l="1"/>
  <c r="G97" i="7"/>
  <c r="G87" i="7"/>
  <c r="G88" i="7"/>
  <c r="G76" i="7" l="1"/>
  <c r="G77" i="7"/>
  <c r="G68" i="7"/>
  <c r="G67" i="7"/>
  <c r="G66" i="7"/>
  <c r="G15" i="7"/>
  <c r="G37" i="7"/>
  <c r="G46" i="7"/>
  <c r="G55" i="7"/>
  <c r="G26" i="7"/>
  <c r="O6" i="15" l="1"/>
  <c r="O24" i="15" s="1"/>
  <c r="P6" i="15"/>
  <c r="V6" i="15"/>
  <c r="V24" i="15" s="1"/>
  <c r="W6" i="15"/>
  <c r="O7" i="15"/>
  <c r="P7" i="15"/>
  <c r="V7" i="15"/>
  <c r="V25" i="15" s="1"/>
  <c r="W7" i="15"/>
  <c r="Q8" i="15"/>
  <c r="R8" i="15"/>
  <c r="V8" i="15"/>
  <c r="V26" i="15" s="1"/>
  <c r="W8" i="15"/>
  <c r="O9" i="15"/>
  <c r="O27" i="15" s="1"/>
  <c r="P9" i="15"/>
  <c r="V9" i="15"/>
  <c r="V27" i="15" s="1"/>
  <c r="W9" i="15"/>
  <c r="V10" i="15"/>
  <c r="W10" i="15"/>
  <c r="O11" i="15"/>
  <c r="O29" i="15" s="1"/>
  <c r="P11" i="15"/>
  <c r="X11" i="15"/>
  <c r="Y11" i="15"/>
  <c r="Q16" i="15"/>
  <c r="Q21" i="15" s="1"/>
  <c r="R16" i="15"/>
  <c r="R21" i="15" s="1"/>
  <c r="X16" i="15"/>
  <c r="Y16" i="15"/>
  <c r="V19" i="15"/>
  <c r="W19" i="15"/>
  <c r="V20" i="15"/>
  <c r="V29" i="15" s="1"/>
  <c r="W20" i="15"/>
  <c r="O21" i="15"/>
  <c r="P21" i="15"/>
  <c r="O26" i="15"/>
  <c r="P26" i="15"/>
  <c r="O28" i="15"/>
  <c r="P28" i="15"/>
  <c r="R26" i="15" l="1"/>
  <c r="Q26" i="15"/>
  <c r="Q11" i="15"/>
  <c r="X8" i="15"/>
  <c r="X19" i="15"/>
  <c r="Q9" i="15"/>
  <c r="R7" i="15"/>
  <c r="X10" i="15"/>
  <c r="X7" i="15"/>
  <c r="Y7" i="15"/>
  <c r="Y20" i="15"/>
  <c r="X20" i="15"/>
  <c r="R6" i="15"/>
  <c r="V21" i="15"/>
  <c r="X6" i="15"/>
  <c r="W25" i="15"/>
  <c r="P24" i="15"/>
  <c r="O12" i="15"/>
  <c r="P25" i="15"/>
  <c r="W29" i="15"/>
  <c r="O25" i="15"/>
  <c r="O30" i="15" s="1"/>
  <c r="W21" i="15"/>
  <c r="Y19" i="15"/>
  <c r="V28" i="15"/>
  <c r="V30" i="15" s="1"/>
  <c r="V12" i="15"/>
  <c r="P29" i="15"/>
  <c r="W24" i="15"/>
  <c r="X9" i="15"/>
  <c r="Q6" i="15"/>
  <c r="W27" i="15"/>
  <c r="W26" i="15"/>
  <c r="W12" i="15"/>
  <c r="R11" i="15"/>
  <c r="Y9" i="15"/>
  <c r="Y8" i="15"/>
  <c r="Y6" i="15"/>
  <c r="W28" i="15"/>
  <c r="P27" i="15"/>
  <c r="P12" i="15"/>
  <c r="Y10" i="15"/>
  <c r="R9" i="15"/>
  <c r="Q7" i="15"/>
  <c r="Q27" i="15" l="1"/>
  <c r="R27" i="15"/>
  <c r="Y27" i="15"/>
  <c r="X27" i="15"/>
  <c r="Y28" i="15"/>
  <c r="X28" i="15"/>
  <c r="Y29" i="15"/>
  <c r="X29" i="15"/>
  <c r="X21" i="15"/>
  <c r="Y24" i="15"/>
  <c r="X24" i="15"/>
  <c r="W30" i="15"/>
  <c r="R25" i="15"/>
  <c r="Q25" i="15"/>
  <c r="R29" i="15"/>
  <c r="Q29" i="15"/>
  <c r="R24" i="15"/>
  <c r="Q24" i="15"/>
  <c r="P30" i="15"/>
  <c r="Y25" i="15"/>
  <c r="X25" i="15"/>
  <c r="X26" i="15"/>
  <c r="Y26" i="15"/>
  <c r="X12" i="15"/>
  <c r="R12" i="15"/>
  <c r="Y21" i="15"/>
  <c r="Q12" i="15"/>
  <c r="Y12" i="15"/>
  <c r="R30" i="15" l="1"/>
  <c r="Q30" i="15"/>
  <c r="Y30" i="15"/>
  <c r="F17" i="6" s="1"/>
  <c r="X30" i="15"/>
  <c r="E17" i="6"/>
  <c r="E159" i="19" l="1"/>
  <c r="E163" i="19"/>
  <c r="E155" i="19"/>
  <c r="E167" i="19"/>
  <c r="E164" i="19"/>
  <c r="E160" i="19"/>
  <c r="E156" i="19"/>
  <c r="E168" i="19"/>
  <c r="E5" i="15"/>
  <c r="H5" i="15"/>
  <c r="E6" i="15"/>
  <c r="H6" i="15"/>
  <c r="E7" i="15"/>
  <c r="H7" i="15"/>
  <c r="E8" i="15"/>
  <c r="H8" i="15"/>
  <c r="E9" i="15"/>
  <c r="E10" i="15"/>
  <c r="E12" i="15"/>
  <c r="H12" i="15"/>
  <c r="E13" i="15"/>
  <c r="H13" i="15"/>
  <c r="E15" i="15"/>
  <c r="H15" i="15"/>
  <c r="E16" i="15"/>
  <c r="H16" i="15"/>
  <c r="E17" i="15"/>
  <c r="H17" i="15"/>
  <c r="E18" i="15"/>
  <c r="H18" i="15"/>
  <c r="C20" i="15"/>
  <c r="D20" i="15"/>
  <c r="E20" i="15" s="1"/>
  <c r="F20" i="15"/>
  <c r="G20" i="15"/>
  <c r="C21" i="15"/>
  <c r="D21" i="15"/>
  <c r="F21" i="15"/>
  <c r="G21" i="15"/>
  <c r="C22" i="15"/>
  <c r="D22" i="15"/>
  <c r="F22" i="15"/>
  <c r="G22" i="15"/>
  <c r="C23" i="15"/>
  <c r="D23" i="15"/>
  <c r="F23" i="15"/>
  <c r="G23" i="15"/>
  <c r="E22" i="15" l="1"/>
  <c r="C28" i="15"/>
  <c r="E19" i="6" s="1"/>
  <c r="E23" i="15"/>
  <c r="C31" i="15"/>
  <c r="H22" i="15"/>
  <c r="H20" i="15"/>
  <c r="C33" i="15"/>
  <c r="C29" i="15"/>
  <c r="F19" i="6" s="1"/>
  <c r="C32" i="15"/>
  <c r="H21" i="15"/>
  <c r="E21" i="15"/>
  <c r="C34" i="15" s="1"/>
  <c r="E16" i="6" s="1"/>
  <c r="C30" i="15"/>
  <c r="H23" i="15"/>
  <c r="E150" i="19" l="1"/>
  <c r="E146" i="19"/>
  <c r="E152" i="19"/>
  <c r="E148" i="19"/>
  <c r="E179" i="19"/>
  <c r="E185" i="19"/>
  <c r="E183" i="19"/>
  <c r="E181" i="19"/>
  <c r="E178" i="19"/>
  <c r="E180" i="19"/>
  <c r="E184" i="19"/>
  <c r="E182" i="19"/>
  <c r="E20" i="6"/>
  <c r="C35" i="15"/>
  <c r="F16" i="6" s="1"/>
  <c r="E190" i="19" l="1"/>
  <c r="E188" i="19"/>
  <c r="E186" i="19"/>
  <c r="E192" i="19"/>
  <c r="F20" i="6"/>
  <c r="E147" i="19"/>
  <c r="E153" i="19"/>
  <c r="E151" i="19"/>
  <c r="E149" i="19"/>
  <c r="H96" i="14"/>
  <c r="G96" i="14"/>
  <c r="F96" i="14"/>
  <c r="E96" i="14"/>
  <c r="D96" i="14"/>
  <c r="H95" i="14"/>
  <c r="G95" i="14"/>
  <c r="F95" i="14"/>
  <c r="E95" i="14"/>
  <c r="D95" i="14"/>
  <c r="H94" i="14"/>
  <c r="G94" i="14"/>
  <c r="F94" i="14"/>
  <c r="E94" i="14"/>
  <c r="D94" i="14"/>
  <c r="H93" i="14"/>
  <c r="G93" i="14"/>
  <c r="F93" i="14"/>
  <c r="E93" i="14"/>
  <c r="D93" i="14"/>
  <c r="H92" i="14"/>
  <c r="G92" i="14"/>
  <c r="F92" i="14"/>
  <c r="E92" i="14"/>
  <c r="D92" i="14"/>
  <c r="H91" i="14"/>
  <c r="G91" i="14"/>
  <c r="F91" i="14"/>
  <c r="E91" i="14"/>
  <c r="D91" i="14"/>
  <c r="H90" i="14"/>
  <c r="G90" i="14"/>
  <c r="F90" i="14"/>
  <c r="E90" i="14"/>
  <c r="H88" i="14"/>
  <c r="G88" i="14"/>
  <c r="F88" i="14"/>
  <c r="E88" i="14"/>
  <c r="D88" i="14"/>
  <c r="H87" i="14"/>
  <c r="G87" i="14"/>
  <c r="F87" i="14"/>
  <c r="E87" i="14"/>
  <c r="D87" i="14"/>
  <c r="H86" i="14"/>
  <c r="G86" i="14"/>
  <c r="F86" i="14"/>
  <c r="E86" i="14"/>
  <c r="D86" i="14"/>
  <c r="H85" i="14"/>
  <c r="G85" i="14"/>
  <c r="F85" i="14"/>
  <c r="E85" i="14"/>
  <c r="D85" i="14"/>
  <c r="H84" i="14"/>
  <c r="G84" i="14"/>
  <c r="F84" i="14"/>
  <c r="E84" i="14"/>
  <c r="D84" i="14"/>
  <c r="H83" i="14"/>
  <c r="G83" i="14"/>
  <c r="F83" i="14"/>
  <c r="E83" i="14"/>
  <c r="D83" i="14"/>
  <c r="H82" i="14"/>
  <c r="G82" i="14"/>
  <c r="F82" i="14"/>
  <c r="E82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K57" i="14"/>
  <c r="J57" i="14"/>
  <c r="K56" i="14"/>
  <c r="J56" i="14"/>
  <c r="K55" i="14"/>
  <c r="K54" i="14"/>
  <c r="J54" i="14"/>
  <c r="K53" i="14"/>
  <c r="J53" i="14"/>
  <c r="K52" i="14"/>
  <c r="J52" i="14"/>
  <c r="K51" i="14"/>
  <c r="J51" i="14"/>
  <c r="K50" i="14"/>
  <c r="J50" i="14"/>
  <c r="K49" i="14"/>
  <c r="K48" i="14"/>
  <c r="J48" i="14"/>
  <c r="K47" i="14"/>
  <c r="J47" i="14"/>
  <c r="K46" i="14"/>
  <c r="K45" i="14"/>
  <c r="J45" i="14"/>
  <c r="K44" i="14"/>
  <c r="J44" i="14"/>
  <c r="K43" i="14"/>
  <c r="J43" i="14"/>
  <c r="K42" i="14"/>
  <c r="J42" i="14"/>
  <c r="K41" i="14"/>
  <c r="J41" i="14"/>
  <c r="K40" i="14"/>
  <c r="K39" i="14"/>
  <c r="J39" i="14"/>
  <c r="K38" i="14"/>
  <c r="J38" i="14"/>
  <c r="K37" i="14"/>
  <c r="K36" i="14"/>
  <c r="J36" i="14"/>
  <c r="K35" i="14"/>
  <c r="J35" i="14"/>
  <c r="K34" i="14"/>
  <c r="J34" i="14"/>
  <c r="K33" i="14"/>
  <c r="J33" i="14"/>
  <c r="K32" i="14"/>
  <c r="J32" i="14"/>
  <c r="K31" i="14"/>
  <c r="K30" i="14"/>
  <c r="J30" i="14"/>
  <c r="K29" i="14"/>
  <c r="J29" i="14"/>
  <c r="K28" i="14"/>
  <c r="K27" i="14"/>
  <c r="J27" i="14"/>
  <c r="K26" i="14"/>
  <c r="J26" i="14"/>
  <c r="K25" i="14"/>
  <c r="J25" i="14"/>
  <c r="K24" i="14"/>
  <c r="J24" i="14"/>
  <c r="K23" i="14"/>
  <c r="J23" i="14"/>
  <c r="K22" i="14"/>
  <c r="K21" i="14"/>
  <c r="J21" i="14"/>
  <c r="K20" i="14"/>
  <c r="J20" i="14"/>
  <c r="K19" i="14"/>
  <c r="L19" i="14" s="1"/>
  <c r="K18" i="14"/>
  <c r="J18" i="14"/>
  <c r="K17" i="14"/>
  <c r="J17" i="14"/>
  <c r="K16" i="14"/>
  <c r="J16" i="14"/>
  <c r="K15" i="14"/>
  <c r="J15" i="14"/>
  <c r="K87" i="14" s="1"/>
  <c r="K14" i="14"/>
  <c r="K94" i="14" s="1"/>
  <c r="D13" i="6" s="1"/>
  <c r="J14" i="14"/>
  <c r="K13" i="14"/>
  <c r="K12" i="14"/>
  <c r="J12" i="14"/>
  <c r="K11" i="14"/>
  <c r="J11" i="14"/>
  <c r="K10" i="14"/>
  <c r="J8" i="14"/>
  <c r="E191" i="19" l="1"/>
  <c r="E189" i="19"/>
  <c r="E187" i="19"/>
  <c r="E193" i="19"/>
  <c r="K90" i="14"/>
  <c r="D9" i="6" s="1"/>
  <c r="K84" i="14"/>
  <c r="K88" i="14"/>
  <c r="K92" i="14"/>
  <c r="D10" i="6" s="1"/>
  <c r="E66" i="19" s="1"/>
  <c r="K82" i="14"/>
  <c r="K96" i="14"/>
  <c r="D15" i="6" s="1"/>
  <c r="E130" i="19" s="1"/>
  <c r="K93" i="14"/>
  <c r="D11" i="6" s="1"/>
  <c r="G11" i="6" s="1"/>
  <c r="J93" i="14"/>
  <c r="J94" i="14"/>
  <c r="K91" i="14"/>
  <c r="D8" i="6" s="1"/>
  <c r="E8" i="6" s="1"/>
  <c r="E58" i="19"/>
  <c r="E50" i="19"/>
  <c r="E54" i="19"/>
  <c r="E62" i="19"/>
  <c r="E106" i="19"/>
  <c r="E98" i="19"/>
  <c r="E102" i="19"/>
  <c r="E110" i="19"/>
  <c r="K95" i="14"/>
  <c r="D14" i="6" s="1"/>
  <c r="G14" i="6" s="1"/>
  <c r="F13" i="6"/>
  <c r="G13" i="6"/>
  <c r="G9" i="6"/>
  <c r="F9" i="6"/>
  <c r="J82" i="14"/>
  <c r="J84" i="14"/>
  <c r="J92" i="14"/>
  <c r="J96" i="14"/>
  <c r="E10" i="6"/>
  <c r="J83" i="14"/>
  <c r="F10" i="6"/>
  <c r="L17" i="14"/>
  <c r="J85" i="14"/>
  <c r="J90" i="14"/>
  <c r="J91" i="14"/>
  <c r="J95" i="14"/>
  <c r="J86" i="14"/>
  <c r="J88" i="14"/>
  <c r="K86" i="14"/>
  <c r="E13" i="6"/>
  <c r="J87" i="14"/>
  <c r="K83" i="14"/>
  <c r="L18" i="14"/>
  <c r="E9" i="6"/>
  <c r="K85" i="14"/>
  <c r="E74" i="19" l="1"/>
  <c r="E70" i="19"/>
  <c r="E86" i="19"/>
  <c r="G10" i="6"/>
  <c r="E81" i="19" s="1"/>
  <c r="E78" i="19"/>
  <c r="E82" i="19"/>
  <c r="E90" i="19"/>
  <c r="E94" i="19"/>
  <c r="F11" i="6"/>
  <c r="E92" i="19" s="1"/>
  <c r="E11" i="6"/>
  <c r="E91" i="19" s="1"/>
  <c r="E142" i="19"/>
  <c r="E15" i="6"/>
  <c r="F15" i="6"/>
  <c r="G15" i="6"/>
  <c r="E138" i="19"/>
  <c r="E134" i="19"/>
  <c r="G8" i="6"/>
  <c r="E49" i="19" s="1"/>
  <c r="E117" i="19"/>
  <c r="E129" i="19"/>
  <c r="E121" i="19"/>
  <c r="E125" i="19"/>
  <c r="E43" i="19"/>
  <c r="E35" i="19"/>
  <c r="E47" i="19"/>
  <c r="E39" i="19"/>
  <c r="E108" i="19"/>
  <c r="E100" i="19"/>
  <c r="E112" i="19"/>
  <c r="E104" i="19"/>
  <c r="E107" i="19"/>
  <c r="E99" i="19"/>
  <c r="E111" i="19"/>
  <c r="E103" i="19"/>
  <c r="E60" i="19"/>
  <c r="E52" i="19"/>
  <c r="E64" i="19"/>
  <c r="E56" i="19"/>
  <c r="E85" i="19"/>
  <c r="E97" i="19"/>
  <c r="E89" i="19"/>
  <c r="E93" i="19"/>
  <c r="E139" i="19"/>
  <c r="E131" i="19"/>
  <c r="E143" i="19"/>
  <c r="E135" i="19"/>
  <c r="E65" i="19"/>
  <c r="E57" i="19"/>
  <c r="E61" i="19"/>
  <c r="E53" i="19"/>
  <c r="E140" i="19"/>
  <c r="E132" i="19"/>
  <c r="E144" i="19"/>
  <c r="E136" i="19"/>
  <c r="E77" i="19"/>
  <c r="E69" i="19"/>
  <c r="E46" i="19"/>
  <c r="E42" i="19"/>
  <c r="E34" i="19"/>
  <c r="E38" i="19"/>
  <c r="E59" i="19"/>
  <c r="E51" i="19"/>
  <c r="E63" i="19"/>
  <c r="E55" i="19"/>
  <c r="E141" i="19"/>
  <c r="E133" i="19"/>
  <c r="E145" i="19"/>
  <c r="E137" i="19"/>
  <c r="E118" i="19"/>
  <c r="E122" i="19"/>
  <c r="E114" i="19"/>
  <c r="E126" i="19"/>
  <c r="F8" i="6"/>
  <c r="F14" i="6"/>
  <c r="E14" i="6"/>
  <c r="E75" i="19"/>
  <c r="E67" i="19"/>
  <c r="E79" i="19"/>
  <c r="E71" i="19"/>
  <c r="E76" i="19"/>
  <c r="E68" i="19"/>
  <c r="E80" i="19"/>
  <c r="E72" i="19"/>
  <c r="E101" i="19"/>
  <c r="E113" i="19"/>
  <c r="E105" i="19"/>
  <c r="E109" i="19"/>
  <c r="AI7" i="13"/>
  <c r="AH7" i="13"/>
  <c r="AE7" i="13"/>
  <c r="AD7" i="13"/>
  <c r="AB7" i="13"/>
  <c r="X7" i="13"/>
  <c r="T7" i="13"/>
  <c r="P7" i="13"/>
  <c r="L7" i="13"/>
  <c r="H7" i="13"/>
  <c r="D7" i="13"/>
  <c r="AI6" i="13"/>
  <c r="AH6" i="13"/>
  <c r="AE6" i="13"/>
  <c r="AD6" i="13"/>
  <c r="AB6" i="13"/>
  <c r="X6" i="13"/>
  <c r="T6" i="13"/>
  <c r="P6" i="13"/>
  <c r="L6" i="13"/>
  <c r="H6" i="13"/>
  <c r="D6" i="13"/>
  <c r="AI4" i="13"/>
  <c r="AJ4" i="13" s="1"/>
  <c r="AE4" i="13"/>
  <c r="AD4" i="13"/>
  <c r="AF4" i="13" s="1"/>
  <c r="AB4" i="13"/>
  <c r="X4" i="13"/>
  <c r="P4" i="13"/>
  <c r="L4" i="13"/>
  <c r="H4" i="13"/>
  <c r="D4" i="13"/>
  <c r="E88" i="19" l="1"/>
  <c r="E96" i="19"/>
  <c r="E84" i="19"/>
  <c r="E73" i="19"/>
  <c r="E87" i="19"/>
  <c r="E95" i="19"/>
  <c r="E83" i="19"/>
  <c r="E37" i="19"/>
  <c r="E45" i="19"/>
  <c r="E41" i="19"/>
  <c r="E123" i="19"/>
  <c r="E115" i="19"/>
  <c r="E119" i="19"/>
  <c r="E127" i="19"/>
  <c r="E124" i="19"/>
  <c r="E116" i="19"/>
  <c r="E128" i="19"/>
  <c r="E120" i="19"/>
  <c r="E44" i="19"/>
  <c r="E36" i="19"/>
  <c r="E48" i="19"/>
  <c r="E40" i="19"/>
  <c r="AJ6" i="13"/>
  <c r="AF7" i="13"/>
  <c r="AR4" i="13"/>
  <c r="AJ7" i="13"/>
  <c r="AF6" i="13"/>
  <c r="G24" i="7"/>
  <c r="G23" i="7"/>
  <c r="G21" i="7"/>
  <c r="G25" i="7"/>
  <c r="D30" i="6"/>
  <c r="F35" i="6"/>
  <c r="D37" i="6"/>
  <c r="F36" i="6"/>
  <c r="D33" i="6"/>
  <c r="F32" i="6"/>
  <c r="F37" i="6"/>
  <c r="G37" i="6"/>
  <c r="G38" i="6"/>
  <c r="F38" i="6"/>
  <c r="D35" i="6"/>
  <c r="E416" i="19" l="1"/>
  <c r="E404" i="19"/>
  <c r="E412" i="19"/>
  <c r="E408" i="19"/>
  <c r="E417" i="19"/>
  <c r="E405" i="19"/>
  <c r="E413" i="19"/>
  <c r="E409" i="19"/>
  <c r="E395" i="19"/>
  <c r="E392" i="19"/>
  <c r="E401" i="19"/>
  <c r="E398" i="19"/>
  <c r="E394" i="19"/>
  <c r="E391" i="19"/>
  <c r="E400" i="19"/>
  <c r="E397" i="19"/>
  <c r="F31" i="6"/>
  <c r="E31" i="6"/>
  <c r="E349" i="19"/>
  <c r="E343" i="19"/>
  <c r="E352" i="19"/>
  <c r="E346" i="19"/>
  <c r="E385" i="19"/>
  <c r="E388" i="19"/>
  <c r="E382" i="19"/>
  <c r="E379" i="19"/>
  <c r="E393" i="19"/>
  <c r="E390" i="19"/>
  <c r="E399" i="19"/>
  <c r="E396" i="19"/>
  <c r="E373" i="19"/>
  <c r="E370" i="19"/>
  <c r="E367" i="19"/>
  <c r="E376" i="19"/>
  <c r="E317" i="19"/>
  <c r="E320" i="19"/>
  <c r="E314" i="19"/>
  <c r="E323" i="19"/>
  <c r="AR6" i="13"/>
  <c r="AR7" i="13"/>
  <c r="E354" i="19"/>
  <c r="E357" i="19"/>
  <c r="E363" i="19"/>
  <c r="E360" i="19"/>
  <c r="E366" i="19"/>
  <c r="E369" i="19"/>
  <c r="E375" i="19"/>
  <c r="E372" i="19"/>
  <c r="F33" i="6"/>
  <c r="G30" i="6"/>
  <c r="G33" i="6"/>
  <c r="G35" i="6"/>
  <c r="G22" i="7"/>
  <c r="E364" i="19" l="1"/>
  <c r="E361" i="19"/>
  <c r="E358" i="19"/>
  <c r="E355" i="19"/>
  <c r="E327" i="19"/>
  <c r="E331" i="19"/>
  <c r="E335" i="19"/>
  <c r="E339" i="19"/>
  <c r="E328" i="19"/>
  <c r="E332" i="19"/>
  <c r="E336" i="19"/>
  <c r="E340" i="19"/>
  <c r="E322" i="19"/>
  <c r="E319" i="19"/>
  <c r="E316" i="19"/>
  <c r="E325" i="19"/>
  <c r="E362" i="19"/>
  <c r="E359" i="19"/>
  <c r="E365" i="19"/>
  <c r="E356" i="19"/>
  <c r="E374" i="19"/>
  <c r="E371" i="19"/>
  <c r="E377" i="19"/>
  <c r="E368" i="19"/>
  <c r="L174" i="10"/>
  <c r="M174" i="10" s="1"/>
  <c r="L173" i="10"/>
  <c r="M173" i="10" s="1"/>
  <c r="L172" i="10"/>
  <c r="M172" i="10" s="1"/>
  <c r="L171" i="10"/>
  <c r="M171" i="10" s="1"/>
  <c r="L170" i="10"/>
  <c r="M170" i="10" s="1"/>
  <c r="L169" i="10"/>
  <c r="M169" i="10" s="1"/>
  <c r="L168" i="10"/>
  <c r="M168" i="10" s="1"/>
  <c r="L167" i="10"/>
  <c r="M167" i="10" s="1"/>
  <c r="L166" i="10"/>
  <c r="M166" i="10" s="1"/>
  <c r="L165" i="10"/>
  <c r="M165" i="10" s="1"/>
  <c r="L164" i="10"/>
  <c r="M164" i="10" s="1"/>
  <c r="L163" i="10"/>
  <c r="M163" i="10" s="1"/>
  <c r="L162" i="10"/>
  <c r="M162" i="10" s="1"/>
  <c r="L161" i="10"/>
  <c r="M161" i="10" s="1"/>
  <c r="L160" i="10"/>
  <c r="M160" i="10" s="1"/>
  <c r="L159" i="10"/>
  <c r="M159" i="10" s="1"/>
  <c r="L158" i="10"/>
  <c r="M158" i="10" s="1"/>
  <c r="L157" i="10"/>
  <c r="M157" i="10" s="1"/>
  <c r="L156" i="10"/>
  <c r="M156" i="10" s="1"/>
  <c r="L155" i="10"/>
  <c r="M155" i="10" s="1"/>
  <c r="L154" i="10"/>
  <c r="M154" i="10" s="1"/>
  <c r="L153" i="10"/>
  <c r="M153" i="10" s="1"/>
  <c r="L152" i="10"/>
  <c r="M152" i="10" s="1"/>
  <c r="L151" i="10"/>
  <c r="M151" i="10" s="1"/>
  <c r="L150" i="10"/>
  <c r="M150" i="10" s="1"/>
  <c r="L149" i="10"/>
  <c r="M149" i="10" s="1"/>
  <c r="L148" i="10"/>
  <c r="M148" i="10" s="1"/>
  <c r="L147" i="10"/>
  <c r="M147" i="10" s="1"/>
  <c r="L146" i="10"/>
  <c r="M146" i="10" s="1"/>
  <c r="L145" i="10"/>
  <c r="M145" i="10" s="1"/>
  <c r="L144" i="10"/>
  <c r="M144" i="10" s="1"/>
  <c r="L143" i="10"/>
  <c r="M143" i="10" s="1"/>
  <c r="L142" i="10"/>
  <c r="M142" i="10" s="1"/>
  <c r="L141" i="10"/>
  <c r="M141" i="10" s="1"/>
  <c r="L140" i="10"/>
  <c r="M140" i="10" s="1"/>
  <c r="L139" i="10"/>
  <c r="M139" i="10" s="1"/>
  <c r="L138" i="10"/>
  <c r="M138" i="10" s="1"/>
  <c r="L137" i="10"/>
  <c r="M137" i="10" s="1"/>
  <c r="L136" i="10"/>
  <c r="M136" i="10" s="1"/>
  <c r="L135" i="10"/>
  <c r="M135" i="10" s="1"/>
  <c r="L134" i="10"/>
  <c r="M134" i="10" s="1"/>
  <c r="L133" i="10"/>
  <c r="M133" i="10" s="1"/>
  <c r="L132" i="10"/>
  <c r="M132" i="10" s="1"/>
  <c r="L131" i="10"/>
  <c r="M131" i="10" s="1"/>
  <c r="L130" i="10"/>
  <c r="M130" i="10" s="1"/>
  <c r="L129" i="10"/>
  <c r="M129" i="10" s="1"/>
  <c r="L128" i="10"/>
  <c r="M128" i="10" s="1"/>
  <c r="L127" i="10"/>
  <c r="M127" i="10" s="1"/>
  <c r="L126" i="10"/>
  <c r="M126" i="10" s="1"/>
  <c r="L125" i="10"/>
  <c r="M125" i="10" s="1"/>
  <c r="L124" i="10"/>
  <c r="M124" i="10" s="1"/>
  <c r="L123" i="10"/>
  <c r="M123" i="10" s="1"/>
  <c r="L122" i="10"/>
  <c r="M122" i="10" s="1"/>
  <c r="L121" i="10"/>
  <c r="M121" i="10" s="1"/>
  <c r="L120" i="10"/>
  <c r="M120" i="10" s="1"/>
  <c r="L119" i="10"/>
  <c r="M119" i="10" s="1"/>
  <c r="L118" i="10"/>
  <c r="M118" i="10" s="1"/>
  <c r="L117" i="10"/>
  <c r="M117" i="10" s="1"/>
  <c r="L116" i="10"/>
  <c r="M116" i="10" s="1"/>
  <c r="L115" i="10"/>
  <c r="M115" i="10" s="1"/>
  <c r="L114" i="10"/>
  <c r="M114" i="10" s="1"/>
  <c r="L113" i="10"/>
  <c r="M113" i="10" s="1"/>
  <c r="L112" i="10"/>
  <c r="M112" i="10" s="1"/>
  <c r="L111" i="10"/>
  <c r="M111" i="10" s="1"/>
  <c r="L110" i="10"/>
  <c r="M110" i="10" s="1"/>
  <c r="L109" i="10"/>
  <c r="M109" i="10" s="1"/>
  <c r="L108" i="10"/>
  <c r="M108" i="10" s="1"/>
  <c r="L107" i="10"/>
  <c r="M107" i="10" s="1"/>
  <c r="L106" i="10"/>
  <c r="M106" i="10" s="1"/>
  <c r="L105" i="10"/>
  <c r="M105" i="10" s="1"/>
  <c r="L104" i="10"/>
  <c r="M104" i="10" s="1"/>
  <c r="L103" i="10"/>
  <c r="M103" i="10" s="1"/>
  <c r="L102" i="10"/>
  <c r="M102" i="10" s="1"/>
  <c r="L101" i="10"/>
  <c r="M101" i="10" s="1"/>
  <c r="L100" i="10"/>
  <c r="M100" i="10" s="1"/>
  <c r="L99" i="10"/>
  <c r="M99" i="10" s="1"/>
  <c r="L98" i="10"/>
  <c r="M98" i="10" s="1"/>
  <c r="L97" i="10"/>
  <c r="M97" i="10" s="1"/>
  <c r="L96" i="10"/>
  <c r="M96" i="10" s="1"/>
  <c r="L95" i="10"/>
  <c r="M95" i="10" s="1"/>
  <c r="L94" i="10"/>
  <c r="M94" i="10" s="1"/>
  <c r="L93" i="10"/>
  <c r="M93" i="10" s="1"/>
  <c r="L92" i="10"/>
  <c r="M92" i="10" s="1"/>
  <c r="L91" i="10"/>
  <c r="M91" i="10" s="1"/>
  <c r="L90" i="10"/>
  <c r="M90" i="10" s="1"/>
  <c r="L89" i="10"/>
  <c r="M89" i="10" s="1"/>
  <c r="L88" i="10"/>
  <c r="M88" i="10" s="1"/>
  <c r="L87" i="10"/>
  <c r="M87" i="10" s="1"/>
  <c r="L86" i="10"/>
  <c r="M86" i="10" s="1"/>
  <c r="L85" i="10"/>
  <c r="M85" i="10" s="1"/>
  <c r="L84" i="10"/>
  <c r="M84" i="10" s="1"/>
  <c r="L83" i="10"/>
  <c r="M83" i="10" s="1"/>
  <c r="L82" i="10"/>
  <c r="M82" i="10" s="1"/>
  <c r="L81" i="10"/>
  <c r="M81" i="10" s="1"/>
  <c r="L80" i="10"/>
  <c r="M80" i="10" s="1"/>
  <c r="L79" i="10"/>
  <c r="M79" i="10" s="1"/>
  <c r="L78" i="10"/>
  <c r="M78" i="10" s="1"/>
  <c r="L77" i="10"/>
  <c r="M77" i="10" s="1"/>
  <c r="L76" i="10"/>
  <c r="M76" i="10" s="1"/>
  <c r="L75" i="10"/>
  <c r="M75" i="10" s="1"/>
  <c r="L74" i="10"/>
  <c r="M74" i="10" s="1"/>
  <c r="L73" i="10"/>
  <c r="M73" i="10" s="1"/>
  <c r="L72" i="10"/>
  <c r="M72" i="10" s="1"/>
  <c r="L71" i="10"/>
  <c r="M71" i="10" s="1"/>
  <c r="L70" i="10"/>
  <c r="M70" i="10" s="1"/>
  <c r="L69" i="10"/>
  <c r="M69" i="10" s="1"/>
  <c r="L68" i="10"/>
  <c r="M68" i="10" s="1"/>
  <c r="L67" i="10"/>
  <c r="M67" i="10" s="1"/>
  <c r="L66" i="10"/>
  <c r="M66" i="10" s="1"/>
  <c r="L65" i="10"/>
  <c r="M65" i="10" s="1"/>
  <c r="L64" i="10"/>
  <c r="M64" i="10" s="1"/>
  <c r="L63" i="10"/>
  <c r="M63" i="10" s="1"/>
  <c r="L62" i="10"/>
  <c r="M62" i="10" s="1"/>
  <c r="L61" i="10"/>
  <c r="M61" i="10" s="1"/>
  <c r="L60" i="10"/>
  <c r="M60" i="10" s="1"/>
  <c r="L59" i="10"/>
  <c r="M59" i="10" s="1"/>
  <c r="L58" i="10"/>
  <c r="M58" i="10" s="1"/>
  <c r="L57" i="10"/>
  <c r="M57" i="10" s="1"/>
  <c r="L56" i="10"/>
  <c r="M56" i="10" s="1"/>
  <c r="L55" i="10"/>
  <c r="M55" i="10" s="1"/>
  <c r="L54" i="10"/>
  <c r="M54" i="10" s="1"/>
  <c r="L53" i="10"/>
  <c r="M53" i="10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L3" i="10"/>
  <c r="M3" i="10" s="1"/>
  <c r="P147" i="9"/>
  <c r="R175" i="9" l="1"/>
  <c r="R176" i="9"/>
  <c r="R177" i="9"/>
  <c r="R178" i="9"/>
  <c r="R179" i="9"/>
  <c r="R180" i="9"/>
  <c r="R181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C294" i="9"/>
  <c r="A294" i="9"/>
  <c r="AC293" i="9"/>
  <c r="A293" i="9"/>
  <c r="AC292" i="9"/>
  <c r="A292" i="9"/>
  <c r="AC291" i="9"/>
  <c r="A291" i="9"/>
  <c r="AC290" i="9"/>
  <c r="A290" i="9"/>
  <c r="AC289" i="9"/>
  <c r="A289" i="9"/>
  <c r="AC288" i="9"/>
  <c r="A288" i="9"/>
  <c r="AC287" i="9"/>
  <c r="A287" i="9"/>
  <c r="AC286" i="9"/>
  <c r="A286" i="9"/>
  <c r="AC285" i="9"/>
  <c r="A285" i="9"/>
  <c r="AC284" i="9"/>
  <c r="A284" i="9"/>
  <c r="AC283" i="9"/>
  <c r="A283" i="9"/>
  <c r="AC282" i="9"/>
  <c r="A282" i="9"/>
  <c r="AC281" i="9"/>
  <c r="A281" i="9"/>
  <c r="AC280" i="9"/>
  <c r="A280" i="9"/>
  <c r="AC279" i="9"/>
  <c r="A279" i="9"/>
  <c r="AC278" i="9"/>
  <c r="A278" i="9"/>
  <c r="AC277" i="9"/>
  <c r="A277" i="9"/>
  <c r="AC276" i="9"/>
  <c r="A276" i="9"/>
  <c r="AC275" i="9"/>
  <c r="A275" i="9"/>
  <c r="AC274" i="9"/>
  <c r="A274" i="9"/>
  <c r="AC273" i="9"/>
  <c r="A273" i="9"/>
  <c r="AC272" i="9"/>
  <c r="A272" i="9"/>
  <c r="AC271" i="9"/>
  <c r="A271" i="9"/>
  <c r="AC270" i="9"/>
  <c r="A270" i="9"/>
  <c r="AC269" i="9"/>
  <c r="A269" i="9"/>
  <c r="AC268" i="9"/>
  <c r="A268" i="9"/>
  <c r="AC267" i="9"/>
  <c r="A267" i="9"/>
  <c r="AC266" i="9"/>
  <c r="A266" i="9"/>
  <c r="AC265" i="9"/>
  <c r="A265" i="9"/>
  <c r="AC264" i="9"/>
  <c r="A264" i="9"/>
  <c r="AC263" i="9"/>
  <c r="A263" i="9"/>
  <c r="AC262" i="9"/>
  <c r="A262" i="9"/>
  <c r="AC261" i="9"/>
  <c r="A261" i="9"/>
  <c r="AC260" i="9"/>
  <c r="A260" i="9"/>
  <c r="AC259" i="9"/>
  <c r="A259" i="9"/>
  <c r="AC258" i="9"/>
  <c r="A258" i="9"/>
  <c r="AC257" i="9"/>
  <c r="A257" i="9"/>
  <c r="AC256" i="9"/>
  <c r="A256" i="9"/>
  <c r="AC255" i="9"/>
  <c r="A255" i="9"/>
  <c r="AC254" i="9"/>
  <c r="A254" i="9"/>
  <c r="AC253" i="9"/>
  <c r="A253" i="9"/>
  <c r="AC252" i="9"/>
  <c r="A252" i="9"/>
  <c r="AC251" i="9"/>
  <c r="A251" i="9"/>
  <c r="AC250" i="9"/>
  <c r="A250" i="9"/>
  <c r="AC249" i="9"/>
  <c r="A249" i="9"/>
  <c r="AC248" i="9"/>
  <c r="A248" i="9"/>
  <c r="AC247" i="9"/>
  <c r="A247" i="9"/>
  <c r="AC246" i="9"/>
  <c r="A246" i="9"/>
  <c r="AC245" i="9"/>
  <c r="A245" i="9"/>
  <c r="AC244" i="9"/>
  <c r="A244" i="9"/>
  <c r="AC243" i="9"/>
  <c r="A243" i="9"/>
  <c r="AC242" i="9"/>
  <c r="A242" i="9"/>
  <c r="AC241" i="9"/>
  <c r="A241" i="9"/>
  <c r="AC240" i="9"/>
  <c r="A240" i="9"/>
  <c r="AC239" i="9"/>
  <c r="A239" i="9"/>
  <c r="AC238" i="9"/>
  <c r="A238" i="9"/>
  <c r="AC237" i="9"/>
  <c r="A237" i="9"/>
  <c r="AC236" i="9"/>
  <c r="A236" i="9"/>
  <c r="AC235" i="9"/>
  <c r="A235" i="9"/>
  <c r="AC234" i="9"/>
  <c r="A234" i="9"/>
  <c r="AC233" i="9"/>
  <c r="A233" i="9"/>
  <c r="AC232" i="9"/>
  <c r="A232" i="9"/>
  <c r="AC231" i="9"/>
  <c r="A231" i="9"/>
  <c r="AC230" i="9"/>
  <c r="A230" i="9"/>
  <c r="AC229" i="9"/>
  <c r="A229" i="9"/>
  <c r="AC228" i="9"/>
  <c r="A228" i="9"/>
  <c r="AC227" i="9"/>
  <c r="A227" i="9"/>
  <c r="AC226" i="9"/>
  <c r="A226" i="9"/>
  <c r="AC225" i="9"/>
  <c r="A225" i="9"/>
  <c r="AC224" i="9"/>
  <c r="A224" i="9"/>
  <c r="AC223" i="9"/>
  <c r="A223" i="9"/>
  <c r="AC222" i="9"/>
  <c r="A222" i="9"/>
  <c r="AC221" i="9"/>
  <c r="A221" i="9"/>
  <c r="AC220" i="9"/>
  <c r="A220" i="9"/>
  <c r="AC219" i="9"/>
  <c r="A219" i="9"/>
  <c r="AC218" i="9"/>
  <c r="A218" i="9"/>
  <c r="AC217" i="9"/>
  <c r="A217" i="9"/>
  <c r="AC216" i="9"/>
  <c r="A216" i="9"/>
  <c r="AC215" i="9"/>
  <c r="A215" i="9"/>
  <c r="AC214" i="9"/>
  <c r="A214" i="9"/>
  <c r="AC213" i="9"/>
  <c r="A213" i="9"/>
  <c r="AC212" i="9"/>
  <c r="A212" i="9"/>
  <c r="AC211" i="9"/>
  <c r="A211" i="9"/>
  <c r="AC210" i="9"/>
  <c r="A210" i="9"/>
  <c r="AC209" i="9"/>
  <c r="A209" i="9"/>
  <c r="AC208" i="9"/>
  <c r="A208" i="9"/>
  <c r="AC207" i="9"/>
  <c r="A207" i="9"/>
  <c r="AC206" i="9"/>
  <c r="A206" i="9"/>
  <c r="AC205" i="9"/>
  <c r="A205" i="9"/>
  <c r="AC204" i="9"/>
  <c r="A204" i="9"/>
  <c r="AC203" i="9"/>
  <c r="A203" i="9"/>
  <c r="AC202" i="9"/>
  <c r="A202" i="9"/>
  <c r="AC201" i="9"/>
  <c r="A201" i="9"/>
  <c r="AC200" i="9"/>
  <c r="A200" i="9"/>
  <c r="AC199" i="9"/>
  <c r="A199" i="9"/>
  <c r="AC198" i="9"/>
  <c r="A198" i="9"/>
  <c r="AC197" i="9"/>
  <c r="A197" i="9"/>
  <c r="AC196" i="9"/>
  <c r="A196" i="9"/>
  <c r="AC195" i="9"/>
  <c r="A195" i="9"/>
  <c r="AC194" i="9"/>
  <c r="A194" i="9"/>
  <c r="AC193" i="9"/>
  <c r="A193" i="9"/>
  <c r="AC192" i="9"/>
  <c r="A192" i="9"/>
  <c r="AC191" i="9"/>
  <c r="A191" i="9"/>
  <c r="AC190" i="9"/>
  <c r="A190" i="9"/>
  <c r="AC189" i="9"/>
  <c r="A189" i="9"/>
  <c r="AC188" i="9"/>
  <c r="A188" i="9"/>
  <c r="AC187" i="9"/>
  <c r="A187" i="9"/>
  <c r="AC186" i="9"/>
  <c r="A186" i="9"/>
  <c r="AC185" i="9"/>
  <c r="A185" i="9"/>
  <c r="AC184" i="9"/>
  <c r="A184" i="9"/>
  <c r="AC183" i="9"/>
  <c r="A183" i="9"/>
  <c r="AC182" i="9"/>
  <c r="A182" i="9"/>
  <c r="AC181" i="9"/>
  <c r="A181" i="9"/>
  <c r="AC180" i="9"/>
  <c r="A180" i="9"/>
  <c r="AC179" i="9"/>
  <c r="A179" i="9"/>
  <c r="AC178" i="9"/>
  <c r="A178" i="9"/>
  <c r="AC177" i="9"/>
  <c r="A177" i="9"/>
  <c r="AC176" i="9"/>
  <c r="A176" i="9"/>
  <c r="AC175" i="9"/>
  <c r="A175" i="9"/>
  <c r="AC174" i="9"/>
  <c r="R174" i="9"/>
  <c r="A174" i="9"/>
  <c r="AC173" i="9"/>
  <c r="R173" i="9"/>
  <c r="A173" i="9"/>
  <c r="AC172" i="9"/>
  <c r="R172" i="9"/>
  <c r="A172" i="9"/>
  <c r="AC171" i="9"/>
  <c r="R171" i="9"/>
  <c r="A171" i="9"/>
  <c r="AC170" i="9"/>
  <c r="R170" i="9"/>
  <c r="A170" i="9"/>
  <c r="AC169" i="9"/>
  <c r="R169" i="9"/>
  <c r="A169" i="9"/>
  <c r="AC168" i="9"/>
  <c r="R168" i="9"/>
  <c r="A168" i="9"/>
  <c r="AC167" i="9"/>
  <c r="R167" i="9"/>
  <c r="A167" i="9"/>
  <c r="AC166" i="9"/>
  <c r="R166" i="9"/>
  <c r="A166" i="9"/>
  <c r="AC165" i="9"/>
  <c r="R165" i="9"/>
  <c r="A165" i="9"/>
  <c r="AC164" i="9"/>
  <c r="R164" i="9"/>
  <c r="A164" i="9"/>
  <c r="AC163" i="9"/>
  <c r="R163" i="9"/>
  <c r="A163" i="9"/>
  <c r="AC162" i="9"/>
  <c r="R162" i="9"/>
  <c r="A162" i="9"/>
  <c r="AC161" i="9"/>
  <c r="R161" i="9"/>
  <c r="A161" i="9"/>
  <c r="AC160" i="9"/>
  <c r="R160" i="9"/>
  <c r="A160" i="9"/>
  <c r="AC159" i="9"/>
  <c r="R159" i="9"/>
  <c r="A159" i="9"/>
  <c r="AC158" i="9"/>
  <c r="R158" i="9"/>
  <c r="A158" i="9"/>
  <c r="AC157" i="9"/>
  <c r="R157" i="9"/>
  <c r="A157" i="9"/>
  <c r="AC156" i="9"/>
  <c r="R156" i="9"/>
  <c r="A156" i="9"/>
  <c r="AC155" i="9"/>
  <c r="R155" i="9"/>
  <c r="A155" i="9"/>
  <c r="AC154" i="9"/>
  <c r="R154" i="9"/>
  <c r="A154" i="9"/>
  <c r="AC153" i="9"/>
  <c r="R153" i="9"/>
  <c r="A153" i="9"/>
  <c r="AC152" i="9"/>
  <c r="R152" i="9"/>
  <c r="A152" i="9"/>
  <c r="AC151" i="9"/>
  <c r="R151" i="9"/>
  <c r="A151" i="9"/>
  <c r="AC150" i="9"/>
  <c r="R150" i="9"/>
  <c r="A150" i="9"/>
  <c r="AC149" i="9"/>
  <c r="R149" i="9"/>
  <c r="A149" i="9"/>
  <c r="AC148" i="9"/>
  <c r="R148" i="9"/>
  <c r="A148" i="9"/>
  <c r="AC147" i="9"/>
  <c r="R147" i="9"/>
  <c r="A147" i="9"/>
  <c r="AC146" i="9"/>
  <c r="R146" i="9"/>
  <c r="A146" i="9"/>
  <c r="AC145" i="9"/>
  <c r="R145" i="9"/>
  <c r="A145" i="9"/>
  <c r="AC144" i="9"/>
  <c r="R144" i="9"/>
  <c r="A144" i="9"/>
  <c r="AC143" i="9"/>
  <c r="R143" i="9"/>
  <c r="A143" i="9"/>
  <c r="AC142" i="9"/>
  <c r="R142" i="9"/>
  <c r="A142" i="9"/>
  <c r="AC141" i="9"/>
  <c r="R141" i="9"/>
  <c r="A141" i="9"/>
  <c r="AC140" i="9"/>
  <c r="R140" i="9"/>
  <c r="A140" i="9"/>
  <c r="AC139" i="9"/>
  <c r="R139" i="9"/>
  <c r="A139" i="9"/>
  <c r="AC138" i="9"/>
  <c r="R138" i="9"/>
  <c r="A138" i="9"/>
  <c r="AC137" i="9"/>
  <c r="R137" i="9"/>
  <c r="A137" i="9"/>
  <c r="AC136" i="9"/>
  <c r="R136" i="9"/>
  <c r="A136" i="9"/>
  <c r="AC135" i="9"/>
  <c r="R135" i="9"/>
  <c r="A135" i="9"/>
  <c r="AC134" i="9"/>
  <c r="R134" i="9"/>
  <c r="A134" i="9"/>
  <c r="AC133" i="9"/>
  <c r="R133" i="9"/>
  <c r="A133" i="9"/>
  <c r="AC132" i="9"/>
  <c r="R132" i="9"/>
  <c r="A132" i="9"/>
  <c r="AC131" i="9"/>
  <c r="R131" i="9"/>
  <c r="A131" i="9"/>
  <c r="AC130" i="9"/>
  <c r="R130" i="9"/>
  <c r="A130" i="9"/>
  <c r="AC129" i="9"/>
  <c r="R129" i="9"/>
  <c r="A129" i="9"/>
  <c r="AC128" i="9"/>
  <c r="R128" i="9"/>
  <c r="A128" i="9"/>
  <c r="AC127" i="9"/>
  <c r="R127" i="9"/>
  <c r="A127" i="9"/>
  <c r="AC126" i="9"/>
  <c r="R126" i="9"/>
  <c r="A126" i="9"/>
  <c r="AC125" i="9"/>
  <c r="R125" i="9"/>
  <c r="A125" i="9"/>
  <c r="AC124" i="9"/>
  <c r="R124" i="9"/>
  <c r="A124" i="9"/>
  <c r="AC123" i="9"/>
  <c r="R123" i="9"/>
  <c r="A123" i="9"/>
  <c r="AC122" i="9"/>
  <c r="R122" i="9"/>
  <c r="A122" i="9"/>
  <c r="AC121" i="9"/>
  <c r="R121" i="9"/>
  <c r="A121" i="9"/>
  <c r="AC120" i="9"/>
  <c r="R120" i="9"/>
  <c r="A120" i="9"/>
  <c r="AC119" i="9"/>
  <c r="R119" i="9"/>
  <c r="A119" i="9"/>
  <c r="AC118" i="9"/>
  <c r="R118" i="9"/>
  <c r="A118" i="9"/>
  <c r="AC117" i="9"/>
  <c r="R117" i="9"/>
  <c r="A117" i="9"/>
  <c r="AC116" i="9"/>
  <c r="R116" i="9"/>
  <c r="A116" i="9"/>
  <c r="AC115" i="9"/>
  <c r="R115" i="9"/>
  <c r="A115" i="9"/>
  <c r="AC114" i="9"/>
  <c r="R114" i="9"/>
  <c r="A114" i="9"/>
  <c r="AC113" i="9"/>
  <c r="R113" i="9"/>
  <c r="A113" i="9"/>
  <c r="AC112" i="9"/>
  <c r="R112" i="9"/>
  <c r="A112" i="9"/>
  <c r="AC111" i="9"/>
  <c r="R111" i="9"/>
  <c r="A111" i="9"/>
  <c r="AC110" i="9"/>
  <c r="R110" i="9"/>
  <c r="A110" i="9"/>
  <c r="AC109" i="9"/>
  <c r="R109" i="9"/>
  <c r="A109" i="9"/>
  <c r="AC108" i="9"/>
  <c r="R108" i="9"/>
  <c r="A108" i="9"/>
  <c r="AC107" i="9"/>
  <c r="R107" i="9"/>
  <c r="A107" i="9"/>
  <c r="AC106" i="9"/>
  <c r="R106" i="9"/>
  <c r="A106" i="9"/>
  <c r="AC105" i="9"/>
  <c r="R105" i="9"/>
  <c r="A105" i="9"/>
  <c r="AC104" i="9"/>
  <c r="R104" i="9"/>
  <c r="A104" i="9"/>
  <c r="AC103" i="9"/>
  <c r="R103" i="9"/>
  <c r="A103" i="9"/>
  <c r="AC102" i="9"/>
  <c r="R102" i="9"/>
  <c r="A102" i="9"/>
  <c r="AC101" i="9"/>
  <c r="R101" i="9"/>
  <c r="A101" i="9"/>
  <c r="AC100" i="9"/>
  <c r="R100" i="9"/>
  <c r="A100" i="9"/>
  <c r="AC99" i="9"/>
  <c r="R99" i="9"/>
  <c r="A99" i="9"/>
  <c r="AC98" i="9"/>
  <c r="R98" i="9"/>
  <c r="L98" i="9"/>
  <c r="A98" i="9"/>
  <c r="AC97" i="9"/>
  <c r="R97" i="9"/>
  <c r="L97" i="9"/>
  <c r="A97" i="9"/>
  <c r="AC96" i="9"/>
  <c r="R96" i="9"/>
  <c r="L96" i="9"/>
  <c r="A96" i="9"/>
  <c r="AC95" i="9"/>
  <c r="R95" i="9"/>
  <c r="L95" i="9"/>
  <c r="A95" i="9"/>
  <c r="AC94" i="9"/>
  <c r="R94" i="9"/>
  <c r="L94" i="9"/>
  <c r="A94" i="9"/>
  <c r="AC93" i="9"/>
  <c r="R93" i="9"/>
  <c r="L93" i="9"/>
  <c r="A93" i="9"/>
  <c r="AC92" i="9"/>
  <c r="R92" i="9"/>
  <c r="L92" i="9"/>
  <c r="A92" i="9"/>
  <c r="AC91" i="9"/>
  <c r="R91" i="9"/>
  <c r="L91" i="9"/>
  <c r="A91" i="9"/>
  <c r="AC90" i="9"/>
  <c r="R90" i="9"/>
  <c r="L90" i="9"/>
  <c r="A90" i="9"/>
  <c r="AC89" i="9"/>
  <c r="R89" i="9"/>
  <c r="L89" i="9"/>
  <c r="A89" i="9"/>
  <c r="AC88" i="9"/>
  <c r="R88" i="9"/>
  <c r="L88" i="9"/>
  <c r="A88" i="9"/>
  <c r="AC87" i="9"/>
  <c r="R87" i="9"/>
  <c r="L87" i="9"/>
  <c r="A87" i="9"/>
  <c r="AC86" i="9"/>
  <c r="R86" i="9"/>
  <c r="L86" i="9"/>
  <c r="A86" i="9"/>
  <c r="AC85" i="9"/>
  <c r="R85" i="9"/>
  <c r="L85" i="9"/>
  <c r="A85" i="9"/>
  <c r="AC84" i="9"/>
  <c r="R84" i="9"/>
  <c r="L84" i="9"/>
  <c r="A84" i="9"/>
  <c r="AC83" i="9"/>
  <c r="R83" i="9"/>
  <c r="L83" i="9"/>
  <c r="A83" i="9"/>
  <c r="AC82" i="9"/>
  <c r="R82" i="9"/>
  <c r="L82" i="9"/>
  <c r="A82" i="9"/>
  <c r="AC81" i="9"/>
  <c r="R81" i="9"/>
  <c r="L81" i="9"/>
  <c r="A81" i="9"/>
  <c r="AC80" i="9"/>
  <c r="R80" i="9"/>
  <c r="L80" i="9"/>
  <c r="A80" i="9"/>
  <c r="AC79" i="9"/>
  <c r="R79" i="9"/>
  <c r="L79" i="9"/>
  <c r="A79" i="9"/>
  <c r="AC78" i="9"/>
  <c r="R78" i="9"/>
  <c r="L78" i="9"/>
  <c r="A78" i="9"/>
  <c r="AC77" i="9"/>
  <c r="R77" i="9"/>
  <c r="L77" i="9"/>
  <c r="A77" i="9"/>
  <c r="AC76" i="9"/>
  <c r="R76" i="9"/>
  <c r="L76" i="9"/>
  <c r="A76" i="9"/>
  <c r="AC75" i="9"/>
  <c r="R75" i="9"/>
  <c r="L75" i="9"/>
  <c r="A75" i="9"/>
  <c r="AC74" i="9"/>
  <c r="R74" i="9"/>
  <c r="L74" i="9"/>
  <c r="A74" i="9"/>
  <c r="AC73" i="9"/>
  <c r="R73" i="9"/>
  <c r="L73" i="9"/>
  <c r="A73" i="9"/>
  <c r="AC72" i="9"/>
  <c r="R72" i="9"/>
  <c r="L72" i="9"/>
  <c r="A72" i="9"/>
  <c r="AC71" i="9"/>
  <c r="R71" i="9"/>
  <c r="L71" i="9"/>
  <c r="A71" i="9"/>
  <c r="AC70" i="9"/>
  <c r="R70" i="9"/>
  <c r="L70" i="9"/>
  <c r="A70" i="9"/>
  <c r="AC69" i="9"/>
  <c r="R69" i="9"/>
  <c r="L69" i="9"/>
  <c r="A69" i="9"/>
  <c r="AC68" i="9"/>
  <c r="R68" i="9"/>
  <c r="L68" i="9"/>
  <c r="A68" i="9"/>
  <c r="AC67" i="9"/>
  <c r="R67" i="9"/>
  <c r="L67" i="9"/>
  <c r="A67" i="9"/>
  <c r="AC66" i="9"/>
  <c r="R66" i="9"/>
  <c r="L66" i="9"/>
  <c r="A66" i="9"/>
  <c r="AC65" i="9"/>
  <c r="R65" i="9"/>
  <c r="L65" i="9"/>
  <c r="A65" i="9"/>
  <c r="AC64" i="9"/>
  <c r="R64" i="9"/>
  <c r="L64" i="9"/>
  <c r="A64" i="9"/>
  <c r="AC63" i="9"/>
  <c r="R63" i="9"/>
  <c r="L63" i="9"/>
  <c r="A63" i="9"/>
  <c r="AC62" i="9"/>
  <c r="R62" i="9"/>
  <c r="L62" i="9"/>
  <c r="A62" i="9"/>
  <c r="AC61" i="9"/>
  <c r="R61" i="9"/>
  <c r="L61" i="9"/>
  <c r="A61" i="9"/>
  <c r="AC60" i="9"/>
  <c r="R60" i="9"/>
  <c r="L60" i="9"/>
  <c r="A60" i="9"/>
  <c r="AC59" i="9"/>
  <c r="R59" i="9"/>
  <c r="L59" i="9"/>
  <c r="A59" i="9"/>
  <c r="AC58" i="9"/>
  <c r="R58" i="9"/>
  <c r="L58" i="9"/>
  <c r="A58" i="9"/>
  <c r="AC57" i="9"/>
  <c r="R57" i="9"/>
  <c r="L57" i="9"/>
  <c r="A57" i="9"/>
  <c r="AC56" i="9"/>
  <c r="R56" i="9"/>
  <c r="L56" i="9"/>
  <c r="A56" i="9"/>
  <c r="AC55" i="9"/>
  <c r="R55" i="9"/>
  <c r="L55" i="9"/>
  <c r="A55" i="9"/>
  <c r="AC54" i="9"/>
  <c r="R54" i="9"/>
  <c r="Z54" i="9" s="1"/>
  <c r="L54" i="9"/>
  <c r="A54" i="9"/>
  <c r="AC53" i="9"/>
  <c r="R53" i="9"/>
  <c r="L53" i="9"/>
  <c r="A53" i="9"/>
  <c r="AC52" i="9"/>
  <c r="R52" i="9"/>
  <c r="L52" i="9"/>
  <c r="A52" i="9"/>
  <c r="AC51" i="9"/>
  <c r="R51" i="9"/>
  <c r="Z51" i="9" s="1"/>
  <c r="L51" i="9"/>
  <c r="A51" i="9"/>
  <c r="AC50" i="9"/>
  <c r="R50" i="9"/>
  <c r="L50" i="9"/>
  <c r="A50" i="9"/>
  <c r="AC49" i="9"/>
  <c r="R49" i="9"/>
  <c r="L49" i="9"/>
  <c r="A49" i="9"/>
  <c r="AC48" i="9"/>
  <c r="R48" i="9"/>
  <c r="Z48" i="9" s="1"/>
  <c r="L48" i="9"/>
  <c r="A48" i="9"/>
  <c r="AC47" i="9"/>
  <c r="R47" i="9"/>
  <c r="L47" i="9"/>
  <c r="A47" i="9"/>
  <c r="AC46" i="9"/>
  <c r="R46" i="9"/>
  <c r="L46" i="9"/>
  <c r="A46" i="9"/>
  <c r="AC45" i="9"/>
  <c r="R45" i="9"/>
  <c r="Z45" i="9" s="1"/>
  <c r="L45" i="9"/>
  <c r="A45" i="9"/>
  <c r="AC44" i="9"/>
  <c r="R44" i="9"/>
  <c r="L44" i="9"/>
  <c r="A44" i="9"/>
  <c r="AC43" i="9"/>
  <c r="R43" i="9"/>
  <c r="L43" i="9"/>
  <c r="A43" i="9"/>
  <c r="AC42" i="9"/>
  <c r="R42" i="9"/>
  <c r="Z42" i="9" s="1"/>
  <c r="L42" i="9"/>
  <c r="A42" i="9"/>
  <c r="AC41" i="9"/>
  <c r="R41" i="9"/>
  <c r="L41" i="9"/>
  <c r="A41" i="9"/>
  <c r="AC40" i="9"/>
  <c r="R40" i="9"/>
  <c r="L40" i="9"/>
  <c r="A40" i="9"/>
  <c r="AC39" i="9"/>
  <c r="R39" i="9"/>
  <c r="Z39" i="9" s="1"/>
  <c r="L39" i="9"/>
  <c r="A39" i="9"/>
  <c r="AC38" i="9"/>
  <c r="R38" i="9"/>
  <c r="L38" i="9"/>
  <c r="A38" i="9"/>
  <c r="AC37" i="9"/>
  <c r="R37" i="9"/>
  <c r="L37" i="9"/>
  <c r="A37" i="9"/>
  <c r="AC36" i="9"/>
  <c r="R36" i="9"/>
  <c r="Z36" i="9" s="1"/>
  <c r="L36" i="9"/>
  <c r="A36" i="9"/>
  <c r="AC35" i="9"/>
  <c r="R35" i="9"/>
  <c r="L35" i="9"/>
  <c r="A35" i="9"/>
  <c r="AC34" i="9"/>
  <c r="R34" i="9"/>
  <c r="L34" i="9"/>
  <c r="A34" i="9"/>
  <c r="AC33" i="9"/>
  <c r="R33" i="9"/>
  <c r="Z33" i="9" s="1"/>
  <c r="L33" i="9"/>
  <c r="A33" i="9"/>
  <c r="AC32" i="9"/>
  <c r="R32" i="9"/>
  <c r="L32" i="9"/>
  <c r="A32" i="9"/>
  <c r="AC31" i="9"/>
  <c r="R31" i="9"/>
  <c r="L31" i="9"/>
  <c r="A31" i="9"/>
  <c r="AC30" i="9"/>
  <c r="R30" i="9"/>
  <c r="Z30" i="9" s="1"/>
  <c r="AA30" i="9" s="1"/>
  <c r="L30" i="9"/>
  <c r="A30" i="9"/>
  <c r="AC29" i="9"/>
  <c r="R29" i="9"/>
  <c r="L29" i="9"/>
  <c r="A29" i="9"/>
  <c r="AC28" i="9"/>
  <c r="R28" i="9"/>
  <c r="L28" i="9"/>
  <c r="A28" i="9"/>
  <c r="AC27" i="9"/>
  <c r="R27" i="9"/>
  <c r="Z27" i="9" s="1"/>
  <c r="L27" i="9"/>
  <c r="A27" i="9"/>
  <c r="AC26" i="9"/>
  <c r="R26" i="9"/>
  <c r="L26" i="9"/>
  <c r="A26" i="9"/>
  <c r="AC25" i="9"/>
  <c r="R25" i="9"/>
  <c r="L25" i="9"/>
  <c r="A25" i="9"/>
  <c r="AC24" i="9"/>
  <c r="R24" i="9"/>
  <c r="Z24" i="9" s="1"/>
  <c r="L24" i="9"/>
  <c r="A24" i="9"/>
  <c r="AC23" i="9"/>
  <c r="R23" i="9"/>
  <c r="L23" i="9"/>
  <c r="A23" i="9"/>
  <c r="AC22" i="9"/>
  <c r="R22" i="9"/>
  <c r="Z22" i="9" s="1"/>
  <c r="L22" i="9"/>
  <c r="A22" i="9"/>
  <c r="AC21" i="9"/>
  <c r="R21" i="9"/>
  <c r="L21" i="9"/>
  <c r="A21" i="9"/>
  <c r="AC20" i="9"/>
  <c r="R20" i="9"/>
  <c r="L20" i="9"/>
  <c r="A20" i="9"/>
  <c r="AC19" i="9"/>
  <c r="R19" i="9"/>
  <c r="Z19" i="9" s="1"/>
  <c r="L19" i="9"/>
  <c r="A19" i="9"/>
  <c r="AC18" i="9"/>
  <c r="R18" i="9"/>
  <c r="Z18" i="9" s="1"/>
  <c r="L18" i="9"/>
  <c r="A18" i="9"/>
  <c r="AC17" i="9"/>
  <c r="R17" i="9"/>
  <c r="L17" i="9"/>
  <c r="A17" i="9"/>
  <c r="AC16" i="9"/>
  <c r="R16" i="9"/>
  <c r="Z16" i="9" s="1"/>
  <c r="L16" i="9"/>
  <c r="A16" i="9"/>
  <c r="AC15" i="9"/>
  <c r="R15" i="9"/>
  <c r="Z15" i="9" s="1"/>
  <c r="L15" i="9"/>
  <c r="A15" i="9"/>
  <c r="AC14" i="9"/>
  <c r="R14" i="9"/>
  <c r="L14" i="9"/>
  <c r="A14" i="9"/>
  <c r="AC13" i="9"/>
  <c r="R13" i="9"/>
  <c r="Z13" i="9" s="1"/>
  <c r="L13" i="9"/>
  <c r="A13" i="9"/>
  <c r="AC12" i="9"/>
  <c r="R12" i="9"/>
  <c r="Z12" i="9" s="1"/>
  <c r="L12" i="9"/>
  <c r="A12" i="9"/>
  <c r="AC11" i="9"/>
  <c r="R11" i="9"/>
  <c r="L11" i="9"/>
  <c r="A11" i="9"/>
  <c r="AC10" i="9"/>
  <c r="R10" i="9"/>
  <c r="Z10" i="9" s="1"/>
  <c r="L10" i="9"/>
  <c r="A10" i="9"/>
  <c r="AC9" i="9"/>
  <c r="R9" i="9"/>
  <c r="Z9" i="9" s="1"/>
  <c r="L9" i="9"/>
  <c r="A9" i="9"/>
  <c r="AC8" i="9"/>
  <c r="R8" i="9"/>
  <c r="L8" i="9"/>
  <c r="A8" i="9"/>
  <c r="AC7" i="9"/>
  <c r="R7" i="9"/>
  <c r="Z7" i="9" s="1"/>
  <c r="L7" i="9"/>
  <c r="A7" i="9"/>
  <c r="AC6" i="9"/>
  <c r="R6" i="9"/>
  <c r="Z6" i="9" s="1"/>
  <c r="L6" i="9"/>
  <c r="A6" i="9"/>
  <c r="AC5" i="9"/>
  <c r="R5" i="9"/>
  <c r="L5" i="9"/>
  <c r="A5" i="9"/>
  <c r="AC4" i="9"/>
  <c r="R4" i="9"/>
  <c r="Z4" i="9" s="1"/>
  <c r="L4" i="9"/>
  <c r="A4" i="9"/>
  <c r="AC3" i="9"/>
  <c r="R3" i="9"/>
  <c r="Z3" i="9" s="1"/>
  <c r="L3" i="9"/>
  <c r="A3" i="9"/>
  <c r="Z8" i="9" l="1"/>
  <c r="Z14" i="9"/>
  <c r="Z23" i="9"/>
  <c r="Z29" i="9"/>
  <c r="Z41" i="9"/>
  <c r="Z17" i="9"/>
  <c r="Z25" i="9"/>
  <c r="Z28" i="9"/>
  <c r="Z31" i="9"/>
  <c r="Z34" i="9"/>
  <c r="Z37" i="9"/>
  <c r="AA37" i="9" s="1"/>
  <c r="Z40" i="9"/>
  <c r="Z46" i="9"/>
  <c r="Z49" i="9"/>
  <c r="Z52" i="9"/>
  <c r="Z5" i="9"/>
  <c r="Z11" i="9"/>
  <c r="Z20" i="9"/>
  <c r="Z26" i="9"/>
  <c r="Z35" i="9"/>
  <c r="Z38" i="9"/>
  <c r="Z44" i="9"/>
  <c r="Z47" i="9"/>
  <c r="Z50" i="9"/>
  <c r="Z53" i="9"/>
  <c r="Z101" i="9"/>
  <c r="Z105" i="9"/>
  <c r="Z109" i="9"/>
  <c r="Z113" i="9"/>
  <c r="Z117" i="9"/>
  <c r="Z121" i="9"/>
  <c r="Z125" i="9"/>
  <c r="Z129" i="9"/>
  <c r="Z133" i="9"/>
  <c r="Z137" i="9"/>
  <c r="Z141" i="9"/>
  <c r="Z145" i="9"/>
  <c r="Z149" i="9"/>
  <c r="Z153" i="9"/>
  <c r="Z157" i="9"/>
  <c r="Z161" i="9"/>
  <c r="Z165" i="9"/>
  <c r="Z169" i="9"/>
  <c r="Z173" i="9"/>
  <c r="Z178" i="9"/>
  <c r="J3" i="9"/>
  <c r="Z100" i="9"/>
  <c r="Z104" i="9"/>
  <c r="Z108" i="9"/>
  <c r="Z112" i="9"/>
  <c r="Z116" i="9"/>
  <c r="Z120" i="9"/>
  <c r="Z124" i="9"/>
  <c r="Z128" i="9"/>
  <c r="Z132" i="9"/>
  <c r="Z136" i="9"/>
  <c r="Z140" i="9"/>
  <c r="Z144" i="9"/>
  <c r="Z148" i="9"/>
  <c r="Z152" i="9"/>
  <c r="Z156" i="9"/>
  <c r="Z160" i="9"/>
  <c r="Z164" i="9"/>
  <c r="Z168" i="9"/>
  <c r="Z172" i="9"/>
  <c r="AA172" i="9" s="1"/>
  <c r="Z181" i="9"/>
  <c r="Z177" i="9"/>
  <c r="Z99" i="9"/>
  <c r="Z103" i="9"/>
  <c r="Z107" i="9"/>
  <c r="Z111" i="9"/>
  <c r="Z115" i="9"/>
  <c r="Z119" i="9"/>
  <c r="Z123" i="9"/>
  <c r="Z127" i="9"/>
  <c r="Z131" i="9"/>
  <c r="Z135" i="9"/>
  <c r="Z139" i="9"/>
  <c r="Z143" i="9"/>
  <c r="Z147" i="9"/>
  <c r="Z151" i="9"/>
  <c r="Z155" i="9"/>
  <c r="Z159" i="9"/>
  <c r="Z163" i="9"/>
  <c r="Z167" i="9"/>
  <c r="Z171" i="9"/>
  <c r="Z180" i="9"/>
  <c r="Z176" i="9"/>
  <c r="Z55" i="9"/>
  <c r="AA55" i="9" s="1"/>
  <c r="Z56" i="9"/>
  <c r="Z57" i="9"/>
  <c r="Z58" i="9"/>
  <c r="Z59" i="9"/>
  <c r="Z60" i="9"/>
  <c r="Z61" i="9"/>
  <c r="Z62" i="9"/>
  <c r="Z63" i="9"/>
  <c r="Z64" i="9"/>
  <c r="Z65" i="9"/>
  <c r="Z66" i="9"/>
  <c r="Z67" i="9"/>
  <c r="AA67" i="9" s="1"/>
  <c r="Z68" i="9"/>
  <c r="Z69" i="9"/>
  <c r="Z70" i="9"/>
  <c r="Z71" i="9"/>
  <c r="Z72" i="9"/>
  <c r="Z73" i="9"/>
  <c r="Z74" i="9"/>
  <c r="Z75" i="9"/>
  <c r="Z76" i="9"/>
  <c r="Z77" i="9"/>
  <c r="Z78" i="9"/>
  <c r="Z79" i="9"/>
  <c r="AA79" i="9" s="1"/>
  <c r="Z80" i="9"/>
  <c r="Z81" i="9"/>
  <c r="Z82" i="9"/>
  <c r="AA82" i="9" s="1"/>
  <c r="Z83" i="9"/>
  <c r="Z84" i="9"/>
  <c r="Z85" i="9"/>
  <c r="Z86" i="9"/>
  <c r="Z87" i="9"/>
  <c r="Z88" i="9"/>
  <c r="Z89" i="9"/>
  <c r="Z90" i="9"/>
  <c r="Z91" i="9"/>
  <c r="AA91" i="9" s="1"/>
  <c r="Z92" i="9"/>
  <c r="Z93" i="9"/>
  <c r="Z94" i="9"/>
  <c r="Z95" i="9"/>
  <c r="Z96" i="9"/>
  <c r="Z97" i="9"/>
  <c r="Z98" i="9"/>
  <c r="Z102" i="9"/>
  <c r="Z106" i="9"/>
  <c r="Z110" i="9"/>
  <c r="Z114" i="9"/>
  <c r="Z118" i="9"/>
  <c r="AA118" i="9" s="1"/>
  <c r="Z122" i="9"/>
  <c r="Z126" i="9"/>
  <c r="Z130" i="9"/>
  <c r="AA130" i="9" s="1"/>
  <c r="Z134" i="9"/>
  <c r="Z138" i="9"/>
  <c r="Z142" i="9"/>
  <c r="Z146" i="9"/>
  <c r="Z150" i="9"/>
  <c r="AA150" i="9" s="1"/>
  <c r="Z154" i="9"/>
  <c r="Z158" i="9"/>
  <c r="Z162" i="9"/>
  <c r="Z166" i="9"/>
  <c r="Z170" i="9"/>
  <c r="Z174" i="9"/>
  <c r="Z179" i="9"/>
  <c r="Z175" i="9"/>
  <c r="Z43" i="9"/>
  <c r="AA43" i="9" s="1"/>
  <c r="Z21" i="9"/>
  <c r="AA21" i="9" s="1"/>
  <c r="Z32" i="9"/>
  <c r="AA32" i="9" s="1"/>
  <c r="AA175" i="9"/>
  <c r="AA3" i="9"/>
  <c r="AA5" i="9"/>
  <c r="AA6" i="9"/>
  <c r="AA10" i="9"/>
  <c r="AA13" i="9"/>
  <c r="AA14" i="9"/>
  <c r="AA22" i="9"/>
  <c r="AA26" i="9"/>
  <c r="AA29" i="9"/>
  <c r="AA34" i="9"/>
  <c r="AA38" i="9"/>
  <c r="AA42" i="9"/>
  <c r="AA45" i="9"/>
  <c r="AA46" i="9"/>
  <c r="AA50" i="9"/>
  <c r="AA178" i="9"/>
  <c r="AA180" i="9"/>
  <c r="AA181" i="9"/>
  <c r="AA177" i="9"/>
  <c r="J31" i="9"/>
  <c r="J19" i="9"/>
  <c r="J373" i="9"/>
  <c r="J12" i="9"/>
  <c r="J18" i="9"/>
  <c r="AA121" i="9"/>
  <c r="J15" i="9"/>
  <c r="J4" i="9"/>
  <c r="AA176" i="9"/>
  <c r="J23" i="9"/>
  <c r="J27" i="9"/>
  <c r="J309" i="9"/>
  <c r="J7" i="9"/>
  <c r="J10" i="9"/>
  <c r="J11" i="9"/>
  <c r="AA18" i="9"/>
  <c r="J35" i="9"/>
  <c r="J43" i="9"/>
  <c r="J51" i="9"/>
  <c r="J62" i="9"/>
  <c r="AA179" i="9"/>
  <c r="AA57" i="9"/>
  <c r="J26" i="9"/>
  <c r="J39" i="9"/>
  <c r="J42" i="9"/>
  <c r="J50" i="9"/>
  <c r="AA54" i="9"/>
  <c r="J56" i="9"/>
  <c r="J84" i="9"/>
  <c r="J86" i="9"/>
  <c r="J106" i="9"/>
  <c r="AA113" i="9"/>
  <c r="J138" i="9"/>
  <c r="AA145" i="9"/>
  <c r="J214" i="9"/>
  <c r="J341" i="9"/>
  <c r="AA11" i="9"/>
  <c r="J20" i="9"/>
  <c r="AA27" i="9"/>
  <c r="AA35" i="9"/>
  <c r="J52" i="9"/>
  <c r="AA62" i="9"/>
  <c r="J67" i="9"/>
  <c r="AA77" i="9"/>
  <c r="AA104" i="9"/>
  <c r="AA105" i="9"/>
  <c r="AA136" i="9"/>
  <c r="AA137" i="9"/>
  <c r="J149" i="9"/>
  <c r="J246" i="9"/>
  <c r="J6" i="9"/>
  <c r="J14" i="9"/>
  <c r="AA7" i="9"/>
  <c r="J8" i="9"/>
  <c r="AA15" i="9"/>
  <c r="J16" i="9"/>
  <c r="AA23" i="9"/>
  <c r="J24" i="9"/>
  <c r="AA31" i="9"/>
  <c r="J32" i="9"/>
  <c r="AA39" i="9"/>
  <c r="J40" i="9"/>
  <c r="AA47" i="9"/>
  <c r="J48" i="9"/>
  <c r="J58" i="9"/>
  <c r="AA61" i="9"/>
  <c r="AA66" i="9"/>
  <c r="J68" i="9"/>
  <c r="AA73" i="9"/>
  <c r="J78" i="9"/>
  <c r="AA88" i="9"/>
  <c r="AA89" i="9"/>
  <c r="J93" i="9"/>
  <c r="J94" i="9"/>
  <c r="J114" i="9"/>
  <c r="AA120" i="9"/>
  <c r="J125" i="9"/>
  <c r="J146" i="9"/>
  <c r="AA161" i="9"/>
  <c r="J302" i="9"/>
  <c r="J313" i="9"/>
  <c r="J34" i="9"/>
  <c r="J47" i="9"/>
  <c r="AA53" i="9"/>
  <c r="J63" i="9"/>
  <c r="J71" i="9"/>
  <c r="J85" i="9"/>
  <c r="AA112" i="9"/>
  <c r="J117" i="9"/>
  <c r="AA144" i="9"/>
  <c r="J212" i="9"/>
  <c r="J334" i="9"/>
  <c r="J345" i="9"/>
  <c r="AA36" i="9"/>
  <c r="AA28" i="9"/>
  <c r="AA24" i="9"/>
  <c r="AA20" i="9"/>
  <c r="AA16" i="9"/>
  <c r="AA12" i="9"/>
  <c r="AA8" i="9"/>
  <c r="AA4" i="9"/>
  <c r="AA123" i="9"/>
  <c r="AA115" i="9"/>
  <c r="AA107" i="9"/>
  <c r="AA94" i="9"/>
  <c r="AA86" i="9"/>
  <c r="AA71" i="9"/>
  <c r="AA148" i="9"/>
  <c r="AA147" i="9"/>
  <c r="AA139" i="9"/>
  <c r="AA131" i="9"/>
  <c r="AA19" i="9"/>
  <c r="J28" i="9"/>
  <c r="J36" i="9"/>
  <c r="J44" i="9"/>
  <c r="AA51" i="9"/>
  <c r="J53" i="9"/>
  <c r="J65" i="9"/>
  <c r="J66" i="9"/>
  <c r="AA76" i="9"/>
  <c r="J79" i="9"/>
  <c r="AA83" i="9"/>
  <c r="J98" i="9"/>
  <c r="J109" i="9"/>
  <c r="J130" i="9"/>
  <c r="J141" i="9"/>
  <c r="AA159" i="9"/>
  <c r="J244" i="9"/>
  <c r="J366" i="9"/>
  <c r="J377" i="9"/>
  <c r="J37" i="9"/>
  <c r="J33" i="9"/>
  <c r="J29" i="9"/>
  <c r="J25" i="9"/>
  <c r="J21" i="9"/>
  <c r="J17" i="9"/>
  <c r="J13" i="9"/>
  <c r="J9" i="9"/>
  <c r="J5" i="9"/>
  <c r="J132" i="9"/>
  <c r="J124" i="9"/>
  <c r="J108" i="9"/>
  <c r="J95" i="9"/>
  <c r="J87" i="9"/>
  <c r="J72" i="9"/>
  <c r="J363" i="9"/>
  <c r="J331" i="9"/>
  <c r="J299" i="9"/>
  <c r="J267" i="9"/>
  <c r="J235" i="9"/>
  <c r="J203" i="9"/>
  <c r="J182" i="9"/>
  <c r="J151" i="9"/>
  <c r="J140" i="9"/>
  <c r="J116" i="9"/>
  <c r="AA9" i="9"/>
  <c r="AA17" i="9"/>
  <c r="J22" i="9"/>
  <c r="AA25" i="9"/>
  <c r="J30" i="9"/>
  <c r="AA33" i="9"/>
  <c r="J38" i="9"/>
  <c r="AA41" i="9"/>
  <c r="J46" i="9"/>
  <c r="AA49" i="9"/>
  <c r="J55" i="9"/>
  <c r="AA60" i="9"/>
  <c r="AA69" i="9"/>
  <c r="AA70" i="9"/>
  <c r="J74" i="9"/>
  <c r="AA78" i="9"/>
  <c r="J81" i="9"/>
  <c r="J82" i="9"/>
  <c r="J83" i="9"/>
  <c r="J90" i="9"/>
  <c r="AA96" i="9"/>
  <c r="AA97" i="9"/>
  <c r="J101" i="9"/>
  <c r="J122" i="9"/>
  <c r="AA128" i="9"/>
  <c r="AA129" i="9"/>
  <c r="J133" i="9"/>
  <c r="J152" i="9"/>
  <c r="J162" i="9"/>
  <c r="AA163" i="9"/>
  <c r="J276" i="9"/>
  <c r="J278" i="9"/>
  <c r="AA122" i="9"/>
  <c r="J127" i="9"/>
  <c r="J135" i="9"/>
  <c r="AA138" i="9"/>
  <c r="J143" i="9"/>
  <c r="AA146" i="9"/>
  <c r="J158" i="9"/>
  <c r="J166" i="9"/>
  <c r="J209" i="9"/>
  <c r="J211" i="9"/>
  <c r="J241" i="9"/>
  <c r="J243" i="9"/>
  <c r="J273" i="9"/>
  <c r="J275" i="9"/>
  <c r="J296" i="9"/>
  <c r="J307" i="9"/>
  <c r="J328" i="9"/>
  <c r="J339" i="9"/>
  <c r="J360" i="9"/>
  <c r="J371" i="9"/>
  <c r="J392" i="9"/>
  <c r="J391" i="9"/>
  <c r="J383" i="9"/>
  <c r="J375" i="9"/>
  <c r="J367" i="9"/>
  <c r="J359" i="9"/>
  <c r="J351" i="9"/>
  <c r="J343" i="9"/>
  <c r="J335" i="9"/>
  <c r="J327" i="9"/>
  <c r="J319" i="9"/>
  <c r="J311" i="9"/>
  <c r="J303" i="9"/>
  <c r="J295" i="9"/>
  <c r="J287" i="9"/>
  <c r="J279" i="9"/>
  <c r="J271" i="9"/>
  <c r="J263" i="9"/>
  <c r="J255" i="9"/>
  <c r="J247" i="9"/>
  <c r="J239" i="9"/>
  <c r="J231" i="9"/>
  <c r="J223" i="9"/>
  <c r="J215" i="9"/>
  <c r="J207" i="9"/>
  <c r="J199" i="9"/>
  <c r="J190" i="9"/>
  <c r="J187" i="9"/>
  <c r="J184" i="9"/>
  <c r="J169" i="9"/>
  <c r="J167" i="9"/>
  <c r="J165" i="9"/>
  <c r="J163" i="9"/>
  <c r="J288" i="9"/>
  <c r="J280" i="9"/>
  <c r="J272" i="9"/>
  <c r="J264" i="9"/>
  <c r="J256" i="9"/>
  <c r="J248" i="9"/>
  <c r="J240" i="9"/>
  <c r="J232" i="9"/>
  <c r="J224" i="9"/>
  <c r="J216" i="9"/>
  <c r="J208" i="9"/>
  <c r="J200" i="9"/>
  <c r="J188" i="9"/>
  <c r="J186" i="9"/>
  <c r="J155" i="9"/>
  <c r="J381" i="9"/>
  <c r="J365" i="9"/>
  <c r="J349" i="9"/>
  <c r="J333" i="9"/>
  <c r="J317" i="9"/>
  <c r="J301" i="9"/>
  <c r="J284" i="9"/>
  <c r="J268" i="9"/>
  <c r="J252" i="9"/>
  <c r="J236" i="9"/>
  <c r="J220" i="9"/>
  <c r="J204" i="9"/>
  <c r="J192" i="9"/>
  <c r="J183" i="9"/>
  <c r="J180" i="9"/>
  <c r="J168" i="9"/>
  <c r="J161" i="9"/>
  <c r="J156" i="9"/>
  <c r="J153" i="9"/>
  <c r="J148" i="9"/>
  <c r="J100" i="9"/>
  <c r="J96" i="9"/>
  <c r="J92" i="9"/>
  <c r="J88" i="9"/>
  <c r="AA168" i="9"/>
  <c r="AA166" i="9"/>
  <c r="AA164" i="9"/>
  <c r="AA162" i="9"/>
  <c r="AA154" i="9"/>
  <c r="AA165" i="9"/>
  <c r="AA160" i="9"/>
  <c r="AA157" i="9"/>
  <c r="AA152" i="9"/>
  <c r="AA149" i="9"/>
  <c r="AA99" i="9"/>
  <c r="AA95" i="9"/>
  <c r="AA87" i="9"/>
  <c r="AA52" i="9"/>
  <c r="J57" i="9"/>
  <c r="AA59" i="9"/>
  <c r="J60" i="9"/>
  <c r="AA68" i="9"/>
  <c r="J73" i="9"/>
  <c r="AA75" i="9"/>
  <c r="J76" i="9"/>
  <c r="AA84" i="9"/>
  <c r="J89" i="9"/>
  <c r="AA92" i="9"/>
  <c r="J97" i="9"/>
  <c r="AA100" i="9"/>
  <c r="AA101" i="9"/>
  <c r="J102" i="9"/>
  <c r="J105" i="9"/>
  <c r="AA108" i="9"/>
  <c r="AA109" i="9"/>
  <c r="J110" i="9"/>
  <c r="J113" i="9"/>
  <c r="AA116" i="9"/>
  <c r="AA117" i="9"/>
  <c r="J118" i="9"/>
  <c r="J121" i="9"/>
  <c r="AA124" i="9"/>
  <c r="AA125" i="9"/>
  <c r="J126" i="9"/>
  <c r="J129" i="9"/>
  <c r="AA132" i="9"/>
  <c r="AA133" i="9"/>
  <c r="J134" i="9"/>
  <c r="J137" i="9"/>
  <c r="AA140" i="9"/>
  <c r="AA141" i="9"/>
  <c r="J142" i="9"/>
  <c r="J145" i="9"/>
  <c r="AA151" i="9"/>
  <c r="J154" i="9"/>
  <c r="J157" i="9"/>
  <c r="AA170" i="9"/>
  <c r="J173" i="9"/>
  <c r="AA174" i="9"/>
  <c r="J179" i="9"/>
  <c r="J196" i="9"/>
  <c r="J198" i="9"/>
  <c r="J228" i="9"/>
  <c r="J230" i="9"/>
  <c r="J260" i="9"/>
  <c r="J262" i="9"/>
  <c r="J292" i="9"/>
  <c r="J294" i="9"/>
  <c r="J297" i="9"/>
  <c r="J318" i="9"/>
  <c r="J325" i="9"/>
  <c r="J329" i="9"/>
  <c r="J350" i="9"/>
  <c r="J357" i="9"/>
  <c r="J361" i="9"/>
  <c r="J382" i="9"/>
  <c r="J389" i="9"/>
  <c r="J393" i="9"/>
  <c r="AA64" i="9"/>
  <c r="J69" i="9"/>
  <c r="AA80" i="9"/>
  <c r="J103" i="9"/>
  <c r="AA106" i="9"/>
  <c r="J111" i="9"/>
  <c r="AA114" i="9"/>
  <c r="J119" i="9"/>
  <c r="AA40" i="9"/>
  <c r="J41" i="9"/>
  <c r="AA44" i="9"/>
  <c r="J45" i="9"/>
  <c r="AA48" i="9"/>
  <c r="J49" i="9"/>
  <c r="J54" i="9"/>
  <c r="AA56" i="9"/>
  <c r="AA58" i="9"/>
  <c r="J59" i="9"/>
  <c r="J61" i="9"/>
  <c r="AA63" i="9"/>
  <c r="J64" i="9"/>
  <c r="AA65" i="9"/>
  <c r="J70" i="9"/>
  <c r="AA72" i="9"/>
  <c r="AA74" i="9"/>
  <c r="J75" i="9"/>
  <c r="J77" i="9"/>
  <c r="J80" i="9"/>
  <c r="AA81" i="9"/>
  <c r="AA85" i="9"/>
  <c r="AA90" i="9"/>
  <c r="J91" i="9"/>
  <c r="AA93" i="9"/>
  <c r="AA98" i="9"/>
  <c r="J99" i="9"/>
  <c r="AA102" i="9"/>
  <c r="AA103" i="9"/>
  <c r="J104" i="9"/>
  <c r="J107" i="9"/>
  <c r="AA110" i="9"/>
  <c r="AA111" i="9"/>
  <c r="J112" i="9"/>
  <c r="J115" i="9"/>
  <c r="AA119" i="9"/>
  <c r="J120" i="9"/>
  <c r="J123" i="9"/>
  <c r="AA126" i="9"/>
  <c r="AA127" i="9"/>
  <c r="J128" i="9"/>
  <c r="J131" i="9"/>
  <c r="AA134" i="9"/>
  <c r="AA135" i="9"/>
  <c r="J136" i="9"/>
  <c r="J139" i="9"/>
  <c r="AA142" i="9"/>
  <c r="AA143" i="9"/>
  <c r="J144" i="9"/>
  <c r="J147" i="9"/>
  <c r="J150" i="9"/>
  <c r="AA153" i="9"/>
  <c r="AA155" i="9"/>
  <c r="AA156" i="9"/>
  <c r="AA158" i="9"/>
  <c r="J159" i="9"/>
  <c r="J160" i="9"/>
  <c r="J164" i="9"/>
  <c r="AA167" i="9"/>
  <c r="AA169" i="9"/>
  <c r="AA173" i="9"/>
  <c r="J176" i="9"/>
  <c r="J178" i="9"/>
  <c r="J189" i="9"/>
  <c r="J191" i="9"/>
  <c r="J195" i="9"/>
  <c r="J219" i="9"/>
  <c r="J225" i="9"/>
  <c r="J227" i="9"/>
  <c r="J251" i="9"/>
  <c r="J257" i="9"/>
  <c r="J259" i="9"/>
  <c r="J283" i="9"/>
  <c r="J289" i="9"/>
  <c r="J291" i="9"/>
  <c r="J312" i="9"/>
  <c r="J315" i="9"/>
  <c r="J323" i="9"/>
  <c r="J344" i="9"/>
  <c r="J347" i="9"/>
  <c r="J355" i="9"/>
  <c r="J376" i="9"/>
  <c r="J379" i="9"/>
  <c r="J387" i="9"/>
  <c r="J170" i="9"/>
  <c r="J174" i="9"/>
  <c r="J185" i="9"/>
  <c r="J194" i="9"/>
  <c r="J201" i="9"/>
  <c r="J206" i="9"/>
  <c r="J217" i="9"/>
  <c r="J222" i="9"/>
  <c r="J233" i="9"/>
  <c r="J238" i="9"/>
  <c r="J249" i="9"/>
  <c r="J254" i="9"/>
  <c r="J265" i="9"/>
  <c r="J270" i="9"/>
  <c r="J281" i="9"/>
  <c r="J286" i="9"/>
  <c r="J305" i="9"/>
  <c r="J321" i="9"/>
  <c r="J337" i="9"/>
  <c r="J353" i="9"/>
  <c r="J369" i="9"/>
  <c r="J385" i="9"/>
  <c r="J171" i="9"/>
  <c r="J175" i="9"/>
  <c r="J304" i="9"/>
  <c r="J310" i="9"/>
  <c r="J320" i="9"/>
  <c r="J326" i="9"/>
  <c r="J336" i="9"/>
  <c r="J342" i="9"/>
  <c r="J352" i="9"/>
  <c r="J358" i="9"/>
  <c r="J368" i="9"/>
  <c r="J374" i="9"/>
  <c r="J384" i="9"/>
  <c r="J390" i="9"/>
  <c r="J172" i="9"/>
  <c r="J181" i="9"/>
  <c r="J197" i="9"/>
  <c r="J202" i="9"/>
  <c r="J205" i="9"/>
  <c r="J210" i="9"/>
  <c r="J213" i="9"/>
  <c r="J218" i="9"/>
  <c r="J221" i="9"/>
  <c r="J226" i="9"/>
  <c r="J229" i="9"/>
  <c r="J234" i="9"/>
  <c r="J237" i="9"/>
  <c r="J242" i="9"/>
  <c r="J245" i="9"/>
  <c r="J250" i="9"/>
  <c r="J253" i="9"/>
  <c r="J258" i="9"/>
  <c r="J261" i="9"/>
  <c r="J266" i="9"/>
  <c r="J269" i="9"/>
  <c r="J274" i="9"/>
  <c r="J277" i="9"/>
  <c r="J282" i="9"/>
  <c r="J285" i="9"/>
  <c r="J290" i="9"/>
  <c r="J293" i="9"/>
  <c r="J300" i="9"/>
  <c r="J308" i="9"/>
  <c r="J316" i="9"/>
  <c r="J324" i="9"/>
  <c r="J332" i="9"/>
  <c r="J340" i="9"/>
  <c r="J348" i="9"/>
  <c r="J356" i="9"/>
  <c r="J364" i="9"/>
  <c r="J372" i="9"/>
  <c r="J380" i="9"/>
  <c r="J388" i="9"/>
  <c r="AA171" i="9"/>
  <c r="J177" i="9"/>
  <c r="J193" i="9"/>
  <c r="J298" i="9"/>
  <c r="J306" i="9"/>
  <c r="J314" i="9"/>
  <c r="J322" i="9"/>
  <c r="J330" i="9"/>
  <c r="J338" i="9"/>
  <c r="J346" i="9"/>
  <c r="J354" i="9"/>
  <c r="J362" i="9"/>
  <c r="J370" i="9"/>
  <c r="J378" i="9"/>
  <c r="J386" i="9"/>
  <c r="J394" i="9"/>
  <c r="A387" i="8"/>
  <c r="A388" i="8"/>
  <c r="A389" i="8"/>
  <c r="A390" i="8"/>
  <c r="A391" i="8"/>
  <c r="A392" i="8"/>
  <c r="A393" i="8"/>
  <c r="A394" i="8"/>
  <c r="L100" i="8"/>
  <c r="L99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C294" i="8"/>
  <c r="A294" i="8"/>
  <c r="AC293" i="8"/>
  <c r="A293" i="8"/>
  <c r="AC292" i="8"/>
  <c r="A292" i="8"/>
  <c r="AC291" i="8"/>
  <c r="A291" i="8"/>
  <c r="AC290" i="8"/>
  <c r="A290" i="8"/>
  <c r="AC289" i="8"/>
  <c r="A289" i="8"/>
  <c r="AC288" i="8"/>
  <c r="A288" i="8"/>
  <c r="AC287" i="8"/>
  <c r="A287" i="8"/>
  <c r="AC286" i="8"/>
  <c r="A286" i="8"/>
  <c r="AC285" i="8"/>
  <c r="A285" i="8"/>
  <c r="AC284" i="8"/>
  <c r="A284" i="8"/>
  <c r="AC283" i="8"/>
  <c r="A283" i="8"/>
  <c r="AC282" i="8"/>
  <c r="A282" i="8"/>
  <c r="AC281" i="8"/>
  <c r="A281" i="8"/>
  <c r="AC280" i="8"/>
  <c r="A280" i="8"/>
  <c r="AC279" i="8"/>
  <c r="A279" i="8"/>
  <c r="AC278" i="8"/>
  <c r="A278" i="8"/>
  <c r="AC277" i="8"/>
  <c r="A277" i="8"/>
  <c r="AC276" i="8"/>
  <c r="A276" i="8"/>
  <c r="AC275" i="8"/>
  <c r="A275" i="8"/>
  <c r="AC274" i="8"/>
  <c r="A274" i="8"/>
  <c r="AC273" i="8"/>
  <c r="A273" i="8"/>
  <c r="AC272" i="8"/>
  <c r="A272" i="8"/>
  <c r="AC271" i="8"/>
  <c r="A271" i="8"/>
  <c r="AC270" i="8"/>
  <c r="A270" i="8"/>
  <c r="AC269" i="8"/>
  <c r="A269" i="8"/>
  <c r="AC268" i="8"/>
  <c r="A268" i="8"/>
  <c r="AC267" i="8"/>
  <c r="A267" i="8"/>
  <c r="AC266" i="8"/>
  <c r="A266" i="8"/>
  <c r="AC265" i="8"/>
  <c r="A265" i="8"/>
  <c r="AC264" i="8"/>
  <c r="A264" i="8"/>
  <c r="AC263" i="8"/>
  <c r="A263" i="8"/>
  <c r="AC262" i="8"/>
  <c r="A262" i="8"/>
  <c r="AC261" i="8"/>
  <c r="A261" i="8"/>
  <c r="AC260" i="8"/>
  <c r="A260" i="8"/>
  <c r="AC259" i="8"/>
  <c r="A259" i="8"/>
  <c r="AC258" i="8"/>
  <c r="A258" i="8"/>
  <c r="AC257" i="8"/>
  <c r="A257" i="8"/>
  <c r="AC256" i="8"/>
  <c r="A256" i="8"/>
  <c r="AC255" i="8"/>
  <c r="A255" i="8"/>
  <c r="AC254" i="8"/>
  <c r="A254" i="8"/>
  <c r="AC253" i="8"/>
  <c r="A253" i="8"/>
  <c r="AC252" i="8"/>
  <c r="A252" i="8"/>
  <c r="AC251" i="8"/>
  <c r="A251" i="8"/>
  <c r="AC250" i="8"/>
  <c r="A250" i="8"/>
  <c r="AC249" i="8"/>
  <c r="A249" i="8"/>
  <c r="AC248" i="8"/>
  <c r="A248" i="8"/>
  <c r="AC247" i="8"/>
  <c r="A247" i="8"/>
  <c r="AC246" i="8"/>
  <c r="A246" i="8"/>
  <c r="AC245" i="8"/>
  <c r="A245" i="8"/>
  <c r="AC244" i="8"/>
  <c r="A244" i="8"/>
  <c r="AC243" i="8"/>
  <c r="A243" i="8"/>
  <c r="AC242" i="8"/>
  <c r="A242" i="8"/>
  <c r="AC241" i="8"/>
  <c r="A241" i="8"/>
  <c r="AC240" i="8"/>
  <c r="A240" i="8"/>
  <c r="AC239" i="8"/>
  <c r="A239" i="8"/>
  <c r="AC238" i="8"/>
  <c r="A238" i="8"/>
  <c r="AC237" i="8"/>
  <c r="A237" i="8"/>
  <c r="AC236" i="8"/>
  <c r="A236" i="8"/>
  <c r="AC235" i="8"/>
  <c r="A235" i="8"/>
  <c r="AC234" i="8"/>
  <c r="A234" i="8"/>
  <c r="AC233" i="8"/>
  <c r="A233" i="8"/>
  <c r="AC232" i="8"/>
  <c r="A232" i="8"/>
  <c r="AC231" i="8"/>
  <c r="A231" i="8"/>
  <c r="AC230" i="8"/>
  <c r="A230" i="8"/>
  <c r="AC229" i="8"/>
  <c r="A229" i="8"/>
  <c r="AC228" i="8"/>
  <c r="A228" i="8"/>
  <c r="AC227" i="8"/>
  <c r="A227" i="8"/>
  <c r="AC226" i="8"/>
  <c r="A226" i="8"/>
  <c r="AC225" i="8"/>
  <c r="A225" i="8"/>
  <c r="AC224" i="8"/>
  <c r="A224" i="8"/>
  <c r="AC223" i="8"/>
  <c r="A223" i="8"/>
  <c r="AC222" i="8"/>
  <c r="A222" i="8"/>
  <c r="AC221" i="8"/>
  <c r="A221" i="8"/>
  <c r="AC220" i="8"/>
  <c r="A220" i="8"/>
  <c r="AC219" i="8"/>
  <c r="A219" i="8"/>
  <c r="AC218" i="8"/>
  <c r="A218" i="8"/>
  <c r="AC217" i="8"/>
  <c r="A217" i="8"/>
  <c r="AC216" i="8"/>
  <c r="A216" i="8"/>
  <c r="AC215" i="8"/>
  <c r="A215" i="8"/>
  <c r="AC214" i="8"/>
  <c r="A214" i="8"/>
  <c r="AC213" i="8"/>
  <c r="A213" i="8"/>
  <c r="AC212" i="8"/>
  <c r="A212" i="8"/>
  <c r="AC211" i="8"/>
  <c r="A211" i="8"/>
  <c r="AC210" i="8"/>
  <c r="A210" i="8"/>
  <c r="AC209" i="8"/>
  <c r="A209" i="8"/>
  <c r="AC208" i="8"/>
  <c r="A208" i="8"/>
  <c r="AC207" i="8"/>
  <c r="A207" i="8"/>
  <c r="AC206" i="8"/>
  <c r="A206" i="8"/>
  <c r="AC205" i="8"/>
  <c r="A205" i="8"/>
  <c r="AC204" i="8"/>
  <c r="A204" i="8"/>
  <c r="AC203" i="8"/>
  <c r="A203" i="8"/>
  <c r="AC202" i="8"/>
  <c r="A202" i="8"/>
  <c r="AC201" i="8"/>
  <c r="A201" i="8"/>
  <c r="AC200" i="8"/>
  <c r="A200" i="8"/>
  <c r="AC199" i="8"/>
  <c r="A199" i="8"/>
  <c r="AC198" i="8"/>
  <c r="A198" i="8"/>
  <c r="AC197" i="8"/>
  <c r="A197" i="8"/>
  <c r="AC196" i="8"/>
  <c r="A196" i="8"/>
  <c r="AC195" i="8"/>
  <c r="A195" i="8"/>
  <c r="AC194" i="8"/>
  <c r="A194" i="8"/>
  <c r="AC193" i="8"/>
  <c r="A193" i="8"/>
  <c r="AC192" i="8"/>
  <c r="A192" i="8"/>
  <c r="AC191" i="8"/>
  <c r="A191" i="8"/>
  <c r="AC190" i="8"/>
  <c r="A190" i="8"/>
  <c r="AC189" i="8"/>
  <c r="A189" i="8"/>
  <c r="AC188" i="8"/>
  <c r="A188" i="8"/>
  <c r="AC187" i="8"/>
  <c r="A187" i="8"/>
  <c r="AC186" i="8"/>
  <c r="A186" i="8"/>
  <c r="AC185" i="8"/>
  <c r="A185" i="8"/>
  <c r="AC184" i="8"/>
  <c r="A184" i="8"/>
  <c r="AC183" i="8"/>
  <c r="A183" i="8"/>
  <c r="AC182" i="8"/>
  <c r="A182" i="8"/>
  <c r="AC181" i="8"/>
  <c r="A181" i="8"/>
  <c r="AC180" i="8"/>
  <c r="A180" i="8"/>
  <c r="AC179" i="8"/>
  <c r="A179" i="8"/>
  <c r="AC178" i="8"/>
  <c r="A178" i="8"/>
  <c r="AC177" i="8"/>
  <c r="A177" i="8"/>
  <c r="AC176" i="8"/>
  <c r="A176" i="8"/>
  <c r="AC175" i="8"/>
  <c r="A175" i="8"/>
  <c r="AC174" i="8"/>
  <c r="R174" i="8"/>
  <c r="A174" i="8"/>
  <c r="AC173" i="8"/>
  <c r="R173" i="8"/>
  <c r="A173" i="8"/>
  <c r="AC172" i="8"/>
  <c r="R172" i="8"/>
  <c r="A172" i="8"/>
  <c r="AC171" i="8"/>
  <c r="R171" i="8"/>
  <c r="A171" i="8"/>
  <c r="AC170" i="8"/>
  <c r="R170" i="8"/>
  <c r="A170" i="8"/>
  <c r="AC169" i="8"/>
  <c r="R169" i="8"/>
  <c r="A169" i="8"/>
  <c r="AC168" i="8"/>
  <c r="R168" i="8"/>
  <c r="A168" i="8"/>
  <c r="AC167" i="8"/>
  <c r="R167" i="8"/>
  <c r="A167" i="8"/>
  <c r="AC166" i="8"/>
  <c r="R166" i="8"/>
  <c r="A166" i="8"/>
  <c r="AC165" i="8"/>
  <c r="R165" i="8"/>
  <c r="A165" i="8"/>
  <c r="AC164" i="8"/>
  <c r="R164" i="8"/>
  <c r="A164" i="8"/>
  <c r="AC163" i="8"/>
  <c r="R163" i="8"/>
  <c r="A163" i="8"/>
  <c r="AC162" i="8"/>
  <c r="R162" i="8"/>
  <c r="A162" i="8"/>
  <c r="AC161" i="8"/>
  <c r="R161" i="8"/>
  <c r="A161" i="8"/>
  <c r="AC160" i="8"/>
  <c r="R160" i="8"/>
  <c r="A160" i="8"/>
  <c r="AC159" i="8"/>
  <c r="R159" i="8"/>
  <c r="A159" i="8"/>
  <c r="AC158" i="8"/>
  <c r="R158" i="8"/>
  <c r="A158" i="8"/>
  <c r="AC157" i="8"/>
  <c r="R157" i="8"/>
  <c r="A157" i="8"/>
  <c r="AC156" i="8"/>
  <c r="R156" i="8"/>
  <c r="A156" i="8"/>
  <c r="AC155" i="8"/>
  <c r="R155" i="8"/>
  <c r="A155" i="8"/>
  <c r="AC154" i="8"/>
  <c r="R154" i="8"/>
  <c r="A154" i="8"/>
  <c r="AC153" i="8"/>
  <c r="R153" i="8"/>
  <c r="A153" i="8"/>
  <c r="AC152" i="8"/>
  <c r="R152" i="8"/>
  <c r="A152" i="8"/>
  <c r="AC151" i="8"/>
  <c r="R151" i="8"/>
  <c r="A151" i="8"/>
  <c r="AC150" i="8"/>
  <c r="R150" i="8"/>
  <c r="A150" i="8"/>
  <c r="AC149" i="8"/>
  <c r="R149" i="8"/>
  <c r="A149" i="8"/>
  <c r="AC148" i="8"/>
  <c r="R148" i="8"/>
  <c r="A148" i="8"/>
  <c r="AC147" i="8"/>
  <c r="R147" i="8"/>
  <c r="A147" i="8"/>
  <c r="AC146" i="8"/>
  <c r="R146" i="8"/>
  <c r="A146" i="8"/>
  <c r="AC145" i="8"/>
  <c r="R145" i="8"/>
  <c r="A145" i="8"/>
  <c r="AC144" i="8"/>
  <c r="R144" i="8"/>
  <c r="A144" i="8"/>
  <c r="AC143" i="8"/>
  <c r="R143" i="8"/>
  <c r="A143" i="8"/>
  <c r="AC142" i="8"/>
  <c r="R142" i="8"/>
  <c r="A142" i="8"/>
  <c r="AC141" i="8"/>
  <c r="R141" i="8"/>
  <c r="A141" i="8"/>
  <c r="AC140" i="8"/>
  <c r="R140" i="8"/>
  <c r="A140" i="8"/>
  <c r="AC139" i="8"/>
  <c r="R139" i="8"/>
  <c r="A139" i="8"/>
  <c r="AC138" i="8"/>
  <c r="R138" i="8"/>
  <c r="A138" i="8"/>
  <c r="AC137" i="8"/>
  <c r="R137" i="8"/>
  <c r="A137" i="8"/>
  <c r="AC136" i="8"/>
  <c r="R136" i="8"/>
  <c r="A136" i="8"/>
  <c r="AC135" i="8"/>
  <c r="R135" i="8"/>
  <c r="A135" i="8"/>
  <c r="AC134" i="8"/>
  <c r="R134" i="8"/>
  <c r="A134" i="8"/>
  <c r="AC133" i="8"/>
  <c r="R133" i="8"/>
  <c r="A133" i="8"/>
  <c r="AC132" i="8"/>
  <c r="R132" i="8"/>
  <c r="A132" i="8"/>
  <c r="AC131" i="8"/>
  <c r="R131" i="8"/>
  <c r="A131" i="8"/>
  <c r="AC130" i="8"/>
  <c r="R130" i="8"/>
  <c r="A130" i="8"/>
  <c r="AC129" i="8"/>
  <c r="R129" i="8"/>
  <c r="A129" i="8"/>
  <c r="AC128" i="8"/>
  <c r="R128" i="8"/>
  <c r="A128" i="8"/>
  <c r="AC127" i="8"/>
  <c r="R127" i="8"/>
  <c r="A127" i="8"/>
  <c r="AC126" i="8"/>
  <c r="R126" i="8"/>
  <c r="A126" i="8"/>
  <c r="AC125" i="8"/>
  <c r="R125" i="8"/>
  <c r="A125" i="8"/>
  <c r="AC124" i="8"/>
  <c r="R124" i="8"/>
  <c r="A124" i="8"/>
  <c r="AC123" i="8"/>
  <c r="R123" i="8"/>
  <c r="A123" i="8"/>
  <c r="AC122" i="8"/>
  <c r="R122" i="8"/>
  <c r="A122" i="8"/>
  <c r="AC121" i="8"/>
  <c r="R121" i="8"/>
  <c r="A121" i="8"/>
  <c r="AC120" i="8"/>
  <c r="R120" i="8"/>
  <c r="A120" i="8"/>
  <c r="AC119" i="8"/>
  <c r="R119" i="8"/>
  <c r="A119" i="8"/>
  <c r="AC118" i="8"/>
  <c r="R118" i="8"/>
  <c r="A118" i="8"/>
  <c r="AC117" i="8"/>
  <c r="R117" i="8"/>
  <c r="A117" i="8"/>
  <c r="AC116" i="8"/>
  <c r="R116" i="8"/>
  <c r="A116" i="8"/>
  <c r="AC115" i="8"/>
  <c r="R115" i="8"/>
  <c r="A115" i="8"/>
  <c r="AC114" i="8"/>
  <c r="R114" i="8"/>
  <c r="A114" i="8"/>
  <c r="AC113" i="8"/>
  <c r="R113" i="8"/>
  <c r="A113" i="8"/>
  <c r="AC112" i="8"/>
  <c r="R112" i="8"/>
  <c r="A112" i="8"/>
  <c r="AC111" i="8"/>
  <c r="R111" i="8"/>
  <c r="A111" i="8"/>
  <c r="AC110" i="8"/>
  <c r="R110" i="8"/>
  <c r="A110" i="8"/>
  <c r="AC109" i="8"/>
  <c r="R109" i="8"/>
  <c r="A109" i="8"/>
  <c r="AC108" i="8"/>
  <c r="R108" i="8"/>
  <c r="A108" i="8"/>
  <c r="AC107" i="8"/>
  <c r="R107" i="8"/>
  <c r="A107" i="8"/>
  <c r="AC106" i="8"/>
  <c r="R106" i="8"/>
  <c r="A106" i="8"/>
  <c r="AC105" i="8"/>
  <c r="R105" i="8"/>
  <c r="A105" i="8"/>
  <c r="AC104" i="8"/>
  <c r="R104" i="8"/>
  <c r="A104" i="8"/>
  <c r="AC103" i="8"/>
  <c r="R103" i="8"/>
  <c r="A103" i="8"/>
  <c r="AC102" i="8"/>
  <c r="R102" i="8"/>
  <c r="A102" i="8"/>
  <c r="AC101" i="8"/>
  <c r="R101" i="8"/>
  <c r="A101" i="8"/>
  <c r="AC100" i="8"/>
  <c r="R100" i="8"/>
  <c r="A100" i="8"/>
  <c r="AC99" i="8"/>
  <c r="R99" i="8"/>
  <c r="A99" i="8"/>
  <c r="AC98" i="8"/>
  <c r="R98" i="8"/>
  <c r="L98" i="8"/>
  <c r="A98" i="8"/>
  <c r="AC97" i="8"/>
  <c r="R97" i="8"/>
  <c r="L97" i="8"/>
  <c r="A97" i="8"/>
  <c r="AC96" i="8"/>
  <c r="R96" i="8"/>
  <c r="L96" i="8"/>
  <c r="A96" i="8"/>
  <c r="AC95" i="8"/>
  <c r="R95" i="8"/>
  <c r="L95" i="8"/>
  <c r="A95" i="8"/>
  <c r="AC94" i="8"/>
  <c r="R94" i="8"/>
  <c r="L94" i="8"/>
  <c r="A94" i="8"/>
  <c r="AC93" i="8"/>
  <c r="R93" i="8"/>
  <c r="L93" i="8"/>
  <c r="A93" i="8"/>
  <c r="AC92" i="8"/>
  <c r="R92" i="8"/>
  <c r="L92" i="8"/>
  <c r="A92" i="8"/>
  <c r="AC91" i="8"/>
  <c r="R91" i="8"/>
  <c r="L91" i="8"/>
  <c r="A91" i="8"/>
  <c r="AC90" i="8"/>
  <c r="R90" i="8"/>
  <c r="L90" i="8"/>
  <c r="A90" i="8"/>
  <c r="AC89" i="8"/>
  <c r="R89" i="8"/>
  <c r="L89" i="8"/>
  <c r="A89" i="8"/>
  <c r="AC88" i="8"/>
  <c r="R88" i="8"/>
  <c r="L88" i="8"/>
  <c r="A88" i="8"/>
  <c r="AC87" i="8"/>
  <c r="R87" i="8"/>
  <c r="L87" i="8"/>
  <c r="A87" i="8"/>
  <c r="AC86" i="8"/>
  <c r="R86" i="8"/>
  <c r="L86" i="8"/>
  <c r="A86" i="8"/>
  <c r="AC85" i="8"/>
  <c r="R85" i="8"/>
  <c r="L85" i="8"/>
  <c r="A85" i="8"/>
  <c r="AC84" i="8"/>
  <c r="R84" i="8"/>
  <c r="L84" i="8"/>
  <c r="A84" i="8"/>
  <c r="AC83" i="8"/>
  <c r="R83" i="8"/>
  <c r="L83" i="8"/>
  <c r="A83" i="8"/>
  <c r="AC82" i="8"/>
  <c r="R82" i="8"/>
  <c r="L82" i="8"/>
  <c r="A82" i="8"/>
  <c r="AC81" i="8"/>
  <c r="R81" i="8"/>
  <c r="L81" i="8"/>
  <c r="A81" i="8"/>
  <c r="AC80" i="8"/>
  <c r="R80" i="8"/>
  <c r="L80" i="8"/>
  <c r="A80" i="8"/>
  <c r="AC79" i="8"/>
  <c r="R79" i="8"/>
  <c r="L79" i="8"/>
  <c r="A79" i="8"/>
  <c r="AC78" i="8"/>
  <c r="R78" i="8"/>
  <c r="L78" i="8"/>
  <c r="A78" i="8"/>
  <c r="AC77" i="8"/>
  <c r="R77" i="8"/>
  <c r="L77" i="8"/>
  <c r="A77" i="8"/>
  <c r="AC76" i="8"/>
  <c r="R76" i="8"/>
  <c r="L76" i="8"/>
  <c r="A76" i="8"/>
  <c r="AC75" i="8"/>
  <c r="R75" i="8"/>
  <c r="L75" i="8"/>
  <c r="A75" i="8"/>
  <c r="AC74" i="8"/>
  <c r="R74" i="8"/>
  <c r="L74" i="8"/>
  <c r="A74" i="8"/>
  <c r="AC73" i="8"/>
  <c r="R73" i="8"/>
  <c r="L73" i="8"/>
  <c r="A73" i="8"/>
  <c r="AC72" i="8"/>
  <c r="R72" i="8"/>
  <c r="L72" i="8"/>
  <c r="A72" i="8"/>
  <c r="AC71" i="8"/>
  <c r="R71" i="8"/>
  <c r="L71" i="8"/>
  <c r="A71" i="8"/>
  <c r="AC70" i="8"/>
  <c r="R70" i="8"/>
  <c r="L70" i="8"/>
  <c r="A70" i="8"/>
  <c r="AC69" i="8"/>
  <c r="R69" i="8"/>
  <c r="L69" i="8"/>
  <c r="A69" i="8"/>
  <c r="AC68" i="8"/>
  <c r="R68" i="8"/>
  <c r="L68" i="8"/>
  <c r="A68" i="8"/>
  <c r="AC67" i="8"/>
  <c r="R67" i="8"/>
  <c r="L67" i="8"/>
  <c r="A67" i="8"/>
  <c r="AC66" i="8"/>
  <c r="R66" i="8"/>
  <c r="L66" i="8"/>
  <c r="A66" i="8"/>
  <c r="AC65" i="8"/>
  <c r="R65" i="8"/>
  <c r="L65" i="8"/>
  <c r="A65" i="8"/>
  <c r="AC64" i="8"/>
  <c r="R64" i="8"/>
  <c r="L64" i="8"/>
  <c r="A64" i="8"/>
  <c r="AC63" i="8"/>
  <c r="R63" i="8"/>
  <c r="L63" i="8"/>
  <c r="A63" i="8"/>
  <c r="AC62" i="8"/>
  <c r="R62" i="8"/>
  <c r="L62" i="8"/>
  <c r="A62" i="8"/>
  <c r="AC61" i="8"/>
  <c r="R61" i="8"/>
  <c r="L61" i="8"/>
  <c r="A61" i="8"/>
  <c r="AC60" i="8"/>
  <c r="R60" i="8"/>
  <c r="L60" i="8"/>
  <c r="A60" i="8"/>
  <c r="AC59" i="8"/>
  <c r="R59" i="8"/>
  <c r="Z59" i="8" s="1"/>
  <c r="L59" i="8"/>
  <c r="A59" i="8"/>
  <c r="AC58" i="8"/>
  <c r="R58" i="8"/>
  <c r="L58" i="8"/>
  <c r="A58" i="8"/>
  <c r="AC57" i="8"/>
  <c r="R57" i="8"/>
  <c r="L57" i="8"/>
  <c r="A57" i="8"/>
  <c r="AC56" i="8"/>
  <c r="R56" i="8"/>
  <c r="Z56" i="8" s="1"/>
  <c r="L56" i="8"/>
  <c r="A56" i="8"/>
  <c r="AC55" i="8"/>
  <c r="R55" i="8"/>
  <c r="L55" i="8"/>
  <c r="A55" i="8"/>
  <c r="AC54" i="8"/>
  <c r="R54" i="8"/>
  <c r="L54" i="8"/>
  <c r="A54" i="8"/>
  <c r="AC53" i="8"/>
  <c r="R53" i="8"/>
  <c r="Z53" i="8" s="1"/>
  <c r="L53" i="8"/>
  <c r="A53" i="8"/>
  <c r="AC52" i="8"/>
  <c r="R52" i="8"/>
  <c r="L52" i="8"/>
  <c r="A52" i="8"/>
  <c r="AC51" i="8"/>
  <c r="R51" i="8"/>
  <c r="L51" i="8"/>
  <c r="A51" i="8"/>
  <c r="AC50" i="8"/>
  <c r="R50" i="8"/>
  <c r="Z50" i="8" s="1"/>
  <c r="L50" i="8"/>
  <c r="A50" i="8"/>
  <c r="AC49" i="8"/>
  <c r="R49" i="8"/>
  <c r="L49" i="8"/>
  <c r="A49" i="8"/>
  <c r="AC48" i="8"/>
  <c r="R48" i="8"/>
  <c r="L48" i="8"/>
  <c r="A48" i="8"/>
  <c r="AC47" i="8"/>
  <c r="R47" i="8"/>
  <c r="Z47" i="8" s="1"/>
  <c r="L47" i="8"/>
  <c r="A47" i="8"/>
  <c r="AC46" i="8"/>
  <c r="R46" i="8"/>
  <c r="L46" i="8"/>
  <c r="A46" i="8"/>
  <c r="AC45" i="8"/>
  <c r="R45" i="8"/>
  <c r="L45" i="8"/>
  <c r="A45" i="8"/>
  <c r="J45" i="8" s="1"/>
  <c r="AC44" i="8"/>
  <c r="R44" i="8"/>
  <c r="Z44" i="8" s="1"/>
  <c r="L44" i="8"/>
  <c r="A44" i="8"/>
  <c r="AC43" i="8"/>
  <c r="R43" i="8"/>
  <c r="L43" i="8"/>
  <c r="A43" i="8"/>
  <c r="AC42" i="8"/>
  <c r="R42" i="8"/>
  <c r="L42" i="8"/>
  <c r="A42" i="8"/>
  <c r="J42" i="8" s="1"/>
  <c r="AC41" i="8"/>
  <c r="R41" i="8"/>
  <c r="Z41" i="8" s="1"/>
  <c r="L41" i="8"/>
  <c r="A41" i="8"/>
  <c r="AC40" i="8"/>
  <c r="R40" i="8"/>
  <c r="L40" i="8"/>
  <c r="A40" i="8"/>
  <c r="AC39" i="8"/>
  <c r="R39" i="8"/>
  <c r="L39" i="8"/>
  <c r="A39" i="8"/>
  <c r="J39" i="8" s="1"/>
  <c r="AC38" i="8"/>
  <c r="R38" i="8"/>
  <c r="Z38" i="8" s="1"/>
  <c r="L38" i="8"/>
  <c r="A38" i="8"/>
  <c r="AC37" i="8"/>
  <c r="R37" i="8"/>
  <c r="L37" i="8"/>
  <c r="A37" i="8"/>
  <c r="AC36" i="8"/>
  <c r="R36" i="8"/>
  <c r="L36" i="8"/>
  <c r="A36" i="8"/>
  <c r="J36" i="8" s="1"/>
  <c r="AC35" i="8"/>
  <c r="R35" i="8"/>
  <c r="Z35" i="8" s="1"/>
  <c r="L35" i="8"/>
  <c r="A35" i="8"/>
  <c r="AC34" i="8"/>
  <c r="R34" i="8"/>
  <c r="L34" i="8"/>
  <c r="A34" i="8"/>
  <c r="AC33" i="8"/>
  <c r="R33" i="8"/>
  <c r="L33" i="8"/>
  <c r="A33" i="8"/>
  <c r="J33" i="8" s="1"/>
  <c r="AC32" i="8"/>
  <c r="R32" i="8"/>
  <c r="Z32" i="8" s="1"/>
  <c r="L32" i="8"/>
  <c r="A32" i="8"/>
  <c r="AC31" i="8"/>
  <c r="R31" i="8"/>
  <c r="L31" i="8"/>
  <c r="A31" i="8"/>
  <c r="AC30" i="8"/>
  <c r="R30" i="8"/>
  <c r="L30" i="8"/>
  <c r="A30" i="8"/>
  <c r="J30" i="8" s="1"/>
  <c r="AC29" i="8"/>
  <c r="R29" i="8"/>
  <c r="Z29" i="8" s="1"/>
  <c r="L29" i="8"/>
  <c r="A29" i="8"/>
  <c r="AC28" i="8"/>
  <c r="R28" i="8"/>
  <c r="L28" i="8"/>
  <c r="A28" i="8"/>
  <c r="AC27" i="8"/>
  <c r="R27" i="8"/>
  <c r="L27" i="8"/>
  <c r="A27" i="8"/>
  <c r="J27" i="8" s="1"/>
  <c r="AC26" i="8"/>
  <c r="R26" i="8"/>
  <c r="Z26" i="8" s="1"/>
  <c r="L26" i="8"/>
  <c r="A26" i="8"/>
  <c r="AC25" i="8"/>
  <c r="R25" i="8"/>
  <c r="L25" i="8"/>
  <c r="A25" i="8"/>
  <c r="AC24" i="8"/>
  <c r="R24" i="8"/>
  <c r="L24" i="8"/>
  <c r="A24" i="8"/>
  <c r="J24" i="8" s="1"/>
  <c r="AC23" i="8"/>
  <c r="R23" i="8"/>
  <c r="Z23" i="8" s="1"/>
  <c r="L23" i="8"/>
  <c r="A23" i="8"/>
  <c r="AC22" i="8"/>
  <c r="R22" i="8"/>
  <c r="L22" i="8"/>
  <c r="A22" i="8"/>
  <c r="AC21" i="8"/>
  <c r="R21" i="8"/>
  <c r="L21" i="8"/>
  <c r="A21" i="8"/>
  <c r="J21" i="8" s="1"/>
  <c r="AC20" i="8"/>
  <c r="R20" i="8"/>
  <c r="Z20" i="8" s="1"/>
  <c r="L20" i="8"/>
  <c r="A20" i="8"/>
  <c r="AC19" i="8"/>
  <c r="R19" i="8"/>
  <c r="L19" i="8"/>
  <c r="A19" i="8"/>
  <c r="AC18" i="8"/>
  <c r="R18" i="8"/>
  <c r="L18" i="8"/>
  <c r="A18" i="8"/>
  <c r="J18" i="8" s="1"/>
  <c r="AC17" i="8"/>
  <c r="R17" i="8"/>
  <c r="Z17" i="8" s="1"/>
  <c r="L17" i="8"/>
  <c r="A17" i="8"/>
  <c r="AC16" i="8"/>
  <c r="R16" i="8"/>
  <c r="L16" i="8"/>
  <c r="A16" i="8"/>
  <c r="AC15" i="8"/>
  <c r="R15" i="8"/>
  <c r="L15" i="8"/>
  <c r="A15" i="8"/>
  <c r="J15" i="8" s="1"/>
  <c r="AC14" i="8"/>
  <c r="R14" i="8"/>
  <c r="Z14" i="8" s="1"/>
  <c r="L14" i="8"/>
  <c r="A14" i="8"/>
  <c r="AC13" i="8"/>
  <c r="R13" i="8"/>
  <c r="L13" i="8"/>
  <c r="A13" i="8"/>
  <c r="AC12" i="8"/>
  <c r="R12" i="8"/>
  <c r="L12" i="8"/>
  <c r="A12" i="8"/>
  <c r="J12" i="8" s="1"/>
  <c r="AC11" i="8"/>
  <c r="R11" i="8"/>
  <c r="Z11" i="8" s="1"/>
  <c r="L11" i="8"/>
  <c r="A11" i="8"/>
  <c r="AC10" i="8"/>
  <c r="R10" i="8"/>
  <c r="L10" i="8"/>
  <c r="A10" i="8"/>
  <c r="AC9" i="8"/>
  <c r="R9" i="8"/>
  <c r="Z9" i="8" s="1"/>
  <c r="L9" i="8"/>
  <c r="A9" i="8"/>
  <c r="J9" i="8" s="1"/>
  <c r="AC8" i="8"/>
  <c r="R8" i="8"/>
  <c r="Z8" i="8" s="1"/>
  <c r="L8" i="8"/>
  <c r="A8" i="8"/>
  <c r="AC7" i="8"/>
  <c r="R7" i="8"/>
  <c r="L7" i="8"/>
  <c r="A7" i="8"/>
  <c r="AC6" i="8"/>
  <c r="R6" i="8"/>
  <c r="Z6" i="8" s="1"/>
  <c r="L6" i="8"/>
  <c r="A6" i="8"/>
  <c r="J6" i="8" s="1"/>
  <c r="AC5" i="8"/>
  <c r="R5" i="8"/>
  <c r="Z5" i="8" s="1"/>
  <c r="L5" i="8"/>
  <c r="A5" i="8"/>
  <c r="AC4" i="8"/>
  <c r="R4" i="8"/>
  <c r="L4" i="8"/>
  <c r="A4" i="8"/>
  <c r="AC3" i="8"/>
  <c r="R3" i="8"/>
  <c r="Z3" i="8" s="1"/>
  <c r="L3" i="8"/>
  <c r="J392" i="8" s="1"/>
  <c r="A3" i="8"/>
  <c r="J3" i="8" s="1"/>
  <c r="Z10" i="8" l="1"/>
  <c r="Z19" i="8"/>
  <c r="Z25" i="8"/>
  <c r="Z34" i="8"/>
  <c r="Z40" i="8"/>
  <c r="Z43" i="8"/>
  <c r="Z46" i="8"/>
  <c r="Z49" i="8"/>
  <c r="Z52" i="8"/>
  <c r="Z55" i="8"/>
  <c r="Z58" i="8"/>
  <c r="Z61" i="8"/>
  <c r="Z4" i="8"/>
  <c r="Z16" i="8"/>
  <c r="Z31" i="8"/>
  <c r="Z37" i="8"/>
  <c r="Z13" i="8"/>
  <c r="Z28" i="8"/>
  <c r="J5" i="8"/>
  <c r="J8" i="8"/>
  <c r="J11" i="8"/>
  <c r="J14" i="8"/>
  <c r="J17" i="8"/>
  <c r="J20" i="8"/>
  <c r="J23" i="8"/>
  <c r="J26" i="8"/>
  <c r="J29" i="8"/>
  <c r="J32" i="8"/>
  <c r="J35" i="8"/>
  <c r="J38" i="8"/>
  <c r="J41" i="8"/>
  <c r="J44" i="8"/>
  <c r="J47" i="8"/>
  <c r="J50" i="8"/>
  <c r="J53" i="8"/>
  <c r="Z7" i="8"/>
  <c r="Z22" i="8"/>
  <c r="J48" i="8"/>
  <c r="J51" i="8"/>
  <c r="J54" i="8"/>
  <c r="Z12" i="8"/>
  <c r="Z15" i="8"/>
  <c r="Z18" i="8"/>
  <c r="Z21" i="8"/>
  <c r="Z24" i="8"/>
  <c r="Z27" i="8"/>
  <c r="Z30" i="8"/>
  <c r="Z33" i="8"/>
  <c r="Z36" i="8"/>
  <c r="Z39" i="8"/>
  <c r="Z42" i="8"/>
  <c r="Z45" i="8"/>
  <c r="Z48" i="8"/>
  <c r="Z51" i="8"/>
  <c r="Z54" i="8"/>
  <c r="Z57" i="8"/>
  <c r="Z60" i="8"/>
  <c r="J4" i="8"/>
  <c r="J7" i="8"/>
  <c r="J10" i="8"/>
  <c r="J13" i="8"/>
  <c r="J16" i="8"/>
  <c r="J19" i="8"/>
  <c r="J22" i="8"/>
  <c r="J25" i="8"/>
  <c r="J28" i="8"/>
  <c r="J31" i="8"/>
  <c r="J34" i="8"/>
  <c r="J37" i="8"/>
  <c r="J40" i="8"/>
  <c r="J43" i="8"/>
  <c r="J46" i="8"/>
  <c r="J49" i="8"/>
  <c r="J52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Z99" i="8"/>
  <c r="J102" i="8"/>
  <c r="Z103" i="8"/>
  <c r="J106" i="8"/>
  <c r="Z107" i="8"/>
  <c r="J110" i="8"/>
  <c r="Z111" i="8"/>
  <c r="J114" i="8"/>
  <c r="Z115" i="8"/>
  <c r="J118" i="8"/>
  <c r="Z119" i="8"/>
  <c r="J122" i="8"/>
  <c r="Z123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Z94" i="8"/>
  <c r="Z95" i="8"/>
  <c r="Z96" i="8"/>
  <c r="Z97" i="8"/>
  <c r="Z98" i="8"/>
  <c r="J101" i="8"/>
  <c r="Z102" i="8"/>
  <c r="J105" i="8"/>
  <c r="Z106" i="8"/>
  <c r="J109" i="8"/>
  <c r="Z110" i="8"/>
  <c r="J113" i="8"/>
  <c r="Z114" i="8"/>
  <c r="J117" i="8"/>
  <c r="Z118" i="8"/>
  <c r="J121" i="8"/>
  <c r="Z122" i="8"/>
  <c r="J125" i="8"/>
  <c r="Z126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6" i="8"/>
  <c r="J178" i="8"/>
  <c r="J180" i="8"/>
  <c r="J182" i="8"/>
  <c r="J184" i="8"/>
  <c r="J186" i="8"/>
  <c r="J188" i="8"/>
  <c r="J190" i="8"/>
  <c r="J192" i="8"/>
  <c r="J194" i="8"/>
  <c r="J196" i="8"/>
  <c r="J198" i="8"/>
  <c r="J200" i="8"/>
  <c r="J202" i="8"/>
  <c r="J204" i="8"/>
  <c r="J206" i="8"/>
  <c r="J208" i="8"/>
  <c r="J210" i="8"/>
  <c r="J212" i="8"/>
  <c r="J214" i="8"/>
  <c r="J216" i="8"/>
  <c r="J218" i="8"/>
  <c r="J220" i="8"/>
  <c r="J222" i="8"/>
  <c r="J224" i="8"/>
  <c r="J226" i="8"/>
  <c r="J228" i="8"/>
  <c r="J230" i="8"/>
  <c r="J232" i="8"/>
  <c r="J234" i="8"/>
  <c r="J236" i="8"/>
  <c r="J238" i="8"/>
  <c r="J240" i="8"/>
  <c r="J242" i="8"/>
  <c r="J244" i="8"/>
  <c r="J246" i="8"/>
  <c r="J248" i="8"/>
  <c r="J250" i="8"/>
  <c r="J252" i="8"/>
  <c r="J254" i="8"/>
  <c r="J256" i="8"/>
  <c r="J258" i="8"/>
  <c r="J260" i="8"/>
  <c r="J262" i="8"/>
  <c r="J264" i="8"/>
  <c r="J266" i="8"/>
  <c r="J268" i="8"/>
  <c r="J270" i="8"/>
  <c r="J272" i="8"/>
  <c r="J276" i="8"/>
  <c r="J280" i="8"/>
  <c r="J284" i="8"/>
  <c r="J288" i="8"/>
  <c r="J292" i="8"/>
  <c r="J100" i="8"/>
  <c r="Z101" i="8"/>
  <c r="J104" i="8"/>
  <c r="Z105" i="8"/>
  <c r="J108" i="8"/>
  <c r="Z109" i="8"/>
  <c r="J112" i="8"/>
  <c r="Z113" i="8"/>
  <c r="J116" i="8"/>
  <c r="Z117" i="8"/>
  <c r="J120" i="8"/>
  <c r="Z121" i="8"/>
  <c r="J124" i="8"/>
  <c r="Z125" i="8"/>
  <c r="J128" i="8"/>
  <c r="Z129" i="8"/>
  <c r="J132" i="8"/>
  <c r="Z133" i="8"/>
  <c r="J136" i="8"/>
  <c r="J140" i="8"/>
  <c r="J144" i="8"/>
  <c r="J148" i="8"/>
  <c r="J152" i="8"/>
  <c r="J156" i="8"/>
  <c r="J160" i="8"/>
  <c r="J164" i="8"/>
  <c r="J168" i="8"/>
  <c r="J172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Z100" i="8"/>
  <c r="J103" i="8"/>
  <c r="Z104" i="8"/>
  <c r="J107" i="8"/>
  <c r="Z108" i="8"/>
  <c r="J111" i="8"/>
  <c r="Z112" i="8"/>
  <c r="J115" i="8"/>
  <c r="Z116" i="8"/>
  <c r="J119" i="8"/>
  <c r="Z120" i="8"/>
  <c r="J123" i="8"/>
  <c r="Z124" i="8"/>
  <c r="J127" i="8"/>
  <c r="Z128" i="8"/>
  <c r="J131" i="8"/>
  <c r="J135" i="8"/>
  <c r="J139" i="8"/>
  <c r="J143" i="8"/>
  <c r="J147" i="8"/>
  <c r="J151" i="8"/>
  <c r="J177" i="8"/>
  <c r="J181" i="8"/>
  <c r="J185" i="8"/>
  <c r="J388" i="8"/>
  <c r="Z132" i="8"/>
  <c r="Z136" i="8"/>
  <c r="Z140" i="8"/>
  <c r="Z144" i="8"/>
  <c r="Z148" i="8"/>
  <c r="Z152" i="8"/>
  <c r="J155" i="8"/>
  <c r="Z156" i="8"/>
  <c r="J159" i="8"/>
  <c r="Z160" i="8"/>
  <c r="J163" i="8"/>
  <c r="Z164" i="8"/>
  <c r="J167" i="8"/>
  <c r="Z168" i="8"/>
  <c r="J171" i="8"/>
  <c r="Z172" i="8"/>
  <c r="J175" i="8"/>
  <c r="J179" i="8"/>
  <c r="J183" i="8"/>
  <c r="J187" i="8"/>
  <c r="J189" i="8"/>
  <c r="J191" i="8"/>
  <c r="J193" i="8"/>
  <c r="J195" i="8"/>
  <c r="J197" i="8"/>
  <c r="J199" i="8"/>
  <c r="J201" i="8"/>
  <c r="J203" i="8"/>
  <c r="J205" i="8"/>
  <c r="J207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J251" i="8"/>
  <c r="J253" i="8"/>
  <c r="J255" i="8"/>
  <c r="J257" i="8"/>
  <c r="J259" i="8"/>
  <c r="J261" i="8"/>
  <c r="J263" i="8"/>
  <c r="J265" i="8"/>
  <c r="J267" i="8"/>
  <c r="J269" i="8"/>
  <c r="J271" i="8"/>
  <c r="J273" i="8"/>
  <c r="J275" i="8"/>
  <c r="J277" i="8"/>
  <c r="J279" i="8"/>
  <c r="J281" i="8"/>
  <c r="J283" i="8"/>
  <c r="J285" i="8"/>
  <c r="J287" i="8"/>
  <c r="J289" i="8"/>
  <c r="J291" i="8"/>
  <c r="J293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Z127" i="8"/>
  <c r="Z131" i="8"/>
  <c r="Z135" i="8"/>
  <c r="Z139" i="8"/>
  <c r="Z143" i="8"/>
  <c r="Z147" i="8"/>
  <c r="Z151" i="8"/>
  <c r="Z155" i="8"/>
  <c r="Z159" i="8"/>
  <c r="Z163" i="8"/>
  <c r="Z167" i="8"/>
  <c r="Z171" i="8"/>
  <c r="J391" i="8"/>
  <c r="J387" i="8"/>
  <c r="Z130" i="8"/>
  <c r="Z134" i="8"/>
  <c r="Z138" i="8"/>
  <c r="Z142" i="8"/>
  <c r="Z146" i="8"/>
  <c r="Z150" i="8"/>
  <c r="Z154" i="8"/>
  <c r="Z158" i="8"/>
  <c r="Z162" i="8"/>
  <c r="Z166" i="8"/>
  <c r="Z170" i="8"/>
  <c r="Z174" i="8"/>
  <c r="J274" i="8"/>
  <c r="J278" i="8"/>
  <c r="J282" i="8"/>
  <c r="J286" i="8"/>
  <c r="J290" i="8"/>
  <c r="J294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94" i="8"/>
  <c r="J390" i="8"/>
  <c r="Z137" i="8"/>
  <c r="AA137" i="8" s="1"/>
  <c r="Z141" i="8"/>
  <c r="Z145" i="8"/>
  <c r="Z149" i="8"/>
  <c r="Z153" i="8"/>
  <c r="Z157" i="8"/>
  <c r="Z161" i="8"/>
  <c r="AA161" i="8" s="1"/>
  <c r="Z165" i="8"/>
  <c r="Z169" i="8"/>
  <c r="Z173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3" i="8"/>
  <c r="J389" i="8"/>
  <c r="AA4" i="8"/>
  <c r="AA104" i="8"/>
  <c r="AA112" i="8"/>
  <c r="AA120" i="8"/>
  <c r="AA7" i="8"/>
  <c r="AA10" i="8"/>
  <c r="AA14" i="8"/>
  <c r="AA19" i="8"/>
  <c r="AA23" i="8"/>
  <c r="AA26" i="8"/>
  <c r="AA30" i="8"/>
  <c r="AA35" i="8"/>
  <c r="AA39" i="8"/>
  <c r="AA42" i="8"/>
  <c r="AA50" i="8"/>
  <c r="AA58" i="8"/>
  <c r="AA66" i="8"/>
  <c r="AA74" i="8"/>
  <c r="AA82" i="8"/>
  <c r="AA90" i="8"/>
  <c r="AA98" i="8"/>
  <c r="AA106" i="8"/>
  <c r="AA114" i="8"/>
  <c r="AA122" i="8"/>
  <c r="AA129" i="8"/>
  <c r="AA3" i="8"/>
  <c r="AA34" i="8"/>
  <c r="AA6" i="8"/>
  <c r="AA15" i="8"/>
  <c r="AA22" i="8"/>
  <c r="AA29" i="8"/>
  <c r="AA31" i="8"/>
  <c r="AA38" i="8"/>
  <c r="AA51" i="8"/>
  <c r="AA54" i="8"/>
  <c r="AA59" i="8"/>
  <c r="AA62" i="8"/>
  <c r="AA75" i="8"/>
  <c r="AA78" i="8"/>
  <c r="AA91" i="8"/>
  <c r="AA94" i="8"/>
  <c r="AA102" i="8"/>
  <c r="AA126" i="8"/>
  <c r="AA132" i="8"/>
  <c r="AA138" i="8"/>
  <c r="AA8" i="8"/>
  <c r="AA17" i="8"/>
  <c r="AA24" i="8"/>
  <c r="AA33" i="8"/>
  <c r="AA57" i="8"/>
  <c r="AA97" i="8"/>
  <c r="AA121" i="8"/>
  <c r="AA149" i="8"/>
  <c r="AA84" i="8"/>
  <c r="AA80" i="8"/>
  <c r="AA76" i="8"/>
  <c r="AA72" i="8"/>
  <c r="AA68" i="8"/>
  <c r="AA64" i="8"/>
  <c r="AA60" i="8"/>
  <c r="AA56" i="8"/>
  <c r="AA52" i="8"/>
  <c r="AA48" i="8"/>
  <c r="AA44" i="8"/>
  <c r="AA40" i="8"/>
  <c r="AA163" i="8"/>
  <c r="AA5" i="8"/>
  <c r="AA12" i="8"/>
  <c r="AA21" i="8"/>
  <c r="AA28" i="8"/>
  <c r="AA37" i="8"/>
  <c r="AA47" i="8"/>
  <c r="AA55" i="8"/>
  <c r="AA63" i="8"/>
  <c r="AA71" i="8"/>
  <c r="AA79" i="8"/>
  <c r="AA87" i="8"/>
  <c r="AA95" i="8"/>
  <c r="AA123" i="8"/>
  <c r="AA141" i="8"/>
  <c r="AA147" i="8"/>
  <c r="AA160" i="8"/>
  <c r="AA13" i="8"/>
  <c r="AA20" i="8"/>
  <c r="AA36" i="8"/>
  <c r="AA43" i="8"/>
  <c r="AA46" i="8"/>
  <c r="AA67" i="8"/>
  <c r="AA70" i="8"/>
  <c r="AA83" i="8"/>
  <c r="AA86" i="8"/>
  <c r="AA110" i="8"/>
  <c r="AA118" i="8"/>
  <c r="AA128" i="8"/>
  <c r="AA145" i="8"/>
  <c r="AA41" i="8"/>
  <c r="AA49" i="8"/>
  <c r="AA65" i="8"/>
  <c r="AA73" i="8"/>
  <c r="AA81" i="8"/>
  <c r="AA89" i="8"/>
  <c r="AA9" i="8"/>
  <c r="AA11" i="8"/>
  <c r="AA16" i="8"/>
  <c r="AA18" i="8"/>
  <c r="AA25" i="8"/>
  <c r="AA27" i="8"/>
  <c r="AA32" i="8"/>
  <c r="AA45" i="8"/>
  <c r="AA53" i="8"/>
  <c r="AA61" i="8"/>
  <c r="AA69" i="8"/>
  <c r="AA77" i="8"/>
  <c r="AA85" i="8"/>
  <c r="AA93" i="8"/>
  <c r="AA100" i="8"/>
  <c r="AA108" i="8"/>
  <c r="AA116" i="8"/>
  <c r="AA124" i="8"/>
  <c r="AA133" i="8"/>
  <c r="AA139" i="8"/>
  <c r="AA146" i="8"/>
  <c r="AA140" i="8"/>
  <c r="AA148" i="8"/>
  <c r="AA162" i="8"/>
  <c r="AA173" i="8"/>
  <c r="AA165" i="8"/>
  <c r="AA157" i="8"/>
  <c r="AA167" i="8"/>
  <c r="AA159" i="8"/>
  <c r="AA130" i="8"/>
  <c r="AA134" i="8"/>
  <c r="AA142" i="8"/>
  <c r="AA150" i="8"/>
  <c r="AA153" i="8"/>
  <c r="AA154" i="8"/>
  <c r="AA168" i="8"/>
  <c r="AA169" i="8"/>
  <c r="AA88" i="8"/>
  <c r="AA92" i="8"/>
  <c r="AA96" i="8"/>
  <c r="AA99" i="8"/>
  <c r="AA101" i="8"/>
  <c r="AA103" i="8"/>
  <c r="AA105" i="8"/>
  <c r="AA107" i="8"/>
  <c r="AA109" i="8"/>
  <c r="AA111" i="8"/>
  <c r="AA113" i="8"/>
  <c r="AA115" i="8"/>
  <c r="AA117" i="8"/>
  <c r="AA119" i="8"/>
  <c r="AA125" i="8"/>
  <c r="AA127" i="8"/>
  <c r="AA131" i="8"/>
  <c r="AA135" i="8"/>
  <c r="AA136" i="8"/>
  <c r="AA143" i="8"/>
  <c r="AA144" i="8"/>
  <c r="AA151" i="8"/>
  <c r="AA155" i="8"/>
  <c r="AA170" i="8"/>
  <c r="AA171" i="8"/>
  <c r="AA158" i="8"/>
  <c r="AA166" i="8"/>
  <c r="AA174" i="8"/>
  <c r="AA152" i="8"/>
  <c r="AA156" i="8"/>
  <c r="AA164" i="8"/>
  <c r="AA172" i="8"/>
  <c r="G110" i="7" l="1"/>
  <c r="G109" i="7"/>
  <c r="G108" i="7"/>
  <c r="G104" i="7"/>
  <c r="G103" i="7"/>
  <c r="G102" i="7"/>
  <c r="G101" i="7"/>
  <c r="G100" i="7"/>
  <c r="G99" i="7"/>
  <c r="G95" i="7"/>
  <c r="G94" i="7"/>
  <c r="G93" i="7"/>
  <c r="G92" i="7"/>
  <c r="G91" i="7"/>
  <c r="G90" i="7"/>
  <c r="G86" i="7"/>
  <c r="G85" i="7"/>
  <c r="G84" i="7"/>
  <c r="G83" i="7"/>
  <c r="G82" i="7"/>
  <c r="G81" i="7"/>
  <c r="G80" i="7"/>
  <c r="G79" i="7"/>
  <c r="G75" i="7"/>
  <c r="G74" i="7"/>
  <c r="G73" i="7"/>
  <c r="G72" i="7"/>
  <c r="G71" i="7"/>
  <c r="G70" i="7"/>
  <c r="G54" i="7"/>
  <c r="G53" i="7"/>
  <c r="G52" i="7"/>
  <c r="G51" i="7"/>
  <c r="G50" i="7"/>
  <c r="G49" i="7"/>
  <c r="G48" i="7"/>
  <c r="G45" i="7"/>
  <c r="G44" i="7"/>
  <c r="G43" i="7"/>
  <c r="G42" i="7"/>
  <c r="G41" i="7"/>
  <c r="G40" i="7"/>
  <c r="G39" i="7"/>
  <c r="G36" i="7"/>
  <c r="G35" i="7"/>
  <c r="G34" i="7"/>
  <c r="G33" i="7"/>
  <c r="G32" i="7"/>
  <c r="G31" i="7"/>
  <c r="G30" i="7"/>
  <c r="G20" i="7"/>
  <c r="G19" i="7"/>
  <c r="G18" i="7"/>
  <c r="G17" i="7"/>
  <c r="G14" i="7"/>
  <c r="G13" i="7"/>
  <c r="G12" i="7"/>
  <c r="G11" i="7"/>
  <c r="G10" i="7"/>
  <c r="G9" i="7"/>
  <c r="G8" i="7"/>
  <c r="G7" i="7"/>
  <c r="G6" i="7"/>
  <c r="G5" i="7"/>
  <c r="G4" i="7"/>
  <c r="M37" i="1" l="1"/>
  <c r="M26" i="1"/>
  <c r="M15" i="1"/>
  <c r="Q23" i="4" l="1"/>
  <c r="Q21" i="4"/>
  <c r="Q18" i="4"/>
  <c r="C34" i="4" l="1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M88" i="1" l="1"/>
  <c r="M72" i="1" l="1"/>
  <c r="F3" i="1" l="1"/>
  <c r="H3" i="1"/>
  <c r="V3" i="1"/>
  <c r="X3" i="1"/>
  <c r="W3" i="1" s="1"/>
  <c r="F4" i="1"/>
  <c r="H4" i="1"/>
  <c r="G4" i="1" s="1"/>
  <c r="V4" i="1"/>
  <c r="X4" i="1"/>
  <c r="W4" i="1" s="1"/>
  <c r="F5" i="1"/>
  <c r="H5" i="1"/>
  <c r="G5" i="1" s="1"/>
  <c r="V5" i="1"/>
  <c r="X5" i="1"/>
  <c r="W5" i="1" s="1"/>
  <c r="F6" i="1"/>
  <c r="H6" i="1"/>
  <c r="G6" i="1" s="1"/>
  <c r="V6" i="1"/>
  <c r="X6" i="1"/>
  <c r="W6" i="1" s="1"/>
  <c r="F7" i="1"/>
  <c r="H7" i="1"/>
  <c r="G7" i="1" s="1"/>
  <c r="V7" i="1"/>
  <c r="X7" i="1"/>
  <c r="W7" i="1" s="1"/>
  <c r="F8" i="1"/>
  <c r="G8" i="1"/>
  <c r="V8" i="1"/>
  <c r="X8" i="1"/>
  <c r="W8" i="1" s="1"/>
  <c r="F9" i="1"/>
  <c r="H9" i="1"/>
  <c r="V9" i="1"/>
  <c r="X9" i="1"/>
  <c r="W9" i="1" s="1"/>
  <c r="F10" i="1"/>
  <c r="H10" i="1"/>
  <c r="G10" i="1" s="1"/>
  <c r="V10" i="1"/>
  <c r="X10" i="1"/>
  <c r="W10" i="1" s="1"/>
  <c r="F11" i="1"/>
  <c r="H11" i="1"/>
  <c r="G11" i="1" s="1"/>
  <c r="V11" i="1"/>
  <c r="X11" i="1"/>
  <c r="W11" i="1" s="1"/>
  <c r="F12" i="1"/>
  <c r="H12" i="1"/>
  <c r="G12" i="1" s="1"/>
  <c r="V12" i="1"/>
  <c r="X12" i="1"/>
  <c r="W12" i="1" s="1"/>
  <c r="F13" i="1"/>
  <c r="H13" i="1"/>
  <c r="V13" i="1"/>
  <c r="X13" i="1"/>
  <c r="W13" i="1" s="1"/>
  <c r="F15" i="1"/>
  <c r="H15" i="1"/>
  <c r="V14" i="1"/>
  <c r="X14" i="1"/>
  <c r="W14" i="1" s="1"/>
  <c r="F16" i="1"/>
  <c r="H16" i="1"/>
  <c r="G16" i="1" s="1"/>
  <c r="V15" i="1"/>
  <c r="X15" i="1"/>
  <c r="W15" i="1" s="1"/>
  <c r="F17" i="1"/>
  <c r="H17" i="1"/>
  <c r="G17" i="1" s="1"/>
  <c r="V16" i="1"/>
  <c r="X16" i="1"/>
  <c r="W16" i="1" s="1"/>
  <c r="F18" i="1"/>
  <c r="H18" i="1"/>
  <c r="G18" i="1" s="1"/>
  <c r="V17" i="1"/>
  <c r="X17" i="1"/>
  <c r="W17" i="1" s="1"/>
  <c r="F19" i="1"/>
  <c r="H19" i="1"/>
  <c r="G19" i="1" s="1"/>
  <c r="V18" i="1"/>
  <c r="X18" i="1"/>
  <c r="W18" i="1" s="1"/>
  <c r="AT18" i="1"/>
  <c r="F20" i="1"/>
  <c r="H20" i="1"/>
  <c r="V19" i="1"/>
  <c r="X19" i="1"/>
  <c r="W19" i="1" s="1"/>
  <c r="AT19" i="1"/>
  <c r="F21" i="1"/>
  <c r="H21" i="1"/>
  <c r="G21" i="1" s="1"/>
  <c r="V20" i="1"/>
  <c r="X20" i="1"/>
  <c r="W20" i="1" s="1"/>
  <c r="AV20" i="1"/>
  <c r="F22" i="1"/>
  <c r="H22" i="1"/>
  <c r="G22" i="1" s="1"/>
  <c r="V21" i="1"/>
  <c r="X21" i="1"/>
  <c r="W21" i="1" s="1"/>
  <c r="AT21" i="1"/>
  <c r="AV21" i="1"/>
  <c r="F23" i="1"/>
  <c r="H23" i="1"/>
  <c r="G23" i="1" s="1"/>
  <c r="V22" i="1"/>
  <c r="X22" i="1"/>
  <c r="W22" i="1" s="1"/>
  <c r="AT22" i="1"/>
  <c r="AV22" i="1"/>
  <c r="F24" i="1"/>
  <c r="H24" i="1"/>
  <c r="G24" i="1" s="1"/>
  <c r="V23" i="1"/>
  <c r="X23" i="1"/>
  <c r="W23" i="1" s="1"/>
  <c r="AT23" i="1"/>
  <c r="AV23" i="1"/>
  <c r="F25" i="1"/>
  <c r="H25" i="1"/>
  <c r="G25" i="1" s="1"/>
  <c r="F26" i="1"/>
  <c r="H26" i="1"/>
  <c r="G26" i="1" s="1"/>
  <c r="V25" i="1"/>
  <c r="X25" i="1"/>
  <c r="W25" i="1" s="1"/>
  <c r="F27" i="1"/>
  <c r="H27" i="1"/>
  <c r="G27" i="1" s="1"/>
  <c r="V26" i="1"/>
  <c r="X26" i="1"/>
  <c r="W26" i="1" s="1"/>
  <c r="F28" i="1"/>
  <c r="H28" i="1"/>
  <c r="G28" i="1" s="1"/>
  <c r="V27" i="1"/>
  <c r="X27" i="1"/>
  <c r="W27" i="1" s="1"/>
  <c r="F29" i="1"/>
  <c r="H29" i="1"/>
  <c r="G29" i="1" s="1"/>
  <c r="V28" i="1"/>
  <c r="X28" i="1"/>
  <c r="W28" i="1" s="1"/>
  <c r="F30" i="1"/>
  <c r="H30" i="1"/>
  <c r="G30" i="1" s="1"/>
  <c r="V29" i="1"/>
  <c r="X29" i="1"/>
  <c r="W29" i="1" s="1"/>
  <c r="F31" i="1"/>
  <c r="H31" i="1"/>
  <c r="G31" i="1" s="1"/>
  <c r="V30" i="1"/>
  <c r="X30" i="1"/>
  <c r="W30" i="1" s="1"/>
  <c r="F32" i="1"/>
  <c r="H32" i="1"/>
  <c r="G32" i="1" s="1"/>
  <c r="V31" i="1"/>
  <c r="X31" i="1"/>
  <c r="W31" i="1" s="1"/>
  <c r="F33" i="1"/>
  <c r="H33" i="1"/>
  <c r="G33" i="1" s="1"/>
  <c r="V32" i="1"/>
  <c r="X32" i="1"/>
  <c r="W32" i="1" s="1"/>
  <c r="F34" i="1"/>
  <c r="H34" i="1"/>
  <c r="G34" i="1" s="1"/>
  <c r="V33" i="1"/>
  <c r="X33" i="1"/>
  <c r="W33" i="1" s="1"/>
  <c r="F35" i="1"/>
  <c r="H35" i="1"/>
  <c r="G35" i="1" s="1"/>
  <c r="V34" i="1"/>
  <c r="X34" i="1"/>
  <c r="W34" i="1" s="1"/>
  <c r="D36" i="1"/>
  <c r="E36" i="1"/>
  <c r="V35" i="1"/>
  <c r="X35" i="1"/>
  <c r="W35" i="1" s="1"/>
  <c r="F37" i="1"/>
  <c r="H37" i="1"/>
  <c r="F38" i="1"/>
  <c r="H38" i="1"/>
  <c r="G38" i="1" s="1"/>
  <c r="F39" i="1"/>
  <c r="H39" i="1"/>
  <c r="G39" i="1" s="1"/>
  <c r="F40" i="1"/>
  <c r="H40" i="1"/>
  <c r="G40" i="1" s="1"/>
  <c r="F41" i="1"/>
  <c r="H41" i="1"/>
  <c r="G41" i="1" s="1"/>
  <c r="V40" i="1"/>
  <c r="X40" i="1"/>
  <c r="W40" i="1" s="1"/>
  <c r="F42" i="1"/>
  <c r="H42" i="1"/>
  <c r="G42" i="1" s="1"/>
  <c r="V41" i="1"/>
  <c r="X41" i="1"/>
  <c r="W41" i="1" s="1"/>
  <c r="F43" i="1"/>
  <c r="H43" i="1"/>
  <c r="G43" i="1" s="1"/>
  <c r="V42" i="1"/>
  <c r="X42" i="1"/>
  <c r="W42" i="1" s="1"/>
  <c r="F44" i="1"/>
  <c r="H44" i="1"/>
  <c r="G44" i="1" s="1"/>
  <c r="V43" i="1"/>
  <c r="X43" i="1"/>
  <c r="W43" i="1" s="1"/>
  <c r="F45" i="1"/>
  <c r="V44" i="1"/>
  <c r="X44" i="1"/>
  <c r="W44" i="1" s="1"/>
  <c r="F46" i="1"/>
  <c r="H46" i="1"/>
  <c r="G46" i="1" s="1"/>
  <c r="V45" i="1"/>
  <c r="X45" i="1"/>
  <c r="W45" i="1" s="1"/>
  <c r="F47" i="1"/>
  <c r="V46" i="1"/>
  <c r="X46" i="1"/>
  <c r="W46" i="1" s="1"/>
  <c r="F48" i="1"/>
  <c r="H48" i="1"/>
  <c r="V47" i="1"/>
  <c r="X47" i="1"/>
  <c r="W47" i="1" s="1"/>
  <c r="F49" i="1"/>
  <c r="H49" i="1"/>
  <c r="G49" i="1" s="1"/>
  <c r="V48" i="1"/>
  <c r="X48" i="1"/>
  <c r="W48" i="1" s="1"/>
  <c r="F50" i="1"/>
  <c r="H50" i="1"/>
  <c r="G50" i="1" s="1"/>
  <c r="V49" i="1"/>
  <c r="X49" i="1"/>
  <c r="W49" i="1" s="1"/>
  <c r="F51" i="1"/>
  <c r="H51" i="1"/>
  <c r="G51" i="1" s="1"/>
  <c r="V50" i="1"/>
  <c r="X50" i="1"/>
  <c r="W50" i="1" s="1"/>
  <c r="F52" i="1"/>
  <c r="H52" i="1"/>
  <c r="L47" i="1" s="1"/>
  <c r="V51" i="1"/>
  <c r="X51" i="1"/>
  <c r="W51" i="1" s="1"/>
  <c r="F53" i="1"/>
  <c r="H53" i="1"/>
  <c r="V52" i="1"/>
  <c r="X52" i="1"/>
  <c r="W52" i="1" s="1"/>
  <c r="F54" i="1"/>
  <c r="H54" i="1"/>
  <c r="G54" i="1" s="1"/>
  <c r="F55" i="1"/>
  <c r="F56" i="1"/>
  <c r="H56" i="1"/>
  <c r="G56" i="1" s="1"/>
  <c r="F58" i="1"/>
  <c r="H58" i="1"/>
  <c r="G58" i="1" s="1"/>
  <c r="F59" i="1"/>
  <c r="H59" i="1"/>
  <c r="F60" i="1"/>
  <c r="H60" i="1"/>
  <c r="G60" i="1" s="1"/>
  <c r="F61" i="1"/>
  <c r="H61" i="1"/>
  <c r="G61" i="1" s="1"/>
  <c r="F62" i="1"/>
  <c r="H62" i="1"/>
  <c r="G62" i="1" s="1"/>
  <c r="F63" i="1"/>
  <c r="H63" i="1"/>
  <c r="F64" i="1"/>
  <c r="H64" i="1"/>
  <c r="G64" i="1" s="1"/>
  <c r="F65" i="1"/>
  <c r="H65" i="1"/>
  <c r="G65" i="1" s="1"/>
  <c r="F66" i="1"/>
  <c r="H66" i="1"/>
  <c r="G66" i="1" s="1"/>
  <c r="F67" i="1"/>
  <c r="H67" i="1"/>
  <c r="G67" i="1" s="1"/>
  <c r="F71" i="1"/>
  <c r="H71" i="1"/>
  <c r="F72" i="1"/>
  <c r="H72" i="1"/>
  <c r="F73" i="1"/>
  <c r="H73" i="1"/>
  <c r="G73" i="1" s="1"/>
  <c r="F74" i="1"/>
  <c r="H74" i="1"/>
  <c r="G74" i="1" s="1"/>
  <c r="F75" i="1"/>
  <c r="H75" i="1"/>
  <c r="G75" i="1" s="1"/>
  <c r="F76" i="1"/>
  <c r="H76" i="1"/>
  <c r="F77" i="1"/>
  <c r="H77" i="1"/>
  <c r="G77" i="1" s="1"/>
  <c r="F78" i="1"/>
  <c r="H78" i="1"/>
  <c r="G78" i="1" s="1"/>
  <c r="F79" i="1"/>
  <c r="H79" i="1"/>
  <c r="F80" i="1"/>
  <c r="H80" i="1"/>
  <c r="F81" i="1"/>
  <c r="H81" i="1"/>
  <c r="G81" i="1" s="1"/>
  <c r="F82" i="1"/>
  <c r="H82" i="1"/>
  <c r="G82" i="1" s="1"/>
  <c r="F83" i="1"/>
  <c r="F87" i="1"/>
  <c r="F88" i="1"/>
  <c r="H89" i="1"/>
  <c r="G89" i="1" s="1"/>
  <c r="F90" i="1"/>
  <c r="H90" i="1"/>
  <c r="G90" i="1" s="1"/>
  <c r="L59" i="1" l="1"/>
  <c r="J15" i="1"/>
  <c r="L76" i="1"/>
  <c r="L3" i="1"/>
  <c r="G79" i="1"/>
  <c r="N76" i="1"/>
  <c r="O76" i="1"/>
  <c r="G53" i="1"/>
  <c r="O47" i="1"/>
  <c r="N47" i="1"/>
  <c r="I47" i="1"/>
  <c r="K47" i="1"/>
  <c r="J47" i="1"/>
  <c r="G52" i="1"/>
  <c r="D42" i="6"/>
  <c r="G20" i="1"/>
  <c r="D36" i="6"/>
  <c r="L15" i="1"/>
  <c r="G80" i="1"/>
  <c r="F41" i="6"/>
  <c r="I76" i="1"/>
  <c r="K76" i="1"/>
  <c r="J76" i="1"/>
  <c r="G63" i="1"/>
  <c r="F30" i="6"/>
  <c r="G9" i="1"/>
  <c r="G13" i="1"/>
  <c r="N3" i="1"/>
  <c r="J3" i="1"/>
  <c r="I3" i="1"/>
  <c r="O3" i="1"/>
  <c r="K3" i="1"/>
  <c r="O59" i="1"/>
  <c r="K59" i="1"/>
  <c r="J59" i="1"/>
  <c r="I59" i="1"/>
  <c r="N59" i="1"/>
  <c r="G88" i="1"/>
  <c r="L88" i="1"/>
  <c r="G59" i="1"/>
  <c r="G71" i="1"/>
  <c r="H36" i="1"/>
  <c r="G36" i="1" s="1"/>
  <c r="N15" i="1"/>
  <c r="I15" i="1"/>
  <c r="K15" i="1"/>
  <c r="O15" i="1"/>
  <c r="L37" i="1"/>
  <c r="K37" i="1"/>
  <c r="J37" i="1"/>
  <c r="O37" i="1"/>
  <c r="N37" i="1"/>
  <c r="I37" i="1"/>
  <c r="O26" i="1"/>
  <c r="N26" i="1"/>
  <c r="J26" i="1"/>
  <c r="I26" i="1"/>
  <c r="L26" i="1"/>
  <c r="K26" i="1"/>
  <c r="K88" i="1"/>
  <c r="I88" i="1"/>
  <c r="O88" i="1"/>
  <c r="J88" i="1"/>
  <c r="N88" i="1"/>
  <c r="J72" i="1"/>
  <c r="K72" i="1"/>
  <c r="G37" i="1"/>
  <c r="G72" i="1"/>
  <c r="I72" i="1"/>
  <c r="N72" i="1"/>
  <c r="L72" i="1"/>
  <c r="O72" i="1"/>
  <c r="G3" i="1"/>
  <c r="G76" i="1"/>
  <c r="G48" i="1"/>
  <c r="G15" i="1"/>
  <c r="F36" i="1"/>
  <c r="E422" i="19" l="1"/>
  <c r="E425" i="19"/>
  <c r="E419" i="19"/>
  <c r="E428" i="19"/>
  <c r="E442" i="19"/>
  <c r="E438" i="19"/>
  <c r="E434" i="19"/>
  <c r="E430" i="19"/>
  <c r="E318" i="19"/>
  <c r="E321" i="19"/>
  <c r="E324" i="19"/>
  <c r="E315" i="19"/>
  <c r="E378" i="19"/>
  <c r="E381" i="19"/>
  <c r="E387" i="19"/>
  <c r="E384" i="19"/>
  <c r="G42" i="6"/>
  <c r="G36" i="6"/>
  <c r="D32" i="6"/>
  <c r="D31" i="6" l="1"/>
  <c r="E342" i="19"/>
  <c r="E345" i="19"/>
  <c r="E351" i="19"/>
  <c r="E348" i="19"/>
  <c r="E445" i="19"/>
  <c r="E441" i="19"/>
  <c r="E437" i="19"/>
  <c r="E433" i="19"/>
  <c r="E386" i="19"/>
  <c r="E383" i="19"/>
  <c r="E389" i="19"/>
  <c r="E380" i="19"/>
  <c r="G32" i="6"/>
  <c r="D17" i="6"/>
  <c r="E166" i="19" l="1"/>
  <c r="E162" i="19"/>
  <c r="E158" i="19"/>
  <c r="E154" i="19"/>
  <c r="G31" i="6"/>
  <c r="E350" i="19"/>
  <c r="E347" i="19"/>
  <c r="E353" i="19"/>
  <c r="E344" i="19"/>
  <c r="E326" i="19"/>
  <c r="E330" i="19"/>
  <c r="E334" i="19"/>
  <c r="E338" i="19"/>
  <c r="G17" i="6"/>
  <c r="E169" i="19" l="1"/>
  <c r="E165" i="19"/>
  <c r="E161" i="19"/>
  <c r="E157" i="19"/>
  <c r="E329" i="19"/>
  <c r="E333" i="19"/>
  <c r="E337" i="19"/>
  <c r="E341" i="19"/>
  <c r="K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Carey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can be copied and pasted over the TargetRatio field in the SLRatio database table, when filtered to the correct RunID (just make sure that both table are sorted identically…)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P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Junk ratios for testing...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Incidental Mortality rates used by CTC; from TCCHINOOK (97)-1</t>
        </r>
      </text>
    </comment>
    <comment ref="H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Values from tables A1 and A2 of TCCHINOOK (20)-1</t>
        </r>
      </text>
    </comment>
    <comment ref="P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Values from tables A1 and A2 of TCCHINOOK (20)-1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Gayle Brown, DFO</author>
    <author>Angelika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Gayle Brown, DFO:</t>
        </r>
        <r>
          <rPr>
            <sz val="9"/>
            <color indexed="81"/>
            <rFont val="Tahoma"/>
            <family val="2"/>
          </rPr>
          <t xml:space="preserve">
Consider data in this column as legal size encounters in addition to the landed catch</t>
        </r>
      </text>
    </comment>
    <comment ref="F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Gayle Brown, DFO:</t>
        </r>
        <r>
          <rPr>
            <sz val="9"/>
            <color indexed="81"/>
            <rFont val="Tahoma"/>
            <family val="2"/>
          </rPr>
          <t xml:space="preserve">
Consider data in this column as sublegal size encounters</t>
        </r>
      </text>
    </comment>
    <comment ref="K90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CNR, because it is modeled separately in FRAM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 Leon</author>
  </authors>
  <commentList>
    <comment ref="V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Hap Leon:</t>
        </r>
        <r>
          <rPr>
            <sz val="9"/>
            <color indexed="81"/>
            <rFont val="Tahoma"/>
            <family val="2"/>
          </rPr>
          <t xml:space="preserve">
Includes Areas 4 and 4B this year only.</t>
        </r>
      </text>
    </comment>
    <comment ref="W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Hap Leon:</t>
        </r>
        <r>
          <rPr>
            <sz val="9"/>
            <color indexed="81"/>
            <rFont val="Tahoma"/>
            <family val="2"/>
          </rPr>
          <t xml:space="preserve">
Includes Areas 4 and 4B this year only.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  <author>Angelika</author>
  </authors>
  <commentList>
    <comment ref="AL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in Jan 2016, from Table 9 of 2014 Ocean MSF report</t>
        </r>
      </text>
    </comment>
    <comment ref="AR3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 data with fewer than 20 observations</t>
        </r>
      </text>
    </comment>
    <comment ref="P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X4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AL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includes Area 3</t>
        </r>
      </text>
    </comment>
    <comment ref="AM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includes area 3</t>
        </r>
      </text>
    </comment>
    <comment ref="X7" authorId="1" shapeId="0" xr:uid="{00000000-0006-0000-0700-000007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F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  <comment ref="M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  <comment ref="T18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  <author>JonCarey</author>
  </authors>
  <commentList>
    <comment ref="D2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from CRC for encounters report; added for 2015 preseason input development.</t>
        </r>
      </text>
    </comment>
    <comment ref="G27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LM=311, LU=97, SM=147, SU=92</t>
        </r>
      </text>
    </comment>
    <comment ref="G28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LM=149, LU=54, SM=28, SU=8</t>
        </r>
      </text>
    </comment>
    <comment ref="G29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LM=218, LU=74, SM=118, SU=96</t>
        </r>
      </text>
    </comment>
    <comment ref="G38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ODK database because it includes values past the end of the shortened season; LM=24, LU=13, SM=35, SU=13</t>
        </r>
      </text>
    </comment>
    <comment ref="G47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ODK database because there was no fishery to report on; LM=10, LU=3, SM=9, SU=5</t>
        </r>
      </text>
    </comment>
    <comment ref="G69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VTR through 1/10/16; LM=11, LU=9, SM=70, SU=18</t>
        </r>
      </text>
    </comment>
    <comment ref="G78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Test fishing through 1-10-16; LM=8, LU=13, SM=32, SU=14</t>
        </r>
      </text>
    </comment>
    <comment ref="G89" authorId="1" shapeId="0" xr:uid="{00000000-0006-0000-08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TF &amp; VTR through 1/10/16; LM=6, LU=3, SM=61, SU=16</t>
        </r>
      </text>
    </comment>
    <comment ref="G98" authorId="1" shapeId="0" xr:uid="{00000000-0006-0000-08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Test fishing 11/1 - 1/14; LM=12, LU=3, SM=92, SU=38</t>
        </r>
      </text>
    </comment>
    <comment ref="E106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Check these - there is disagreement between the MSF Impacts db and the report</t>
        </r>
      </text>
    </comment>
    <comment ref="G107" authorId="1" shapeId="0" xr:uid="{00000000-0006-0000-08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October TF data; LM=4, LU=2, SM=75, SU=26</t>
        </r>
      </text>
    </comment>
    <comment ref="G113" authorId="1" shapeId="0" xr:uid="{00000000-0006-0000-08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LM=16, LU=9, SM=28, SU=20</t>
        </r>
      </text>
    </comment>
    <comment ref="G114" authorId="1" shapeId="0" xr:uid="{00000000-0006-0000-08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VTR DB 2.1.16; LM=6, LU=1, SM=46, SU=16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  <author>Pete McHugh</author>
  </authors>
  <commentList>
    <comment ref="C1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2016; from MSP and 2014 access databases</t>
        </r>
      </text>
    </comment>
    <comment ref="A25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first msf year, omit.</t>
        </r>
      </text>
    </comment>
    <comment ref="A33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MSF starting in 2009-10 winter season.</t>
        </r>
      </text>
    </comment>
    <comment ref="I40" authorId="1" shapeId="0" xr:uid="{00000000-0006-0000-0900-000004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Using these values instead of Baseline</t>
        </r>
      </text>
    </comment>
    <comment ref="A44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Omit due to MSF years.</t>
        </r>
      </text>
    </comment>
    <comment ref="C5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2016; from MSP and 2014 access databases</t>
        </r>
      </text>
    </comment>
    <comment ref="C7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2016, from 2014 baseline db</t>
        </r>
      </text>
    </comment>
    <comment ref="C7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2016, from 2015 baseline db</t>
        </r>
      </text>
    </comment>
    <comment ref="C85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MSF; data here are from 2011-12 CRC for Encounters report</t>
        </r>
      </text>
    </comment>
    <comment ref="C86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87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2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3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4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5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6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7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D20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So Cal Spt &amp; Trl vals</t>
        </r>
      </text>
    </comment>
    <comment ref="E20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KMZ ests</t>
        </r>
      </text>
    </comment>
    <comment ref="D3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orange = baseline released:retained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P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Junk ratios for testing...</t>
        </r>
      </text>
    </comment>
  </commentList>
</comments>
</file>

<file path=xl/sharedStrings.xml><?xml version="1.0" encoding="utf-8"?>
<sst xmlns="http://schemas.openxmlformats.org/spreadsheetml/2006/main" count="3140" uniqueCount="504">
  <si>
    <t>2&amp;3</t>
  </si>
  <si>
    <t>1&amp;4</t>
  </si>
  <si>
    <t>31 (Sinclair)</t>
  </si>
  <si>
    <t>17 (Elliot)</t>
  </si>
  <si>
    <t>16 (Tulalip)</t>
  </si>
  <si>
    <t>SLRatio</t>
  </si>
  <si>
    <t>TimeStep</t>
  </si>
  <si>
    <t>FisheryID</t>
  </si>
  <si>
    <t>MinLimit</t>
  </si>
  <si>
    <t>Sum of n enc</t>
  </si>
  <si>
    <t>Count of n enc2</t>
  </si>
  <si>
    <t>Row Labels</t>
  </si>
  <si>
    <t>Grand Total</t>
  </si>
  <si>
    <t>Average of SL ratio4</t>
  </si>
  <si>
    <t>Max of SL ratio3</t>
  </si>
  <si>
    <t>Min of SL ratio2</t>
  </si>
  <si>
    <t>Count of SL ratio</t>
  </si>
  <si>
    <t>Total Sum of n enc</t>
  </si>
  <si>
    <t>Total Count of n enc2</t>
  </si>
  <si>
    <t>Total Average of SL ratio4</t>
  </si>
  <si>
    <t>Total Max of SL ratio3</t>
  </si>
  <si>
    <t>Total Min of SL ratio2</t>
  </si>
  <si>
    <t>Total Count of SL ratio</t>
  </si>
  <si>
    <t>Column Labels</t>
  </si>
  <si>
    <t>SL ratio</t>
  </si>
  <si>
    <t>pSL</t>
  </si>
  <si>
    <t>n enc</t>
  </si>
  <si>
    <t>Sum of Chinook Released</t>
  </si>
  <si>
    <t>Sum of Chinook Kept</t>
  </si>
  <si>
    <t>Reg Year</t>
  </si>
  <si>
    <t>time step</t>
  </si>
  <si>
    <t>Area</t>
  </si>
  <si>
    <t>TS2-3 pooled</t>
  </si>
  <si>
    <t>MOR</t>
  </si>
  <si>
    <t>ROM</t>
  </si>
  <si>
    <t>geomean</t>
  </si>
  <si>
    <t>median</t>
  </si>
  <si>
    <t>Count</t>
  </si>
  <si>
    <t>Min</t>
  </si>
  <si>
    <t>Max</t>
  </si>
  <si>
    <t>For direct import into a run (and the database), populate the table below with TargetRatio values</t>
  </si>
  <si>
    <r>
      <t>Same TargetRatio for all ages</t>
    </r>
    <r>
      <rPr>
        <sz val="11"/>
        <color theme="1"/>
        <rFont val="Calibri"/>
        <family val="2"/>
        <scheme val="minor"/>
      </rPr>
      <t>:</t>
    </r>
  </si>
  <si>
    <t>Yes</t>
  </si>
  <si>
    <r>
      <t xml:space="preserve">(Leave as 'Yes'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set to 'No' and provide age age-specific values)</t>
    </r>
  </si>
  <si>
    <t>Be sure to include a ratio for all time steps for which a RunEncounterRateAdjustment is desired.</t>
  </si>
  <si>
    <t>Age</t>
  </si>
  <si>
    <t>TargetRatio</t>
  </si>
  <si>
    <t>&lt;---Import template (don't move/modify)</t>
  </si>
  <si>
    <t>Average of TargetRatio</t>
  </si>
  <si>
    <t>FisheryName</t>
  </si>
  <si>
    <t>Species</t>
  </si>
  <si>
    <t>VersionNumber</t>
  </si>
  <si>
    <t>FisheryTitle</t>
  </si>
  <si>
    <t>CHINOOK</t>
  </si>
  <si>
    <t>SEAK Troll</t>
  </si>
  <si>
    <t>SE Alaska Troll</t>
  </si>
  <si>
    <t>SEAK Net</t>
  </si>
  <si>
    <t>SE Alaska Net</t>
  </si>
  <si>
    <t>SEAK Sport</t>
  </si>
  <si>
    <t>SE Alaska Sport</t>
  </si>
  <si>
    <t>N/C BC Net</t>
  </si>
  <si>
    <t>BC No/Cent Net</t>
  </si>
  <si>
    <t>WCVI Net</t>
  </si>
  <si>
    <t>BC WCVI Net</t>
  </si>
  <si>
    <t>GeoStr Net</t>
  </si>
  <si>
    <t>BC Georgia Strait Net</t>
  </si>
  <si>
    <t>BC JDF Net</t>
  </si>
  <si>
    <t>BCOutSport</t>
  </si>
  <si>
    <t>BC Outside Sport</t>
  </si>
  <si>
    <t>N/C BC Trl</t>
  </si>
  <si>
    <t>BC No/Cent Troll</t>
  </si>
  <si>
    <t>WCVI Troll</t>
  </si>
  <si>
    <t>BC WCVI Troll</t>
  </si>
  <si>
    <t>WCVI Sport</t>
  </si>
  <si>
    <t>BC WCVI Sport</t>
  </si>
  <si>
    <t>GeoS Troll</t>
  </si>
  <si>
    <t>BC Georgia Strait Troll</t>
  </si>
  <si>
    <t>N GS Sport</t>
  </si>
  <si>
    <t>BC N Georgia Strait Sport</t>
  </si>
  <si>
    <t>S GS Sport</t>
  </si>
  <si>
    <t>BC S Georgia Strait Sport</t>
  </si>
  <si>
    <t>BC JDF Spt</t>
  </si>
  <si>
    <t>BC JDF Sport</t>
  </si>
  <si>
    <t>NT 3:4 Trl</t>
  </si>
  <si>
    <t>NT Area 3:4:4B Troll</t>
  </si>
  <si>
    <t>Tr 3:4 Trl</t>
  </si>
  <si>
    <t>Tr Area 3:4:4B Troll</t>
  </si>
  <si>
    <t>Ar 3:4 Spt</t>
  </si>
  <si>
    <t>NT Area 3:4 Sport</t>
  </si>
  <si>
    <t>NoWACstNet</t>
  </si>
  <si>
    <t>No Wash.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</si>
  <si>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</si>
  <si>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</si>
  <si>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</si>
  <si>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</si>
  <si>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</si>
  <si>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</si>
  <si>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</si>
  <si>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G. Harbor Net</t>
  </si>
  <si>
    <t>Tr GHb Net</t>
  </si>
  <si>
    <t>T G.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</si>
  <si>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</si>
  <si>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</si>
  <si>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</si>
  <si>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</si>
  <si>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</si>
  <si>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</si>
  <si>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</si>
  <si>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</si>
  <si>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</si>
  <si>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</si>
  <si>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</si>
  <si>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</si>
  <si>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</si>
  <si>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</si>
  <si>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</si>
  <si>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</si>
  <si>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</si>
  <si>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Calif. Troll</t>
  </si>
  <si>
    <t>So Cal Spt</t>
  </si>
  <si>
    <t>So Calif. Sport</t>
  </si>
  <si>
    <t>Ar 7 Sport</t>
  </si>
  <si>
    <t>NT Area 7 Sport</t>
  </si>
  <si>
    <t>NT 7:7ANet</t>
  </si>
  <si>
    <t>NT Area 6A:7:7A Net</t>
  </si>
  <si>
    <t>Tr 7:7ANet</t>
  </si>
  <si>
    <t>Tr Area 6A:7:7A Net</t>
  </si>
  <si>
    <t>NT 7BCDNet</t>
  </si>
  <si>
    <t>NT Area 7B-7D Net</t>
  </si>
  <si>
    <t>Tr 7BCDNet</t>
  </si>
  <si>
    <t>Tr Area 7B-7D Net</t>
  </si>
  <si>
    <t>Tr JDF Trl</t>
  </si>
  <si>
    <t>Tr JDF Troll</t>
  </si>
  <si>
    <t>Ar 5 Sport</t>
  </si>
  <si>
    <t>NT Area 5 Sport</t>
  </si>
  <si>
    <t>NT JDF Net</t>
  </si>
  <si>
    <t>Tr JDF Net</t>
  </si>
  <si>
    <t>Ar 8-1 Spt</t>
  </si>
  <si>
    <t>NT Area 8-1 Sport</t>
  </si>
  <si>
    <t>NT SkagNet</t>
  </si>
  <si>
    <t>NT Skagit Net</t>
  </si>
  <si>
    <t>Tr SkagNet</t>
  </si>
  <si>
    <t>Tr Skagit Net</t>
  </si>
  <si>
    <t>Area8D Spt</t>
  </si>
  <si>
    <t>NT Area 8D Sport</t>
  </si>
  <si>
    <t>NT StSnNet</t>
  </si>
  <si>
    <t>NT St/Snohomish Net</t>
  </si>
  <si>
    <t>Tr StSnNet</t>
  </si>
  <si>
    <t>Tr St/Snohomish Net</t>
  </si>
  <si>
    <t>NT TulaNet</t>
  </si>
  <si>
    <t>NT Tulalip Bay Net</t>
  </si>
  <si>
    <t>Tr TulaNet</t>
  </si>
  <si>
    <t>Tr Tulalip Bay Net</t>
  </si>
  <si>
    <t>Ar 9 Sport</t>
  </si>
  <si>
    <t>NT Area 9 Sport</t>
  </si>
  <si>
    <t>Ar 6 Sport</t>
  </si>
  <si>
    <t>NT Area 6 Sport</t>
  </si>
  <si>
    <t>Tr 6B:9Net</t>
  </si>
  <si>
    <t>Tr Area 6B:9 Net</t>
  </si>
  <si>
    <t>A 10 Sport</t>
  </si>
  <si>
    <t>NT Area 10 Sport</t>
  </si>
  <si>
    <t>A 11 Sport</t>
  </si>
  <si>
    <t>NT Area 11 Sport</t>
  </si>
  <si>
    <t>NT10:11Net</t>
  </si>
  <si>
    <t>NT Area 10:11 Net</t>
  </si>
  <si>
    <t>Tr10:11Net</t>
  </si>
  <si>
    <t>Tr Area 10:11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</si>
  <si>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</si>
  <si>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</si>
  <si>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</si>
  <si>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</si>
  <si>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</si>
  <si>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</si>
  <si>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</si>
  <si>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</si>
  <si>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A 12 Sport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</si>
  <si>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</si>
  <si>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</si>
  <si>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</si>
  <si>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</si>
  <si>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</si>
  <si>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</si>
  <si>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</si>
  <si>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</si>
  <si>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</si>
  <si>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</si>
  <si>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</si>
  <si>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</si>
  <si>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</si>
  <si>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</si>
  <si>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</si>
  <si>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</si>
  <si>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</si>
  <si>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blank = no adjustment</t>
  </si>
  <si>
    <t>Fishery</t>
  </si>
  <si>
    <t>Fish.</t>
  </si>
  <si>
    <t>No.</t>
  </si>
  <si>
    <t>Years</t>
  </si>
  <si>
    <t>year</t>
  </si>
  <si>
    <t>Source</t>
  </si>
  <si>
    <t>Comments</t>
  </si>
  <si>
    <t>2007-2012</t>
  </si>
  <si>
    <t>2007-2011</t>
  </si>
  <si>
    <t>NA</t>
  </si>
  <si>
    <t>OB</t>
  </si>
  <si>
    <t>2003-2006</t>
  </si>
  <si>
    <t>T2: 587, T3: 350</t>
  </si>
  <si>
    <t>2003-2007</t>
  </si>
  <si>
    <t>2005-2011</t>
  </si>
  <si>
    <t>T2: 671, T3: 434</t>
  </si>
  <si>
    <t>used MOR</t>
  </si>
  <si>
    <t>2005, 2011</t>
  </si>
  <si>
    <t>2005,2011-12</t>
  </si>
  <si>
    <t>TS 1/4</t>
  </si>
  <si>
    <t>TS 2</t>
  </si>
  <si>
    <t>TS 3</t>
  </si>
  <si>
    <t>Region</t>
  </si>
  <si>
    <t>Fish. Num</t>
  </si>
  <si>
    <t>value (range)</t>
  </si>
  <si>
    <t>data
type</t>
  </si>
  <si>
    <t>n
year</t>
  </si>
  <si>
    <t>obs/
year</t>
  </si>
  <si>
    <t>Alaska Troll</t>
  </si>
  <si>
    <t>0.314(0.22-0.40)</t>
  </si>
  <si>
    <t>Alaska Sport</t>
  </si>
  <si>
    <t>0.578(0.50-0.68)</t>
  </si>
  <si>
    <t>--</t>
  </si>
  <si>
    <t>Gayle Brown</t>
  </si>
  <si>
    <t>sublegal Chinook are not encountered</t>
  </si>
  <si>
    <t>N/C BC Troll</t>
  </si>
  <si>
    <t>0.111(0.063-0.218)</t>
  </si>
  <si>
    <t>used MOR, excl. CNR</t>
  </si>
  <si>
    <t>0.105(0.040-0.161)</t>
  </si>
  <si>
    <t>0.200(0.11-0.34)</t>
  </si>
  <si>
    <t>GS Troll</t>
  </si>
  <si>
    <t>no fishery in recent years; old value</t>
  </si>
  <si>
    <t>No Geo  Sport</t>
  </si>
  <si>
    <t>0.612(0.74-1.79)</t>
  </si>
  <si>
    <t>So Geo  Sport</t>
  </si>
  <si>
    <t>1.078(0.23-1.13)</t>
  </si>
  <si>
    <t>0.442(0.16-1.38)</t>
  </si>
  <si>
    <t>NT Cape Flattery - Quillayute Troll A3/4</t>
  </si>
  <si>
    <t>0.937(0.72-1.43)</t>
  </si>
  <si>
    <t>0.482(0-1.70)</t>
  </si>
  <si>
    <t>Wendy Beeghley</t>
  </si>
  <si>
    <t>T Cape Flattery - Quillayute Troll A 3/4</t>
  </si>
  <si>
    <t>used MOR; ignores Area 3 in avg</t>
  </si>
  <si>
    <t>Cape Flattery - Quillayute Sport A 3/4</t>
  </si>
  <si>
    <t>1.113(0.16-2.18)</t>
  </si>
  <si>
    <t>charter ride-along?</t>
  </si>
  <si>
    <t>used MOR; no 3 in avg</t>
  </si>
  <si>
    <t>NT Grays Harbor Troll A 2</t>
  </si>
  <si>
    <t>1.147(0.69-2.34)</t>
  </si>
  <si>
    <t>1.200(0.14-3.30)</t>
  </si>
  <si>
    <t>T Grays Harbor Troll A2</t>
  </si>
  <si>
    <t>Grays Harbor Sport Area 2</t>
  </si>
  <si>
    <t>0.663(0.09-2.00)</t>
  </si>
  <si>
    <t>NT Columbia River Troll A 1</t>
  </si>
  <si>
    <t>missing ratios</t>
  </si>
  <si>
    <t>Columbia River Sport Area 1</t>
  </si>
  <si>
    <t>2.587(0.36-6.70)</t>
  </si>
  <si>
    <t>Orford Reef-Cape Falcon Troll</t>
  </si>
  <si>
    <t>0.474(0.13-0.82)</t>
  </si>
  <si>
    <t>1.086(0.79-1.39)</t>
  </si>
  <si>
    <t>used MOR, uses KMZ</t>
  </si>
  <si>
    <t>Orford Reef-Cape Falcon Sport</t>
  </si>
  <si>
    <t>0.920(0.34-2.03)</t>
  </si>
  <si>
    <t>0.583(0.24-0.85)</t>
  </si>
  <si>
    <t>0.689(0.25-1.41)</t>
  </si>
  <si>
    <t>Horse Mountain-Orford Reef Troll</t>
  </si>
  <si>
    <t>Horse Mountain-Orford Reef Sport</t>
  </si>
  <si>
    <t>California-Horse Mountain Troll</t>
  </si>
  <si>
    <t>0.368(0.07-0.66)</t>
  </si>
  <si>
    <t>0.600(0.30-0.90)</t>
  </si>
  <si>
    <t>California-Horse Mountain Sport</t>
  </si>
  <si>
    <t>0.610(0.36-1.09)</t>
  </si>
  <si>
    <t>0.495(0.28-0.68)</t>
  </si>
  <si>
    <t>2005,2011-2012</t>
  </si>
  <si>
    <t>Sum of sublegal</t>
  </si>
  <si>
    <t>Sum of legal</t>
  </si>
  <si>
    <t>summer</t>
  </si>
  <si>
    <t>winter</t>
  </si>
  <si>
    <t>season</t>
  </si>
  <si>
    <t>area</t>
  </si>
  <si>
    <t>Slratio</t>
  </si>
  <si>
    <t>Average of Slratio</t>
  </si>
  <si>
    <t>Values</t>
  </si>
  <si>
    <t>Min of Slratio</t>
  </si>
  <si>
    <t>Max of Slratio</t>
  </si>
  <si>
    <t>Count of Slratio</t>
  </si>
  <si>
    <t>RunID</t>
  </si>
  <si>
    <t>SumOfMSFEncounter</t>
  </si>
  <si>
    <t>SumOfMSFShaker</t>
  </si>
  <si>
    <t>SumOfLandedCatch</t>
  </si>
  <si>
    <t>SumOfShaker</t>
  </si>
  <si>
    <t>output</t>
  </si>
  <si>
    <t>RunEncounterRateAdjustment</t>
  </si>
  <si>
    <t>UpdateWhen</t>
  </si>
  <si>
    <t>UpdateBy</t>
  </si>
  <si>
    <t>diff</t>
  </si>
  <si>
    <t>CalcSL</t>
  </si>
  <si>
    <t>Diff</t>
  </si>
  <si>
    <t>BasePeriodID</t>
  </si>
  <si>
    <t>ShakerMortRate</t>
  </si>
  <si>
    <t>mchugpam</t>
  </si>
  <si>
    <t>AvgOfTargetRatio</t>
  </si>
  <si>
    <t>Calc'd</t>
  </si>
  <si>
    <t>(All)</t>
  </si>
  <si>
    <t>(All years updated)</t>
  </si>
  <si>
    <t>use</t>
  </si>
  <si>
    <t>n</t>
  </si>
  <si>
    <t>y</t>
  </si>
  <si>
    <t>Summer</t>
  </si>
  <si>
    <t>Season</t>
  </si>
  <si>
    <t>Year</t>
  </si>
  <si>
    <t>Chinook Retained</t>
  </si>
  <si>
    <t>Chinook Released</t>
  </si>
  <si>
    <t>Chinook Mortality</t>
  </si>
  <si>
    <t>Total Encounters</t>
  </si>
  <si>
    <t>Total Mortality</t>
  </si>
  <si>
    <t>LM</t>
  </si>
  <si>
    <t>LU</t>
  </si>
  <si>
    <t>SM</t>
  </si>
  <si>
    <t>SU</t>
  </si>
  <si>
    <t>LEGAL SIZED</t>
  </si>
  <si>
    <t>SUBLEGAL SIZED</t>
  </si>
  <si>
    <t>FRAM preseason projected mark rate (legal sized)</t>
  </si>
  <si>
    <t>Marked</t>
  </si>
  <si>
    <t>Unmarked</t>
  </si>
  <si>
    <t>Mark Rate</t>
  </si>
  <si>
    <t>Area 4</t>
  </si>
  <si>
    <t>Area 3</t>
  </si>
  <si>
    <t>-</t>
  </si>
  <si>
    <t>Area 2</t>
  </si>
  <si>
    <t>Area 1</t>
  </si>
  <si>
    <t>TOTAL</t>
  </si>
  <si>
    <t xml:space="preserve">Area </t>
  </si>
  <si>
    <t>legal</t>
  </si>
  <si>
    <t>sublegal</t>
  </si>
  <si>
    <t>Sub:legal</t>
  </si>
  <si>
    <t>(dump first year in series, add 2012, 2013)</t>
  </si>
  <si>
    <t>Northern British Columbia and West Coast Vancouver Island are AABM fisheries only</t>
  </si>
  <si>
    <t>Troll sublegal releases already include 1.67 expansion factor.</t>
  </si>
  <si>
    <t>Johnstone Strait includes Area 12</t>
  </si>
  <si>
    <t xml:space="preserve">Georgia Strait includes Areas 13-18, 19A, 28, 29 </t>
  </si>
  <si>
    <t>Juan de Fuca includes Areas 19B, 20</t>
  </si>
  <si>
    <t>Reported Catch Data</t>
  </si>
  <si>
    <t xml:space="preserve"> Release Legals</t>
  </si>
  <si>
    <t xml:space="preserve"> Release Sublegals</t>
  </si>
  <si>
    <t>TOTAL LIM</t>
  </si>
  <si>
    <t>TOTAL SIM</t>
  </si>
  <si>
    <t>Northern British Columbia</t>
  </si>
  <si>
    <t>Tidal Sport</t>
  </si>
  <si>
    <t>Troll</t>
  </si>
  <si>
    <t>CNR Troll</t>
  </si>
  <si>
    <t>West Coast Vancouver Island</t>
  </si>
  <si>
    <t>Johnstone Strait</t>
  </si>
  <si>
    <t>Georgia Strait</t>
  </si>
  <si>
    <t>Juan de Fuca</t>
  </si>
  <si>
    <t>ave of cum</t>
  </si>
  <si>
    <t>ave of prop</t>
  </si>
  <si>
    <t>2007-11 cum.</t>
  </si>
  <si>
    <t>Northern BC Troll</t>
  </si>
  <si>
    <t>Northern BC Sport</t>
  </si>
  <si>
    <t>Johnstone Sport (N Geo Sport)</t>
  </si>
  <si>
    <t>Geo Sport</t>
  </si>
  <si>
    <t>Juan De Fuca Sport</t>
  </si>
  <si>
    <t>&lt;&lt; 2012-2013 winter MSF VTR value</t>
  </si>
  <si>
    <t>&lt;&lt; 2013-2014 winter MSF VTR value</t>
  </si>
  <si>
    <t>&lt;&lt; 2011-2012 winter MSF VTR value</t>
  </si>
  <si>
    <t>&lt;&lt; 2010-2011 winter MSF VTR value</t>
  </si>
  <si>
    <t>mean</t>
  </si>
  <si>
    <t>N/A (little to no fishery in recent years)</t>
  </si>
  <si>
    <t>Whilte = MSF creel/VTR                                                                             [PS Sport Only]</t>
  </si>
  <si>
    <t>-99 = no base period fishery for time/area cell</t>
  </si>
  <si>
    <t>Value for Time Step</t>
  </si>
  <si>
    <t>TS</t>
  </si>
  <si>
    <t>L</t>
  </si>
  <si>
    <t>S</t>
  </si>
  <si>
    <t>S:L</t>
  </si>
  <si>
    <t>OSP NT Troll Observer Data from Wendy</t>
  </si>
  <si>
    <t>Mean of Ratios</t>
  </si>
  <si>
    <t>Troll Chinook Encounters by Size Class</t>
  </si>
  <si>
    <t>Legal</t>
  </si>
  <si>
    <t>Sublegal</t>
  </si>
  <si>
    <t>Observer</t>
  </si>
  <si>
    <t>Averages</t>
  </si>
  <si>
    <t>Area 3:4</t>
  </si>
  <si>
    <t>* source is HistoricalVTROBOfinal.accdb database</t>
  </si>
  <si>
    <t>* Treaty observer data provided by Hap; 11.4.15</t>
  </si>
  <si>
    <t>pSublegal</t>
  </si>
  <si>
    <t>S:L ratio</t>
  </si>
  <si>
    <t>Treaty Troll Fishery, May-June Time Period</t>
  </si>
  <si>
    <t>Treaty Troll Fishery, July-Sept Time Period</t>
  </si>
  <si>
    <t>NOT YET AVAILABLE</t>
  </si>
  <si>
    <t>Updated 1/8/2016 with data from MSF Impacts database (through 2014-15 Winter)</t>
  </si>
  <si>
    <t>MSF_Impacts DB</t>
  </si>
  <si>
    <t>CRC for Enc Ests</t>
  </si>
  <si>
    <t>No Fishery</t>
  </si>
  <si>
    <t>Reported VTR</t>
  </si>
  <si>
    <t>See Comment</t>
  </si>
  <si>
    <t>added Jan 2016</t>
  </si>
  <si>
    <t>include?</t>
  </si>
  <si>
    <t>Chinook Kept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</si>
  <si>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</si>
  <si>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</si>
  <si>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</si>
  <si>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</si>
  <si>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</si>
  <si>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</si>
  <si>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</si>
  <si>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</si>
  <si>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</si>
  <si>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</si>
  <si>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</si>
  <si>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</si>
  <si>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Date</t>
  </si>
  <si>
    <t>Author</t>
  </si>
  <si>
    <t>Note</t>
  </si>
  <si>
    <t>JC</t>
  </si>
  <si>
    <t>Updated T2 &amp; T3 NT Area 3:4 Troll and NT Area 2 Troll with data from OSP VTR-Observer database</t>
  </si>
  <si>
    <t>Updated T2 &amp; T3 Tr Area 3:4 Troll with treaty observer data provided by Hap on 11.4.2015 (was previously using NT Area 3:4 Troll, but size limits are different)</t>
  </si>
  <si>
    <t>Updated T2 &amp; T3 Tr Area 2 Troll based on the ratio of Treaty to NT Troll in Area 3:4</t>
  </si>
  <si>
    <t>* Area 13 winter became MSF in 2014-15 season</t>
  </si>
  <si>
    <t>** Still using baseline rel/ret ratio for S/L ratio estimation</t>
  </si>
  <si>
    <t>** Now using creel values for S/L ratio estimation</t>
  </si>
  <si>
    <t>2014-15</t>
  </si>
  <si>
    <t>2015-16</t>
  </si>
  <si>
    <t>* Area 5 winter converted to MSF in 2014-15 season</t>
  </si>
  <si>
    <t>* Area 11 winter converted to MSF in 2009-10 season</t>
  </si>
  <si>
    <t>* Area 6 winter converted to MSF in 2012-13 season</t>
  </si>
  <si>
    <t>* Area 12 winter converted to MSF in 2009-10 season</t>
  </si>
  <si>
    <t>** Using below VTR values for S/L ratio estimation (years with sufficient n)</t>
  </si>
  <si>
    <t>* Area 7 summer still non-selective</t>
  </si>
  <si>
    <t>* Area 11 summer converted to MSF in 2007</t>
  </si>
  <si>
    <t>* Area 12 summer converted to MSF in 2012</t>
  </si>
  <si>
    <t>* Area 13 summer converted to MSF in 2007</t>
  </si>
  <si>
    <t>THIS ESTIMATION ONLY WORKS FOR NON-SELECTIVE FISHERIES</t>
  </si>
  <si>
    <t>Updated Creel (MSF) Data with values from MSF_Impacts databse</t>
  </si>
  <si>
    <t>Test fishing data</t>
  </si>
  <si>
    <t>VTR</t>
  </si>
  <si>
    <t>Total</t>
  </si>
  <si>
    <t>CRC for Encounters</t>
  </si>
  <si>
    <t>LegEnc</t>
  </si>
  <si>
    <t>SubEnc</t>
  </si>
  <si>
    <t>** Using VTR data in Creel (MSF) tab</t>
  </si>
  <si>
    <t>2009-13 (T1/4), 2007-12 (T2-3)</t>
  </si>
  <si>
    <t>Blue = Updated values for 2016</t>
  </si>
  <si>
    <t>S:L Ratio</t>
  </si>
  <si>
    <t>3:4</t>
  </si>
  <si>
    <t>5 yr Average</t>
  </si>
  <si>
    <r>
      <rPr>
        <b/>
        <sz val="11"/>
        <rFont val="Calibri"/>
        <family val="2"/>
        <scheme val="minor"/>
      </rPr>
      <t>Table 1.</t>
    </r>
    <r>
      <rPr>
        <sz val="11"/>
        <rFont val="Calibri"/>
        <family val="2"/>
        <scheme val="minor"/>
      </rPr>
      <t xml:space="preserve"> Sampling estimates of S:L ratios proposed for 2016 pre-season FRAM modeling. Gray cells are unchanged from 2015.</t>
    </r>
  </si>
  <si>
    <t>Gray = unchanged from 2015</t>
  </si>
  <si>
    <t>Time Step 2; Chinook MSF Data</t>
  </si>
  <si>
    <t>Time Step 3; All-Species Fishery Data</t>
  </si>
  <si>
    <t>2009-14</t>
  </si>
  <si>
    <t>Updated 'PFMCsport' with data from 2010-2014 MSF Reports; using these five years for averages, using Chinook MSF encounters for Time2 and All-species encounters for Time3</t>
  </si>
  <si>
    <t>Added all available new data (creel ests, VTR, test-fishing) to 'Creel (MSF) Data' and updated to 6 year rolling averages where possible</t>
  </si>
  <si>
    <t>Added 2013-14 to Area 5 and 13 winter and 2014 &amp; 2015 to Area 7 summer baseline data, updated to 6 year rolling averages where possible</t>
  </si>
  <si>
    <t xml:space="preserve">Updated T1 &amp; T4 Tr Area 3:4 Troll to use Area 5 Sport (was previously using NT 3:4 Troll T2; Agreement with Hap to use Area 5 winter sport, size limits are the same) </t>
  </si>
  <si>
    <t>Senc</t>
  </si>
  <si>
    <t>Lenc</t>
  </si>
  <si>
    <t>SIM</t>
  </si>
  <si>
    <t>LIM</t>
  </si>
  <si>
    <t>Landed</t>
  </si>
  <si>
    <t>YEAR</t>
  </si>
  <si>
    <t>SEAK-All</t>
  </si>
  <si>
    <t>Sport</t>
  </si>
  <si>
    <t>DropOff</t>
  </si>
  <si>
    <t>&gt;= 33cm</t>
  </si>
  <si>
    <t>Hooking</t>
  </si>
  <si>
    <t>Barbed</t>
  </si>
  <si>
    <t>SEAK TROLL</t>
  </si>
  <si>
    <t>CTC IM RATES</t>
  </si>
  <si>
    <t>Added 2014 SEAK and Canada data from TCCHINOOK (15)-2, maintained 6 yr rolling average (dropped 2008, added 2014)</t>
  </si>
  <si>
    <t>Ests from 2015 post-season draft 1.28.16</t>
  </si>
  <si>
    <t>VTR from 2015 post-season draft 1.28.16</t>
  </si>
  <si>
    <t>&lt;&lt;&lt; Values for new Base Period (MOR for 2007-2013)</t>
  </si>
  <si>
    <t>(updated for 2007-2013)</t>
  </si>
  <si>
    <t>2007-2013</t>
  </si>
  <si>
    <t>2010-2013 (T2); 2007-2013 (T3)</t>
  </si>
  <si>
    <t>From CTC CLB&amp;ER Reports</t>
  </si>
  <si>
    <t>From OSP VTR-Observer databse</t>
  </si>
  <si>
    <t>2007-2013 (T1/4); 2001-2006 (T2-3)</t>
  </si>
  <si>
    <t>T1&amp;4 uses A5 winter sport as surrogate; T2&amp;3 uses treaty observer data provided by Hap on 11.4.2015</t>
  </si>
  <si>
    <t>Uses encounters from observer and VTR data in Ocean MSF Reports</t>
  </si>
  <si>
    <t>2008-2013 (T2); 2007-2013 (T3)</t>
  </si>
  <si>
    <t>Based on ratio of Tr:NT Troll in Area 3:4</t>
  </si>
  <si>
    <t>Data Source</t>
  </si>
  <si>
    <t>Creel data for T1/4; Baseline data for T3</t>
  </si>
  <si>
    <t>2007-13</t>
  </si>
  <si>
    <t xml:space="preserve">2007-13 </t>
  </si>
  <si>
    <t>Baseline data for T1/4; Creel data for T3</t>
  </si>
  <si>
    <t>Creel data</t>
  </si>
  <si>
    <t>Baseline/Creel combo for T1/4; Creel data for T3</t>
  </si>
  <si>
    <t>2009-13 (T1/4),
2007-13 (T2-3)</t>
  </si>
  <si>
    <t>Baseline/Creel combo</t>
  </si>
  <si>
    <t>2007-2013 Average</t>
  </si>
  <si>
    <t>Creel data for T1/4; A6/9 Avg for T3 (due to lack of data)</t>
  </si>
  <si>
    <t>careyjdc</t>
  </si>
  <si>
    <t>Using Area 5 Sport as surrogate</t>
  </si>
  <si>
    <t>8D</t>
  </si>
  <si>
    <t>10A</t>
  </si>
  <si>
    <t>10E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</si>
</sst>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00"/>
    <numFmt numFmtId="166" formatCode="dd\-mmm\-yy"/>
    <numFmt numFmtId="167" formatCode="0.00000"/>
    <numFmt numFmtId="168" formatCode="0.0000"/>
    <numFmt numFmtId="169" formatCode="_-* #,##0_-;\-* #,##0_-;_-* &quot;-&quot;??_-;_-@_-"/>
    <numFmt numFmtId="170" formatCode="_(* #,##0.000_);_(* \(#,##0.000\);_(* &quot;-&quot;??_);_(@_)"/>
    <numFmt numFmtId="171" formatCode="#,##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Times New Roman"/>
      <family val="2"/>
    </font>
    <font>
      <sz val="11"/>
      <color theme="0"/>
      <name val="Calibri"/>
      <family val="2"/>
    </font>
    <font>
      <sz val="11"/>
      <color rgb="FFFF0000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0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5" fillId="13" borderId="28" applyNumberFormat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2" fillId="0" borderId="0"/>
  </cellStyleXfs>
  <cellXfs count="459">
    <xf numFmtId="0" fontId="0" fillId="0" borderId="0" xfId="0"/>
    <xf numFmtId="0" fontId="3" fillId="0" borderId="1" xfId="1" applyFont="1" applyFill="1" applyBorder="1" applyAlignment="1">
      <alignment horizontal="right" wrapText="1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2" xfId="0" applyFont="1" applyBorder="1"/>
    <xf numFmtId="0" fontId="3" fillId="2" borderId="3" xfId="1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1" fillId="3" borderId="2" xfId="0" applyFont="1" applyFill="1" applyBorder="1"/>
    <xf numFmtId="0" fontId="1" fillId="3" borderId="0" xfId="0" applyFont="1" applyFill="1"/>
    <xf numFmtId="0" fontId="0" fillId="0" borderId="0" xfId="0" pivotButton="1"/>
    <xf numFmtId="0" fontId="1" fillId="3" borderId="0" xfId="0" applyFont="1" applyFill="1" applyBorder="1"/>
    <xf numFmtId="164" fontId="0" fillId="0" borderId="0" xfId="0" applyNumberFormat="1" applyAlignment="1">
      <alignment horizontal="center"/>
    </xf>
    <xf numFmtId="0" fontId="4" fillId="4" borderId="4" xfId="2" applyBorder="1"/>
    <xf numFmtId="164" fontId="4" fillId="4" borderId="4" xfId="2" applyNumberFormat="1" applyBorder="1" applyAlignment="1">
      <alignment horizontal="center"/>
    </xf>
    <xf numFmtId="2" fontId="4" fillId="4" borderId="4" xfId="2" applyNumberFormat="1" applyBorder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6" fillId="0" borderId="0" xfId="0" applyFont="1"/>
    <xf numFmtId="165" fontId="0" fillId="5" borderId="5" xfId="0" applyNumberFormat="1" applyFont="1" applyFill="1" applyBorder="1" applyAlignment="1">
      <alignment horizontal="center"/>
    </xf>
    <xf numFmtId="0" fontId="5" fillId="0" borderId="0" xfId="0" applyFont="1"/>
    <xf numFmtId="0" fontId="8" fillId="6" borderId="5" xfId="3" applyFont="1" applyFill="1" applyBorder="1" applyAlignment="1">
      <alignment horizontal="center"/>
    </xf>
    <xf numFmtId="165" fontId="8" fillId="6" borderId="5" xfId="3" applyNumberFormat="1" applyFont="1" applyFill="1" applyBorder="1" applyAlignment="1">
      <alignment horizontal="center"/>
    </xf>
    <xf numFmtId="0" fontId="8" fillId="0" borderId="0" xfId="4" applyFont="1" applyFill="1" applyBorder="1" applyAlignment="1">
      <alignment horizontal="right"/>
    </xf>
    <xf numFmtId="0" fontId="8" fillId="7" borderId="0" xfId="4" applyFont="1" applyFill="1" applyBorder="1" applyAlignment="1"/>
    <xf numFmtId="165" fontId="8" fillId="0" borderId="0" xfId="4" applyNumberFormat="1" applyFont="1" applyFill="1" applyBorder="1" applyAlignment="1">
      <alignment horizontal="center"/>
    </xf>
    <xf numFmtId="165" fontId="0" fillId="0" borderId="0" xfId="0" applyNumberFormat="1" applyFont="1"/>
    <xf numFmtId="165" fontId="0" fillId="0" borderId="0" xfId="0" pivotButton="1" applyNumberFormat="1"/>
    <xf numFmtId="165" fontId="0" fillId="0" borderId="0" xfId="0" applyNumberFormat="1"/>
    <xf numFmtId="1" fontId="1" fillId="3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3" xfId="5" applyFont="1" applyFill="1" applyBorder="1" applyAlignment="1">
      <alignment horizontal="center"/>
    </xf>
    <xf numFmtId="0" fontId="3" fillId="0" borderId="1" xfId="5" applyFont="1" applyFill="1" applyBorder="1" applyAlignment="1"/>
    <xf numFmtId="0" fontId="3" fillId="0" borderId="1" xfId="5" applyFont="1" applyFill="1" applyBorder="1" applyAlignment="1">
      <alignment horizontal="right"/>
    </xf>
    <xf numFmtId="0" fontId="1" fillId="8" borderId="2" xfId="0" applyFont="1" applyFill="1" applyBorder="1"/>
    <xf numFmtId="165" fontId="0" fillId="10" borderId="0" xfId="0" applyNumberFormat="1" applyFill="1" applyAlignment="1">
      <alignment horizontal="center"/>
    </xf>
    <xf numFmtId="0" fontId="0" fillId="10" borderId="0" xfId="0" applyFill="1"/>
    <xf numFmtId="0" fontId="11" fillId="0" borderId="0" xfId="0" applyFont="1"/>
    <xf numFmtId="0" fontId="10" fillId="0" borderId="7" xfId="0" applyFont="1" applyBorder="1" applyAlignment="1">
      <alignment horizontal="center" vertical="center" wrapText="1"/>
    </xf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/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top"/>
    </xf>
    <xf numFmtId="0" fontId="11" fillId="0" borderId="13" xfId="0" applyFont="1" applyBorder="1"/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11" fillId="5" borderId="4" xfId="0" applyFont="1" applyFill="1" applyBorder="1"/>
    <xf numFmtId="0" fontId="11" fillId="5" borderId="4" xfId="0" applyFont="1" applyFill="1" applyBorder="1" applyAlignment="1">
      <alignment horizontal="center"/>
    </xf>
    <xf numFmtId="0" fontId="11" fillId="0" borderId="4" xfId="0" applyFont="1" applyBorder="1"/>
    <xf numFmtId="165" fontId="11" fillId="0" borderId="4" xfId="0" quotePrefix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" fontId="11" fillId="0" borderId="4" xfId="0" applyNumberFormat="1" applyFont="1" applyBorder="1"/>
    <xf numFmtId="0" fontId="11" fillId="11" borderId="4" xfId="0" applyFont="1" applyFill="1" applyBorder="1" applyAlignment="1">
      <alignment horizontal="center"/>
    </xf>
    <xf numFmtId="165" fontId="11" fillId="11" borderId="4" xfId="0" applyNumberFormat="1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7" xfId="0" applyNumberFormat="1" applyBorder="1" applyAlignment="1">
      <alignment horizontal="center"/>
    </xf>
    <xf numFmtId="165" fontId="0" fillId="10" borderId="17" xfId="0" applyNumberForma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165" fontId="0" fillId="0" borderId="22" xfId="0" applyNumberFormat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165" fontId="4" fillId="4" borderId="4" xfId="2" applyNumberFormat="1" applyBorder="1"/>
    <xf numFmtId="165" fontId="4" fillId="4" borderId="4" xfId="2" applyNumberFormat="1" applyBorder="1" applyAlignment="1">
      <alignment horizontal="center"/>
    </xf>
    <xf numFmtId="2" fontId="4" fillId="4" borderId="4" xfId="2" applyNumberFormat="1" applyBorder="1"/>
    <xf numFmtId="165" fontId="0" fillId="9" borderId="0" xfId="0" applyNumberFormat="1" applyFill="1" applyBorder="1" applyAlignment="1">
      <alignment horizontal="center"/>
    </xf>
    <xf numFmtId="0" fontId="1" fillId="0" borderId="27" xfId="0" applyFont="1" applyBorder="1"/>
    <xf numFmtId="0" fontId="0" fillId="0" borderId="27" xfId="0" applyBorder="1"/>
    <xf numFmtId="0" fontId="1" fillId="10" borderId="0" xfId="0" applyFont="1" applyFill="1"/>
    <xf numFmtId="0" fontId="0" fillId="10" borderId="0" xfId="0" applyNumberFormat="1" applyFill="1"/>
    <xf numFmtId="2" fontId="0" fillId="10" borderId="0" xfId="0" applyNumberFormat="1" applyFill="1"/>
    <xf numFmtId="0" fontId="1" fillId="10" borderId="27" xfId="0" applyFont="1" applyFill="1" applyBorder="1"/>
    <xf numFmtId="0" fontId="0" fillId="10" borderId="27" xfId="0" applyFill="1" applyBorder="1"/>
    <xf numFmtId="0" fontId="0" fillId="10" borderId="27" xfId="0" applyNumberFormat="1" applyFill="1" applyBorder="1"/>
    <xf numFmtId="2" fontId="0" fillId="10" borderId="27" xfId="0" applyNumberFormat="1" applyFill="1" applyBorder="1"/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2" borderId="3" xfId="9" applyFont="1" applyFill="1" applyBorder="1" applyAlignment="1">
      <alignment horizontal="center"/>
    </xf>
    <xf numFmtId="0" fontId="3" fillId="0" borderId="1" xfId="9" applyFont="1" applyFill="1" applyBorder="1" applyAlignment="1">
      <alignment horizontal="right" wrapText="1"/>
    </xf>
    <xf numFmtId="0" fontId="0" fillId="0" borderId="0" xfId="0" applyFill="1"/>
    <xf numFmtId="165" fontId="8" fillId="0" borderId="0" xfId="3" applyNumberFormat="1" applyFont="1" applyFill="1" applyBorder="1" applyAlignment="1">
      <alignment horizontal="center"/>
    </xf>
    <xf numFmtId="0" fontId="3" fillId="2" borderId="29" xfId="9" applyFont="1" applyFill="1" applyBorder="1" applyAlignment="1">
      <alignment horizontal="center"/>
    </xf>
    <xf numFmtId="0" fontId="3" fillId="16" borderId="0" xfId="9" applyFont="1" applyFill="1" applyBorder="1" applyAlignment="1">
      <alignment horizontal="center"/>
    </xf>
    <xf numFmtId="0" fontId="16" fillId="15" borderId="0" xfId="8"/>
    <xf numFmtId="167" fontId="3" fillId="0" borderId="0" xfId="10" applyNumberFormat="1" applyFont="1" applyFill="1" applyBorder="1" applyAlignment="1"/>
    <xf numFmtId="168" fontId="0" fillId="0" borderId="0" xfId="0" applyNumberFormat="1" applyFill="1"/>
    <xf numFmtId="0" fontId="17" fillId="14" borderId="0" xfId="7" applyBorder="1" applyAlignment="1">
      <alignment horizontal="center"/>
    </xf>
    <xf numFmtId="0" fontId="3" fillId="0" borderId="1" xfId="9" applyFont="1" applyFill="1" applyBorder="1" applyAlignment="1">
      <alignment horizontal="right"/>
    </xf>
    <xf numFmtId="166" fontId="3" fillId="0" borderId="1" xfId="9" applyNumberFormat="1" applyFont="1" applyFill="1" applyBorder="1" applyAlignment="1">
      <alignment horizontal="right"/>
    </xf>
    <xf numFmtId="0" fontId="3" fillId="0" borderId="1" xfId="9" applyFont="1" applyFill="1" applyBorder="1" applyAlignment="1"/>
    <xf numFmtId="0" fontId="0" fillId="0" borderId="0" xfId="0"/>
    <xf numFmtId="165" fontId="0" fillId="0" borderId="0" xfId="0" applyNumberFormat="1"/>
    <xf numFmtId="0" fontId="3" fillId="2" borderId="3" xfId="11" applyFont="1" applyFill="1" applyBorder="1" applyAlignment="1">
      <alignment horizontal="center"/>
    </xf>
    <xf numFmtId="0" fontId="3" fillId="0" borderId="1" xfId="11" applyFont="1" applyFill="1" applyBorder="1" applyAlignment="1">
      <alignment horizontal="right" wrapText="1"/>
    </xf>
    <xf numFmtId="0" fontId="3" fillId="0" borderId="1" xfId="11" applyFont="1" applyFill="1" applyBorder="1" applyAlignment="1">
      <alignment horizontal="right"/>
    </xf>
    <xf numFmtId="166" fontId="3" fillId="0" borderId="1" xfId="11" applyNumberFormat="1" applyFont="1" applyFill="1" applyBorder="1" applyAlignment="1">
      <alignment horizontal="right"/>
    </xf>
    <xf numFmtId="0" fontId="3" fillId="0" borderId="1" xfId="11" applyFont="1" applyFill="1" applyBorder="1" applyAlignment="1"/>
    <xf numFmtId="0" fontId="3" fillId="2" borderId="30" xfId="3" applyFont="1" applyFill="1" applyBorder="1" applyAlignment="1">
      <alignment horizontal="center"/>
    </xf>
    <xf numFmtId="168" fontId="0" fillId="0" borderId="0" xfId="0" applyNumberFormat="1"/>
    <xf numFmtId="168" fontId="3" fillId="2" borderId="30" xfId="3" applyNumberFormat="1" applyFont="1" applyFill="1" applyBorder="1" applyAlignment="1">
      <alignment horizontal="center"/>
    </xf>
    <xf numFmtId="0" fontId="3" fillId="2" borderId="3" xfId="12" applyFont="1" applyFill="1" applyBorder="1" applyAlignment="1">
      <alignment horizontal="center"/>
    </xf>
    <xf numFmtId="0" fontId="3" fillId="0" borderId="1" xfId="12" applyFont="1" applyFill="1" applyBorder="1" applyAlignment="1">
      <alignment horizontal="right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0" xfId="0" applyFont="1"/>
    <xf numFmtId="0" fontId="9" fillId="0" borderId="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0" fillId="5" borderId="0" xfId="0" applyFill="1"/>
    <xf numFmtId="0" fontId="21" fillId="0" borderId="9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3" fontId="21" fillId="0" borderId="6" xfId="0" applyNumberFormat="1" applyFont="1" applyBorder="1" applyAlignment="1">
      <alignment horizontal="center" vertical="center" wrapText="1"/>
    </xf>
    <xf numFmtId="0" fontId="22" fillId="17" borderId="6" xfId="0" applyFont="1" applyFill="1" applyBorder="1" applyAlignment="1">
      <alignment horizontal="center" vertical="center" wrapText="1"/>
    </xf>
    <xf numFmtId="0" fontId="23" fillId="0" borderId="0" xfId="0" applyFont="1"/>
    <xf numFmtId="0" fontId="23" fillId="18" borderId="35" xfId="0" applyFont="1" applyFill="1" applyBorder="1" applyAlignment="1">
      <alignment vertical="center"/>
    </xf>
    <xf numFmtId="0" fontId="23" fillId="18" borderId="36" xfId="0" applyFont="1" applyFill="1" applyBorder="1" applyAlignment="1">
      <alignment vertical="center"/>
    </xf>
    <xf numFmtId="0" fontId="23" fillId="18" borderId="37" xfId="0" applyFont="1" applyFill="1" applyBorder="1" applyAlignment="1">
      <alignment vertical="center"/>
    </xf>
    <xf numFmtId="0" fontId="23" fillId="18" borderId="0" xfId="0" applyFont="1" applyFill="1" applyAlignment="1">
      <alignment vertical="center"/>
    </xf>
    <xf numFmtId="0" fontId="23" fillId="18" borderId="39" xfId="0" applyFont="1" applyFill="1" applyBorder="1" applyAlignment="1">
      <alignment vertical="center"/>
    </xf>
    <xf numFmtId="0" fontId="23" fillId="18" borderId="27" xfId="0" applyFont="1" applyFill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9" fontId="23" fillId="0" borderId="0" xfId="0" applyNumberFormat="1" applyFont="1" applyAlignment="1">
      <alignment horizontal="center" vertical="center"/>
    </xf>
    <xf numFmtId="0" fontId="23" fillId="0" borderId="39" xfId="0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9" fontId="25" fillId="0" borderId="27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3" fillId="0" borderId="27" xfId="0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0" fontId="22" fillId="18" borderId="39" xfId="0" applyFont="1" applyFill="1" applyBorder="1" applyAlignment="1">
      <alignment vertical="center"/>
    </xf>
    <xf numFmtId="0" fontId="24" fillId="18" borderId="27" xfId="0" applyFont="1" applyFill="1" applyBorder="1" applyAlignment="1">
      <alignment horizontal="center" vertical="center"/>
    </xf>
    <xf numFmtId="9" fontId="24" fillId="18" borderId="27" xfId="0" applyNumberFormat="1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vertical="center"/>
    </xf>
    <xf numFmtId="0" fontId="23" fillId="18" borderId="6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Font="1"/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0" fillId="11" borderId="0" xfId="0" applyNumberFormat="1" applyFill="1"/>
    <xf numFmtId="165" fontId="0" fillId="5" borderId="0" xfId="0" applyNumberFormat="1" applyFill="1"/>
    <xf numFmtId="0" fontId="0" fillId="0" borderId="0" xfId="0" applyFont="1" applyBorder="1"/>
    <xf numFmtId="0" fontId="0" fillId="11" borderId="0" xfId="0" applyFill="1"/>
    <xf numFmtId="0" fontId="23" fillId="18" borderId="27" xfId="0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center" vertical="center"/>
    </xf>
    <xf numFmtId="9" fontId="22" fillId="18" borderId="27" xfId="0" applyNumberFormat="1" applyFont="1" applyFill="1" applyBorder="1" applyAlignment="1">
      <alignment horizontal="center" vertical="center"/>
    </xf>
    <xf numFmtId="0" fontId="28" fillId="5" borderId="0" xfId="13" applyFill="1"/>
    <xf numFmtId="0" fontId="28" fillId="0" borderId="0" xfId="13"/>
    <xf numFmtId="0" fontId="28" fillId="0" borderId="0" xfId="13" applyAlignment="1">
      <alignment wrapText="1"/>
    </xf>
    <xf numFmtId="169" fontId="28" fillId="0" borderId="0" xfId="13" applyNumberFormat="1"/>
    <xf numFmtId="2" fontId="28" fillId="0" borderId="0" xfId="13" applyNumberFormat="1"/>
    <xf numFmtId="0" fontId="28" fillId="12" borderId="0" xfId="13" applyFill="1"/>
    <xf numFmtId="2" fontId="28" fillId="12" borderId="0" xfId="13" applyNumberFormat="1" applyFill="1"/>
    <xf numFmtId="170" fontId="28" fillId="0" borderId="0" xfId="13" applyNumberFormat="1"/>
    <xf numFmtId="43" fontId="28" fillId="0" borderId="0" xfId="13" applyNumberFormat="1"/>
    <xf numFmtId="2" fontId="28" fillId="11" borderId="0" xfId="13" applyNumberFormat="1" applyFill="1"/>
    <xf numFmtId="165" fontId="28" fillId="0" borderId="0" xfId="13" applyNumberFormat="1"/>
    <xf numFmtId="165" fontId="28" fillId="5" borderId="0" xfId="13" applyNumberFormat="1" applyFill="1"/>
    <xf numFmtId="0" fontId="12" fillId="0" borderId="0" xfId="0" applyFont="1"/>
    <xf numFmtId="0" fontId="9" fillId="0" borderId="8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165" fontId="0" fillId="5" borderId="35" xfId="0" applyNumberFormat="1" applyFill="1" applyBorder="1"/>
    <xf numFmtId="2" fontId="0" fillId="5" borderId="36" xfId="0" applyNumberFormat="1" applyFill="1" applyBorder="1"/>
    <xf numFmtId="165" fontId="0" fillId="5" borderId="36" xfId="0" applyNumberFormat="1" applyFill="1" applyBorder="1"/>
    <xf numFmtId="0" fontId="0" fillId="5" borderId="25" xfId="0" applyFill="1" applyBorder="1"/>
    <xf numFmtId="165" fontId="0" fillId="5" borderId="37" xfId="0" applyNumberFormat="1" applyFill="1" applyBorder="1"/>
    <xf numFmtId="2" fontId="0" fillId="5" borderId="0" xfId="0" applyNumberFormat="1" applyFill="1" applyBorder="1"/>
    <xf numFmtId="165" fontId="0" fillId="5" borderId="0" xfId="0" applyNumberFormat="1" applyFill="1" applyBorder="1"/>
    <xf numFmtId="0" fontId="0" fillId="5" borderId="7" xfId="0" applyFill="1" applyBorder="1"/>
    <xf numFmtId="165" fontId="0" fillId="5" borderId="39" xfId="0" applyNumberFormat="1" applyFill="1" applyBorder="1"/>
    <xf numFmtId="2" fontId="0" fillId="5" borderId="27" xfId="0" applyNumberFormat="1" applyFill="1" applyBorder="1"/>
    <xf numFmtId="165" fontId="0" fillId="5" borderId="27" xfId="0" applyNumberFormat="1" applyFill="1" applyBorder="1"/>
    <xf numFmtId="0" fontId="0" fillId="5" borderId="6" xfId="0" applyFill="1" applyBorder="1"/>
    <xf numFmtId="165" fontId="0" fillId="5" borderId="40" xfId="0" applyNumberFormat="1" applyFill="1" applyBorder="1"/>
    <xf numFmtId="2" fontId="0" fillId="5" borderId="22" xfId="0" applyNumberFormat="1" applyFill="1" applyBorder="1"/>
    <xf numFmtId="165" fontId="0" fillId="5" borderId="22" xfId="0" applyNumberFormat="1" applyFill="1" applyBorder="1"/>
    <xf numFmtId="0" fontId="0" fillId="5" borderId="41" xfId="0" applyFill="1" applyBorder="1"/>
    <xf numFmtId="0" fontId="9" fillId="0" borderId="8" xfId="0" applyFont="1" applyFill="1" applyBorder="1" applyAlignment="1">
      <alignment horizontal="center" vertical="center" wrapText="1"/>
    </xf>
    <xf numFmtId="0" fontId="11" fillId="0" borderId="11" xfId="0" applyFont="1" applyFill="1" applyBorder="1"/>
    <xf numFmtId="0" fontId="11" fillId="0" borderId="12" xfId="0" applyFont="1" applyBorder="1"/>
    <xf numFmtId="0" fontId="11" fillId="10" borderId="11" xfId="0" applyFont="1" applyFill="1" applyBorder="1"/>
    <xf numFmtId="0" fontId="11" fillId="10" borderId="12" xfId="0" applyFont="1" applyFill="1" applyBorder="1"/>
    <xf numFmtId="0" fontId="11" fillId="10" borderId="13" xfId="0" applyFont="1" applyFill="1" applyBorder="1"/>
    <xf numFmtId="0" fontId="11" fillId="0" borderId="11" xfId="0" quotePrefix="1" applyFont="1" applyFill="1" applyBorder="1"/>
    <xf numFmtId="0" fontId="9" fillId="0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0" fillId="7" borderId="45" xfId="0" applyFill="1" applyBorder="1"/>
    <xf numFmtId="0" fontId="0" fillId="0" borderId="37" xfId="0" applyBorder="1"/>
    <xf numFmtId="0" fontId="0" fillId="0" borderId="20" xfId="0" applyBorder="1"/>
    <xf numFmtId="0" fontId="0" fillId="0" borderId="0" xfId="0" applyBorder="1"/>
    <xf numFmtId="2" fontId="1" fillId="0" borderId="20" xfId="0" applyNumberFormat="1" applyFont="1" applyBorder="1"/>
    <xf numFmtId="2" fontId="1" fillId="0" borderId="7" xfId="0" applyNumberFormat="1" applyFont="1" applyBorder="1"/>
    <xf numFmtId="2" fontId="1" fillId="0" borderId="20" xfId="0" applyNumberFormat="1" applyFont="1" applyFill="1" applyBorder="1"/>
    <xf numFmtId="0" fontId="0" fillId="0" borderId="40" xfId="0" applyBorder="1"/>
    <xf numFmtId="0" fontId="0" fillId="0" borderId="23" xfId="0" applyBorder="1"/>
    <xf numFmtId="0" fontId="0" fillId="0" borderId="22" xfId="0" applyBorder="1"/>
    <xf numFmtId="2" fontId="1" fillId="0" borderId="23" xfId="0" applyNumberFormat="1" applyFont="1" applyBorder="1"/>
    <xf numFmtId="0" fontId="1" fillId="0" borderId="41" xfId="0" applyFont="1" applyBorder="1"/>
    <xf numFmtId="0" fontId="1" fillId="0" borderId="7" xfId="0" applyFont="1" applyBorder="1"/>
    <xf numFmtId="0" fontId="1" fillId="0" borderId="20" xfId="0" applyFont="1" applyBorder="1"/>
    <xf numFmtId="0" fontId="1" fillId="0" borderId="23" xfId="0" applyFont="1" applyBorder="1"/>
    <xf numFmtId="0" fontId="0" fillId="0" borderId="39" xfId="0" applyBorder="1"/>
    <xf numFmtId="0" fontId="0" fillId="0" borderId="26" xfId="0" applyBorder="1"/>
    <xf numFmtId="2" fontId="1" fillId="0" borderId="26" xfId="0" applyNumberFormat="1" applyFont="1" applyBorder="1"/>
    <xf numFmtId="2" fontId="1" fillId="0" borderId="6" xfId="0" applyNumberFormat="1" applyFont="1" applyBorder="1"/>
    <xf numFmtId="0" fontId="1" fillId="0" borderId="46" xfId="0" applyFont="1" applyBorder="1"/>
    <xf numFmtId="165" fontId="1" fillId="0" borderId="0" xfId="0" applyNumberFormat="1" applyFont="1"/>
    <xf numFmtId="0" fontId="31" fillId="20" borderId="0" xfId="14" applyFont="1" applyFill="1" applyAlignment="1">
      <alignment wrapText="1"/>
    </xf>
    <xf numFmtId="0" fontId="29" fillId="0" borderId="0" xfId="14"/>
    <xf numFmtId="0" fontId="2" fillId="20" borderId="21" xfId="14" applyFont="1" applyFill="1" applyBorder="1" applyAlignment="1">
      <alignment horizontal="center" wrapText="1"/>
    </xf>
    <xf numFmtId="0" fontId="2" fillId="20" borderId="22" xfId="14" applyFont="1" applyFill="1" applyBorder="1" applyAlignment="1">
      <alignment horizontal="center" wrapText="1"/>
    </xf>
    <xf numFmtId="43" fontId="2" fillId="20" borderId="21" xfId="15" applyFont="1" applyFill="1" applyBorder="1" applyAlignment="1">
      <alignment wrapText="1"/>
    </xf>
    <xf numFmtId="0" fontId="2" fillId="20" borderId="23" xfId="14" applyFont="1" applyFill="1" applyBorder="1" applyAlignment="1">
      <alignment horizontal="center" wrapText="1"/>
    </xf>
    <xf numFmtId="0" fontId="29" fillId="0" borderId="16" xfId="14" applyBorder="1" applyAlignment="1">
      <alignment horizontal="center"/>
    </xf>
    <xf numFmtId="3" fontId="29" fillId="0" borderId="17" xfId="14" applyNumberFormat="1" applyBorder="1"/>
    <xf numFmtId="2" fontId="29" fillId="0" borderId="19" xfId="14" applyNumberFormat="1" applyBorder="1" applyAlignment="1">
      <alignment horizontal="right" indent="1"/>
    </xf>
    <xf numFmtId="2" fontId="29" fillId="0" borderId="20" xfId="14" applyNumberFormat="1" applyBorder="1" applyAlignment="1">
      <alignment horizontal="right" indent="1"/>
    </xf>
    <xf numFmtId="0" fontId="29" fillId="0" borderId="19" xfId="14" applyBorder="1" applyAlignment="1">
      <alignment horizontal="center"/>
    </xf>
    <xf numFmtId="0" fontId="29" fillId="0" borderId="0" xfId="14" applyBorder="1" applyAlignment="1">
      <alignment horizontal="center"/>
    </xf>
    <xf numFmtId="3" fontId="29" fillId="0" borderId="0" xfId="14" applyNumberFormat="1" applyBorder="1"/>
    <xf numFmtId="168" fontId="29" fillId="0" borderId="19" xfId="14" applyNumberFormat="1" applyBorder="1" applyAlignment="1">
      <alignment horizontal="right" indent="1"/>
    </xf>
    <xf numFmtId="168" fontId="29" fillId="0" borderId="20" xfId="14" applyNumberFormat="1" applyBorder="1" applyAlignment="1">
      <alignment horizontal="right" indent="1"/>
    </xf>
    <xf numFmtId="3" fontId="29" fillId="0" borderId="0" xfId="14" applyNumberFormat="1" applyFont="1" applyBorder="1" applyAlignment="1">
      <alignment horizontal="right"/>
    </xf>
    <xf numFmtId="0" fontId="32" fillId="0" borderId="11" xfId="14" applyFont="1" applyBorder="1" applyAlignment="1">
      <alignment horizontal="center"/>
    </xf>
    <xf numFmtId="0" fontId="32" fillId="0" borderId="12" xfId="14" applyFont="1" applyBorder="1" applyAlignment="1">
      <alignment horizontal="center"/>
    </xf>
    <xf numFmtId="3" fontId="32" fillId="0" borderId="12" xfId="14" applyNumberFormat="1" applyFont="1" applyBorder="1"/>
    <xf numFmtId="168" fontId="32" fillId="0" borderId="11" xfId="14" applyNumberFormat="1" applyFont="1" applyBorder="1" applyAlignment="1">
      <alignment horizontal="right" indent="1"/>
    </xf>
    <xf numFmtId="168" fontId="32" fillId="0" borderId="13" xfId="14" applyNumberFormat="1" applyFont="1" applyBorder="1" applyAlignment="1">
      <alignment horizontal="right" indent="1"/>
    </xf>
    <xf numFmtId="0" fontId="29" fillId="0" borderId="0" xfId="14" applyAlignment="1">
      <alignment horizontal="center"/>
    </xf>
    <xf numFmtId="0" fontId="2" fillId="20" borderId="0" xfId="14" applyFont="1" applyFill="1" applyAlignment="1">
      <alignment horizontal="center" wrapText="1"/>
    </xf>
    <xf numFmtId="3" fontId="2" fillId="20" borderId="0" xfId="14" applyNumberFormat="1" applyFont="1" applyFill="1" applyAlignment="1">
      <alignment horizontal="right" wrapText="1"/>
    </xf>
    <xf numFmtId="43" fontId="2" fillId="20" borderId="0" xfId="15" applyFont="1" applyFill="1" applyAlignment="1">
      <alignment wrapText="1"/>
    </xf>
    <xf numFmtId="43" fontId="0" fillId="0" borderId="0" xfId="15" applyFont="1" applyAlignment="1"/>
    <xf numFmtId="165" fontId="32" fillId="0" borderId="0" xfId="14" applyNumberFormat="1" applyFont="1"/>
    <xf numFmtId="0" fontId="30" fillId="0" borderId="0" xfId="14" applyFont="1" applyFill="1" applyBorder="1" applyAlignment="1">
      <alignment vertical="center" textRotation="90"/>
    </xf>
    <xf numFmtId="165" fontId="9" fillId="21" borderId="7" xfId="0" applyNumberFormat="1" applyFont="1" applyFill="1" applyBorder="1" applyAlignment="1">
      <alignment horizontal="center" vertical="center" wrapText="1"/>
    </xf>
    <xf numFmtId="165" fontId="1" fillId="5" borderId="0" xfId="0" applyNumberFormat="1" applyFont="1" applyFill="1"/>
    <xf numFmtId="0" fontId="30" fillId="0" borderId="22" xfId="14" applyFont="1" applyFill="1" applyBorder="1" applyAlignment="1">
      <alignment vertical="center" textRotation="90"/>
    </xf>
    <xf numFmtId="0" fontId="2" fillId="20" borderId="11" xfId="14" applyFont="1" applyFill="1" applyBorder="1" applyAlignment="1">
      <alignment horizontal="center" wrapText="1"/>
    </xf>
    <xf numFmtId="0" fontId="2" fillId="20" borderId="12" xfId="14" applyFont="1" applyFill="1" applyBorder="1" applyAlignment="1">
      <alignment horizontal="center" wrapText="1"/>
    </xf>
    <xf numFmtId="43" fontId="2" fillId="20" borderId="11" xfId="15" applyFont="1" applyFill="1" applyBorder="1" applyAlignment="1">
      <alignment wrapText="1"/>
    </xf>
    <xf numFmtId="0" fontId="2" fillId="20" borderId="13" xfId="14" applyFont="1" applyFill="1" applyBorder="1" applyAlignment="1">
      <alignment horizontal="center" wrapText="1"/>
    </xf>
    <xf numFmtId="0" fontId="29" fillId="0" borderId="17" xfId="14" applyBorder="1"/>
    <xf numFmtId="0" fontId="29" fillId="0" borderId="0" xfId="14" applyBorder="1"/>
    <xf numFmtId="0" fontId="29" fillId="0" borderId="21" xfId="14" applyBorder="1" applyAlignment="1">
      <alignment horizontal="center"/>
    </xf>
    <xf numFmtId="0" fontId="29" fillId="0" borderId="22" xfId="14" applyBorder="1"/>
    <xf numFmtId="3" fontId="29" fillId="0" borderId="22" xfId="14" applyNumberFormat="1" applyBorder="1"/>
    <xf numFmtId="9" fontId="23" fillId="0" borderId="0" xfId="0" applyNumberFormat="1" applyFont="1" applyAlignment="1">
      <alignment horizontal="center" vertical="center"/>
    </xf>
    <xf numFmtId="9" fontId="23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/>
    <xf numFmtId="168" fontId="0" fillId="5" borderId="0" xfId="0" applyNumberFormat="1" applyFill="1"/>
    <xf numFmtId="0" fontId="0" fillId="0" borderId="0" xfId="0"/>
    <xf numFmtId="0" fontId="1" fillId="3" borderId="22" xfId="0" applyFont="1" applyFill="1" applyBorder="1"/>
    <xf numFmtId="164" fontId="0" fillId="0" borderId="0" xfId="0" applyNumberForma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5" borderId="0" xfId="0" applyNumberFormat="1" applyFill="1" applyBorder="1"/>
    <xf numFmtId="0" fontId="0" fillId="22" borderId="0" xfId="0" applyFill="1" applyBorder="1"/>
    <xf numFmtId="0" fontId="0" fillId="21" borderId="0" xfId="0" applyFill="1" applyBorder="1"/>
    <xf numFmtId="164" fontId="0" fillId="22" borderId="0" xfId="0" applyNumberFormat="1" applyFill="1" applyBorder="1"/>
    <xf numFmtId="168" fontId="0" fillId="22" borderId="0" xfId="0" applyNumberFormat="1" applyFill="1" applyBorder="1"/>
    <xf numFmtId="0" fontId="1" fillId="0" borderId="47" xfId="0" applyFont="1" applyFill="1" applyBorder="1"/>
    <xf numFmtId="0" fontId="0" fillId="21" borderId="47" xfId="0" applyFill="1" applyBorder="1"/>
    <xf numFmtId="0" fontId="0" fillId="0" borderId="47" xfId="0" applyFill="1" applyBorder="1"/>
    <xf numFmtId="1" fontId="0" fillId="0" borderId="0" xfId="0" applyNumberFormat="1" applyFill="1" applyBorder="1"/>
    <xf numFmtId="164" fontId="0" fillId="21" borderId="47" xfId="0" applyNumberFormat="1" applyFill="1" applyBorder="1"/>
    <xf numFmtId="0" fontId="0" fillId="0" borderId="47" xfId="0" applyBorder="1"/>
    <xf numFmtId="0" fontId="1" fillId="21" borderId="0" xfId="0" applyFont="1" applyFill="1" applyBorder="1"/>
    <xf numFmtId="0" fontId="1" fillId="21" borderId="47" xfId="0" applyFont="1" applyFill="1" applyBorder="1"/>
    <xf numFmtId="168" fontId="0" fillId="21" borderId="47" xfId="0" applyNumberFormat="1" applyFill="1" applyBorder="1"/>
    <xf numFmtId="168" fontId="0" fillId="21" borderId="0" xfId="0" applyNumberFormat="1" applyFill="1" applyBorder="1"/>
    <xf numFmtId="168" fontId="0" fillId="21" borderId="0" xfId="0" applyNumberFormat="1" applyFill="1"/>
    <xf numFmtId="0" fontId="0" fillId="0" borderId="0" xfId="0" applyNumberFormat="1" applyBorder="1"/>
    <xf numFmtId="2" fontId="0" fillId="0" borderId="0" xfId="0" applyNumberFormat="1" applyBorder="1"/>
    <xf numFmtId="0" fontId="1" fillId="21" borderId="27" xfId="0" applyFont="1" applyFill="1" applyBorder="1"/>
    <xf numFmtId="0" fontId="0" fillId="21" borderId="27" xfId="0" applyFill="1" applyBorder="1"/>
    <xf numFmtId="0" fontId="0" fillId="21" borderId="27" xfId="0" applyNumberFormat="1" applyFill="1" applyBorder="1"/>
    <xf numFmtId="2" fontId="0" fillId="21" borderId="27" xfId="0" applyNumberFormat="1" applyFill="1" applyBorder="1"/>
    <xf numFmtId="0" fontId="1" fillId="10" borderId="0" xfId="0" applyFont="1" applyFill="1" applyBorder="1"/>
    <xf numFmtId="0" fontId="0" fillId="10" borderId="0" xfId="0" applyFill="1" applyBorder="1"/>
    <xf numFmtId="0" fontId="0" fillId="10" borderId="0" xfId="0" applyNumberFormat="1" applyFill="1" applyBorder="1"/>
    <xf numFmtId="2" fontId="0" fillId="10" borderId="0" xfId="0" applyNumberFormat="1" applyFill="1" applyBorder="1"/>
    <xf numFmtId="0" fontId="1" fillId="0" borderId="27" xfId="0" applyFont="1" applyBorder="1" applyAlignment="1">
      <alignment horizontal="left"/>
    </xf>
    <xf numFmtId="17" fontId="0" fillId="0" borderId="0" xfId="0" applyNumberFormat="1" applyAlignment="1">
      <alignment horizontal="left"/>
    </xf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21" borderId="0" xfId="0" applyNumberFormat="1" applyFill="1" applyBorder="1"/>
    <xf numFmtId="2" fontId="0" fillId="21" borderId="0" xfId="0" applyNumberFormat="1" applyFill="1" applyBorder="1"/>
    <xf numFmtId="0" fontId="1" fillId="21" borderId="0" xfId="0" applyFont="1" applyFill="1"/>
    <xf numFmtId="168" fontId="0" fillId="5" borderId="47" xfId="0" applyNumberFormat="1" applyFill="1" applyBorder="1"/>
    <xf numFmtId="1" fontId="4" fillId="4" borderId="4" xfId="2" applyNumberFormat="1" applyBorder="1" applyAlignment="1">
      <alignment horizontal="center"/>
    </xf>
    <xf numFmtId="168" fontId="4" fillId="4" borderId="4" xfId="2" applyNumberFormat="1" applyBorder="1" applyAlignment="1">
      <alignment horizontal="center"/>
    </xf>
    <xf numFmtId="1" fontId="4" fillId="10" borderId="4" xfId="2" applyNumberFormat="1" applyFill="1" applyBorder="1" applyAlignment="1">
      <alignment horizontal="center"/>
    </xf>
    <xf numFmtId="2" fontId="4" fillId="10" borderId="4" xfId="2" applyNumberFormat="1" applyFill="1" applyBorder="1" applyAlignment="1">
      <alignment horizontal="center"/>
    </xf>
    <xf numFmtId="168" fontId="4" fillId="10" borderId="4" xfId="2" applyNumberFormat="1" applyFill="1" applyBorder="1" applyAlignment="1">
      <alignment horizontal="center"/>
    </xf>
    <xf numFmtId="164" fontId="4" fillId="10" borderId="4" xfId="2" applyNumberFormat="1" applyFill="1" applyBorder="1" applyAlignment="1">
      <alignment horizontal="center"/>
    </xf>
    <xf numFmtId="168" fontId="0" fillId="0" borderId="0" xfId="0" applyNumberFormat="1" applyFill="1" applyBorder="1"/>
    <xf numFmtId="0" fontId="1" fillId="0" borderId="48" xfId="0" applyFont="1" applyFill="1" applyBorder="1"/>
    <xf numFmtId="0" fontId="0" fillId="0" borderId="48" xfId="0" applyBorder="1"/>
    <xf numFmtId="0" fontId="0" fillId="0" borderId="48" xfId="0" applyFill="1" applyBorder="1"/>
    <xf numFmtId="168" fontId="0" fillId="0" borderId="48" xfId="0" applyNumberFormat="1" applyBorder="1"/>
    <xf numFmtId="0" fontId="17" fillId="14" borderId="0" xfId="7"/>
    <xf numFmtId="168" fontId="17" fillId="14" borderId="0" xfId="7" applyNumberFormat="1" applyBorder="1"/>
    <xf numFmtId="0" fontId="17" fillId="14" borderId="0" xfId="7" applyBorder="1"/>
    <xf numFmtId="2" fontId="1" fillId="21" borderId="49" xfId="0" applyNumberFormat="1" applyFont="1" applyFill="1" applyBorder="1"/>
    <xf numFmtId="2" fontId="1" fillId="21" borderId="50" xfId="0" applyNumberFormat="1" applyFont="1" applyFill="1" applyBorder="1"/>
    <xf numFmtId="165" fontId="1" fillId="21" borderId="50" xfId="0" applyNumberFormat="1" applyFont="1" applyFill="1" applyBorder="1"/>
    <xf numFmtId="0" fontId="1" fillId="21" borderId="51" xfId="0" applyFont="1" applyFill="1" applyBorder="1"/>
    <xf numFmtId="1" fontId="0" fillId="21" borderId="39" xfId="0" applyNumberFormat="1" applyFill="1" applyBorder="1"/>
    <xf numFmtId="1" fontId="0" fillId="21" borderId="27" xfId="0" applyNumberFormat="1" applyFill="1" applyBorder="1"/>
    <xf numFmtId="0" fontId="0" fillId="21" borderId="6" xfId="0" applyFill="1" applyBorder="1"/>
    <xf numFmtId="165" fontId="9" fillId="21" borderId="34" xfId="0" applyNumberFormat="1" applyFont="1" applyFill="1" applyBorder="1" applyAlignment="1">
      <alignment horizontal="center" vertical="center" wrapText="1"/>
    </xf>
    <xf numFmtId="165" fontId="9" fillId="21" borderId="5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165" fontId="9" fillId="7" borderId="5" xfId="0" applyNumberFormat="1" applyFont="1" applyFill="1" applyBorder="1" applyAlignment="1">
      <alignment horizontal="center" vertical="center" wrapText="1"/>
    </xf>
    <xf numFmtId="165" fontId="9" fillId="7" borderId="34" xfId="0" applyNumberFormat="1" applyFont="1" applyFill="1" applyBorder="1" applyAlignment="1">
      <alignment horizontal="center" vertical="center" wrapText="1"/>
    </xf>
    <xf numFmtId="165" fontId="9" fillId="7" borderId="7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9" fillId="0" borderId="31" xfId="0" applyFont="1" applyBorder="1" applyAlignment="1">
      <alignment horizontal="center" vertical="center" wrapText="1"/>
    </xf>
    <xf numFmtId="0" fontId="11" fillId="21" borderId="11" xfId="0" applyFont="1" applyFill="1" applyBorder="1"/>
    <xf numFmtId="0" fontId="11" fillId="21" borderId="12" xfId="0" applyFont="1" applyFill="1" applyBorder="1"/>
    <xf numFmtId="0" fontId="11" fillId="21" borderId="13" xfId="0" applyFont="1" applyFill="1" applyBorder="1"/>
    <xf numFmtId="0" fontId="0" fillId="0" borderId="0" xfId="0" quotePrefix="1"/>
    <xf numFmtId="0" fontId="0" fillId="0" borderId="0" xfId="0" applyFont="1" applyAlignment="1">
      <alignment horizontal="center"/>
    </xf>
    <xf numFmtId="0" fontId="1" fillId="0" borderId="50" xfId="0" applyFont="1" applyBorder="1"/>
    <xf numFmtId="0" fontId="0" fillId="0" borderId="27" xfId="0" quotePrefix="1" applyBorder="1"/>
    <xf numFmtId="0" fontId="0" fillId="0" borderId="27" xfId="0" applyBorder="1" applyAlignment="1">
      <alignment horizontal="center"/>
    </xf>
    <xf numFmtId="168" fontId="0" fillId="0" borderId="27" xfId="0" applyNumberFormat="1" applyBorder="1"/>
    <xf numFmtId="2" fontId="9" fillId="21" borderId="34" xfId="0" applyNumberFormat="1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169" fontId="33" fillId="0" borderId="0" xfId="13" applyNumberFormat="1" applyFont="1"/>
    <xf numFmtId="0" fontId="28" fillId="0" borderId="0" xfId="13" applyFill="1"/>
    <xf numFmtId="0" fontId="0" fillId="0" borderId="0" xfId="0" applyAlignment="1">
      <alignment horizontal="center"/>
    </xf>
    <xf numFmtId="0" fontId="23" fillId="18" borderId="0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21" borderId="0" xfId="0" applyNumberFormat="1" applyFill="1"/>
    <xf numFmtId="3" fontId="0" fillId="21" borderId="27" xfId="0" applyNumberFormat="1" applyFill="1" applyBorder="1"/>
    <xf numFmtId="165" fontId="0" fillId="22" borderId="0" xfId="0" applyNumberFormat="1" applyFill="1"/>
    <xf numFmtId="165" fontId="0" fillId="22" borderId="27" xfId="0" applyNumberFormat="1" applyFill="1" applyBorder="1"/>
    <xf numFmtId="3" fontId="0" fillId="0" borderId="0" xfId="0" applyNumberFormat="1" applyFill="1"/>
    <xf numFmtId="3" fontId="0" fillId="0" borderId="27" xfId="0" applyNumberFormat="1" applyFill="1" applyBorder="1"/>
    <xf numFmtId="0" fontId="9" fillId="0" borderId="34" xfId="0" applyFont="1" applyFill="1" applyBorder="1" applyAlignment="1">
      <alignment vertical="center" wrapText="1"/>
    </xf>
    <xf numFmtId="0" fontId="3" fillId="23" borderId="1" xfId="5" applyFont="1" applyFill="1" applyBorder="1" applyAlignment="1"/>
    <xf numFmtId="0" fontId="3" fillId="23" borderId="1" xfId="5" applyFont="1" applyFill="1" applyBorder="1" applyAlignment="1">
      <alignment horizontal="right"/>
    </xf>
    <xf numFmtId="0" fontId="20" fillId="0" borderId="5" xfId="0" applyFont="1" applyFill="1" applyBorder="1" applyAlignment="1">
      <alignment vertical="center" wrapText="1"/>
    </xf>
    <xf numFmtId="0" fontId="23" fillId="18" borderId="0" xfId="0" applyFont="1" applyFill="1" applyBorder="1" applyAlignment="1">
      <alignment vertical="center"/>
    </xf>
    <xf numFmtId="0" fontId="25" fillId="18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68" fontId="0" fillId="0" borderId="0" xfId="0" applyNumberFormat="1" applyFont="1" applyBorder="1"/>
    <xf numFmtId="165" fontId="9" fillId="5" borderId="34" xfId="0" applyNumberFormat="1" applyFont="1" applyFill="1" applyBorder="1" applyAlignment="1">
      <alignment horizontal="center" vertical="center" wrapText="1"/>
    </xf>
    <xf numFmtId="0" fontId="3" fillId="2" borderId="3" xfId="16" applyFont="1" applyFill="1" applyBorder="1" applyAlignment="1">
      <alignment horizontal="center"/>
    </xf>
    <xf numFmtId="0" fontId="34" fillId="24" borderId="3" xfId="16" applyFont="1" applyFill="1" applyBorder="1" applyAlignment="1">
      <alignment horizontal="center"/>
    </xf>
    <xf numFmtId="0" fontId="3" fillId="0" borderId="1" xfId="16" applyFont="1" applyFill="1" applyBorder="1" applyAlignment="1">
      <alignment horizontal="right" wrapText="1"/>
    </xf>
    <xf numFmtId="171" fontId="3" fillId="21" borderId="1" xfId="16" applyNumberFormat="1" applyFont="1" applyFill="1" applyBorder="1" applyAlignment="1">
      <alignment horizontal="right" wrapText="1"/>
    </xf>
    <xf numFmtId="166" fontId="3" fillId="0" borderId="1" xfId="16" applyNumberFormat="1" applyFont="1" applyFill="1" applyBorder="1" applyAlignment="1">
      <alignment horizontal="right" wrapText="1"/>
    </xf>
    <xf numFmtId="0" fontId="3" fillId="0" borderId="1" xfId="16" applyFont="1" applyFill="1" applyBorder="1" applyAlignment="1">
      <alignment wrapText="1"/>
    </xf>
    <xf numFmtId="165" fontId="9" fillId="5" borderId="6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165" fontId="0" fillId="0" borderId="0" xfId="0" applyNumberFormat="1" applyBorder="1"/>
    <xf numFmtId="165" fontId="0" fillId="21" borderId="26" xfId="0" applyNumberFormat="1" applyFill="1" applyBorder="1"/>
    <xf numFmtId="165" fontId="0" fillId="10" borderId="0" xfId="0" applyNumberFormat="1" applyFill="1"/>
    <xf numFmtId="165" fontId="0" fillId="10" borderId="26" xfId="0" applyNumberFormat="1" applyFill="1" applyBorder="1"/>
    <xf numFmtId="165" fontId="0" fillId="21" borderId="0" xfId="0" applyNumberFormat="1" applyFill="1" applyBorder="1"/>
    <xf numFmtId="165" fontId="0" fillId="10" borderId="0" xfId="0" applyNumberFormat="1" applyFill="1" applyBorder="1"/>
    <xf numFmtId="165" fontId="0" fillId="10" borderId="27" xfId="0" applyNumberFormat="1" applyFill="1" applyBorder="1"/>
    <xf numFmtId="165" fontId="0" fillId="0" borderId="27" xfId="0" applyNumberFormat="1" applyBorder="1"/>
    <xf numFmtId="0" fontId="0" fillId="0" borderId="0" xfId="0" applyNumberFormat="1" applyFill="1"/>
    <xf numFmtId="0" fontId="0" fillId="0" borderId="27" xfId="0" applyNumberFormat="1" applyFill="1" applyBorder="1"/>
    <xf numFmtId="0" fontId="0" fillId="0" borderId="27" xfId="0" applyFill="1" applyBorder="1"/>
    <xf numFmtId="169" fontId="35" fillId="0" borderId="0" xfId="13" applyNumberFormat="1" applyFont="1"/>
    <xf numFmtId="169" fontId="33" fillId="0" borderId="0" xfId="13" applyNumberFormat="1" applyFont="1" applyFill="1"/>
    <xf numFmtId="1" fontId="0" fillId="0" borderId="0" xfId="0" applyNumberFormat="1" applyBorder="1"/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0" fillId="19" borderId="10" xfId="14" applyFont="1" applyFill="1" applyBorder="1" applyAlignment="1">
      <alignment horizontal="center" vertical="center" textRotation="90"/>
    </xf>
    <xf numFmtId="0" fontId="30" fillId="19" borderId="14" xfId="14" applyFont="1" applyFill="1" applyBorder="1" applyAlignment="1">
      <alignment horizontal="center" vertical="center" textRotation="90"/>
    </xf>
    <xf numFmtId="0" fontId="30" fillId="19" borderId="15" xfId="14" applyFont="1" applyFill="1" applyBorder="1" applyAlignment="1">
      <alignment horizontal="center" vertical="center" textRotation="90"/>
    </xf>
    <xf numFmtId="0" fontId="31" fillId="20" borderId="16" xfId="14" applyFont="1" applyFill="1" applyBorder="1" applyAlignment="1">
      <alignment horizontal="center" wrapText="1"/>
    </xf>
    <xf numFmtId="0" fontId="31" fillId="20" borderId="17" xfId="14" applyFont="1" applyFill="1" applyBorder="1" applyAlignment="1">
      <alignment horizontal="center" wrapText="1"/>
    </xf>
    <xf numFmtId="0" fontId="31" fillId="20" borderId="18" xfId="14" applyFont="1" applyFill="1" applyBorder="1" applyAlignment="1">
      <alignment horizontal="center" wrapText="1"/>
    </xf>
    <xf numFmtId="0" fontId="31" fillId="20" borderId="21" xfId="14" applyFont="1" applyFill="1" applyBorder="1" applyAlignment="1">
      <alignment horizontal="center" wrapText="1"/>
    </xf>
    <xf numFmtId="0" fontId="31" fillId="20" borderId="22" xfId="14" applyFont="1" applyFill="1" applyBorder="1" applyAlignment="1">
      <alignment horizontal="center" wrapText="1"/>
    </xf>
    <xf numFmtId="0" fontId="31" fillId="20" borderId="23" xfId="14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23" fillId="0" borderId="0" xfId="0" applyNumberFormat="1" applyFont="1" applyAlignment="1">
      <alignment horizontal="center" vertical="center"/>
    </xf>
    <xf numFmtId="9" fontId="23" fillId="0" borderId="7" xfId="0" applyNumberFormat="1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9" fontId="23" fillId="0" borderId="6" xfId="0" applyNumberFormat="1" applyFont="1" applyBorder="1" applyAlignment="1">
      <alignment horizontal="center" vertical="center"/>
    </xf>
    <xf numFmtId="0" fontId="22" fillId="18" borderId="32" xfId="0" applyFont="1" applyFill="1" applyBorder="1" applyAlignment="1">
      <alignment horizontal="center" vertical="center"/>
    </xf>
    <xf numFmtId="0" fontId="23" fillId="18" borderId="36" xfId="0" applyFont="1" applyFill="1" applyBorder="1" applyAlignment="1">
      <alignment horizontal="center" vertical="center" wrapText="1"/>
    </xf>
    <xf numFmtId="0" fontId="23" fillId="18" borderId="25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3" fillId="18" borderId="27" xfId="0" applyFont="1" applyFill="1" applyBorder="1" applyAlignment="1">
      <alignment horizontal="center" vertical="center" wrapText="1"/>
    </xf>
    <xf numFmtId="0" fontId="23" fillId="18" borderId="6" xfId="0" applyFont="1" applyFill="1" applyBorder="1" applyAlignment="1">
      <alignment horizontal="center" vertical="center" wrapText="1"/>
    </xf>
    <xf numFmtId="0" fontId="23" fillId="18" borderId="38" xfId="0" applyFont="1" applyFill="1" applyBorder="1" applyAlignment="1">
      <alignment horizontal="center" vertical="center" wrapText="1"/>
    </xf>
    <xf numFmtId="9" fontId="23" fillId="0" borderId="36" xfId="0" applyNumberFormat="1" applyFont="1" applyBorder="1" applyAlignment="1">
      <alignment horizontal="center" vertical="center"/>
    </xf>
    <xf numFmtId="9" fontId="23" fillId="0" borderId="25" xfId="0" applyNumberFormat="1" applyFont="1" applyBorder="1" applyAlignment="1">
      <alignment horizontal="center" vertical="center"/>
    </xf>
    <xf numFmtId="0" fontId="22" fillId="18" borderId="36" xfId="0" applyFont="1" applyFill="1" applyBorder="1" applyAlignment="1">
      <alignment horizontal="center" vertical="center" wrapText="1"/>
    </xf>
    <xf numFmtId="0" fontId="22" fillId="18" borderId="25" xfId="0" applyFont="1" applyFill="1" applyBorder="1" applyAlignment="1">
      <alignment horizontal="center" vertical="center" wrapText="1"/>
    </xf>
    <xf numFmtId="0" fontId="22" fillId="18" borderId="0" xfId="0" applyFont="1" applyFill="1" applyBorder="1" applyAlignment="1">
      <alignment horizontal="center" vertical="center" wrapText="1"/>
    </xf>
    <xf numFmtId="0" fontId="22" fillId="18" borderId="7" xfId="0" applyFont="1" applyFill="1" applyBorder="1" applyAlignment="1">
      <alignment horizontal="center" vertical="center" wrapText="1"/>
    </xf>
    <xf numFmtId="0" fontId="22" fillId="18" borderId="27" xfId="0" applyFont="1" applyFill="1" applyBorder="1" applyAlignment="1">
      <alignment horizontal="center" vertical="center" wrapText="1"/>
    </xf>
    <xf numFmtId="0" fontId="22" fillId="18" borderId="6" xfId="0" applyFont="1" applyFill="1" applyBorder="1" applyAlignment="1">
      <alignment horizontal="center" vertical="center" wrapText="1"/>
    </xf>
    <xf numFmtId="0" fontId="24" fillId="18" borderId="36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2" fillId="18" borderId="38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/>
    </xf>
    <xf numFmtId="0" fontId="22" fillId="17" borderId="31" xfId="0" applyFont="1" applyFill="1" applyBorder="1" applyAlignment="1">
      <alignment horizontal="center" vertical="center" wrapText="1"/>
    </xf>
    <xf numFmtId="0" fontId="22" fillId="17" borderId="32" xfId="0" applyFont="1" applyFill="1" applyBorder="1" applyAlignment="1">
      <alignment horizontal="center" vertical="center" wrapText="1"/>
    </xf>
    <xf numFmtId="0" fontId="22" fillId="17" borderId="34" xfId="0" applyFont="1" applyFill="1" applyBorder="1" applyAlignment="1">
      <alignment horizontal="center" vertical="center" wrapText="1"/>
    </xf>
    <xf numFmtId="0" fontId="22" fillId="17" borderId="8" xfId="0" applyFont="1" applyFill="1" applyBorder="1" applyAlignment="1">
      <alignment horizontal="center" vertical="center" wrapText="1"/>
    </xf>
    <xf numFmtId="0" fontId="22" fillId="17" borderId="9" xfId="0" applyFont="1" applyFill="1" applyBorder="1" applyAlignment="1">
      <alignment horizontal="center" vertical="center" wrapText="1"/>
    </xf>
    <xf numFmtId="165" fontId="9" fillId="7" borderId="8" xfId="0" applyNumberFormat="1" applyFont="1" applyFill="1" applyBorder="1" applyAlignment="1">
      <alignment horizontal="center" vertical="center" wrapText="1"/>
    </xf>
    <xf numFmtId="167" fontId="15" fillId="13" borderId="28" xfId="6" applyNumberFormat="1" applyAlignment="1">
      <alignment horizontal="center"/>
    </xf>
  </cellXfs>
  <cellStyles count="17">
    <cellStyle name="40% - Accent3" xfId="8" builtinId="39"/>
    <cellStyle name="Accent2" xfId="2" builtinId="33"/>
    <cellStyle name="Bad" xfId="7" builtinId="27"/>
    <cellStyle name="Calculation" xfId="6" builtinId="22"/>
    <cellStyle name="Comma 2" xfId="15" xr:uid="{00000000-0005-0000-0000-000004000000}"/>
    <cellStyle name="Normal" xfId="0" builtinId="0"/>
    <cellStyle name="Normal 2" xfId="13" xr:uid="{00000000-0005-0000-0000-000006000000}"/>
    <cellStyle name="Normal 3" xfId="14" xr:uid="{00000000-0005-0000-0000-000007000000}"/>
    <cellStyle name="Normal_baseline data" xfId="1" xr:uid="{00000000-0005-0000-0000-000008000000}"/>
    <cellStyle name="Normal_scratch" xfId="9" xr:uid="{00000000-0005-0000-0000-000009000000}"/>
    <cellStyle name="Normal_scratchII" xfId="11" xr:uid="{00000000-0005-0000-0000-00000A000000}"/>
    <cellStyle name="Normal_scratchIII" xfId="12" xr:uid="{00000000-0005-0000-0000-00000B000000}"/>
    <cellStyle name="Normal_Sheet1" xfId="3" xr:uid="{00000000-0005-0000-0000-00000C000000}"/>
    <cellStyle name="Normal_Sheet4" xfId="5" xr:uid="{00000000-0005-0000-0000-00000D000000}"/>
    <cellStyle name="Normal_Sheet9" xfId="4" xr:uid="{00000000-0005-0000-0000-00000E000000}"/>
    <cellStyle name="Normal_SLRatio" xfId="16" xr:uid="{00000000-0005-0000-0000-00000F000000}"/>
    <cellStyle name="Normal_SLRatioImport" xfId="10" xr:uid="{00000000-0005-0000-0000-000010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numFmt numFmtId="1" formatCode="0"/>
      <fill>
        <patternFill>
          <bgColor theme="1" tint="0.24994659260841701"/>
        </patternFill>
      </fill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 Hugh, Peter A (DFW)" refreshedDate="41521.653255555553" createdVersion="4" refreshedVersion="4" minRefreshableVersion="3" recordCount="81" xr:uid="{00000000-000A-0000-FFFF-FFFF29040000}">
  <cacheSource type="worksheet">
    <worksheetSource ref="A2:H99" sheet="Baseline (NS) Data"/>
  </cacheSource>
  <cacheFields count="8">
    <cacheField name="Area" numFmtId="0">
      <sharedItems containsSemiMixedTypes="0" containsString="0" containsNumber="1" containsInteger="1" minValue="5" maxValue="13" count="6">
        <n v="5"/>
        <n v="6"/>
        <n v="11"/>
        <n v="12"/>
        <n v="13"/>
        <n v="7"/>
      </sharedItems>
    </cacheField>
    <cacheField name="time step" numFmtId="0">
      <sharedItems count="2">
        <s v="1&amp;4"/>
        <s v="2&amp;3"/>
      </sharedItems>
    </cacheField>
    <cacheField name="Reg Year" numFmtId="0">
      <sharedItems containsSemiMixedTypes="0" containsString="0" containsNumber="1" containsInteger="1" minValue="2003" maxValue="2013"/>
    </cacheField>
    <cacheField name="Sum of Chinook Kept" numFmtId="0">
      <sharedItems containsSemiMixedTypes="0" containsString="0" containsNumber="1" containsInteger="1" minValue="0" maxValue="1689"/>
    </cacheField>
    <cacheField name="Sum of Chinook Released" numFmtId="0">
      <sharedItems containsSemiMixedTypes="0" containsString="0" containsNumber="1" containsInteger="1" minValue="2" maxValue="4027"/>
    </cacheField>
    <cacheField name="n enc" numFmtId="0">
      <sharedItems containsSemiMixedTypes="0" containsString="0" containsNumber="1" containsInteger="1" minValue="2" maxValue="5114"/>
    </cacheField>
    <cacheField name="pSL" numFmtId="2">
      <sharedItems containsString="0" containsBlank="1" containsNumber="1" minValue="0.1333333333333333" maxValue="0.96277278562259305"/>
    </cacheField>
    <cacheField name="SL ratio" numFmtId="164">
      <sharedItems containsString="0" containsBlank="1" containsNumber="1" minValue="0.15384615384615385" maxValue="25.862068965517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Carey" refreshedDate="42401.487205787038" createdVersion="4" refreshedVersion="4" minRefreshableVersion="3" recordCount="98" xr:uid="{00000000-000A-0000-FFFF-FFFF2A040000}">
  <cacheSource type="worksheet">
    <worksheetSource ref="A4:C102" sheet="SLRatioImport"/>
  </cacheSource>
  <cacheFields count="4">
    <cacheField name="FisheryID" numFmtId="0">
      <sharedItems containsSemiMixedTypes="0" containsString="0" containsNumber="1" containsInteger="1" minValue="1" maxValue="67" count="32">
        <n v="1"/>
        <n v="3"/>
        <n v="8"/>
        <n v="9"/>
        <n v="10"/>
        <n v="11"/>
        <n v="13"/>
        <n v="14"/>
        <n v="15"/>
        <n v="16"/>
        <n v="17"/>
        <n v="18"/>
        <n v="20"/>
        <n v="21"/>
        <n v="22"/>
        <n v="26"/>
        <n v="27"/>
        <n v="30"/>
        <n v="31"/>
        <n v="32"/>
        <n v="33"/>
        <n v="34"/>
        <n v="35"/>
        <n v="36"/>
        <n v="42"/>
        <n v="45"/>
        <n v="53"/>
        <n v="54"/>
        <n v="56"/>
        <n v="57"/>
        <n v="64"/>
        <n v="67"/>
      </sharedItems>
    </cacheField>
    <cacheField name="Age" numFmtId="0">
      <sharedItems containsNonDate="0" containsString="0" containsBlank="1"/>
    </cacheField>
    <cacheField name="TimeSte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argetRatio" numFmtId="165">
      <sharedItems containsSemiMixedTypes="0" containsString="0" containsNumber="1" minValue="1E-3" maxValue="8.498447221430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pp, Derek R (DFW)" refreshedDate="44097.559315740742" createdVersion="4" refreshedVersion="6" minRefreshableVersion="3" recordCount="116" xr:uid="{00000000-000A-0000-FFFF-FFFF2B040000}">
  <cacheSource type="worksheet">
    <worksheetSource ref="A3:H119" sheet="Creel (MSF) Data"/>
  </cacheSource>
  <cacheFields count="8">
    <cacheField name="season" numFmtId="0">
      <sharedItems count="2">
        <s v="summer"/>
        <s v="winter"/>
      </sharedItems>
    </cacheField>
    <cacheField name="area" numFmtId="0">
      <sharedItems containsSemiMixedTypes="0" containsString="0" containsNumber="1" containsInteger="1" minValue="5" maxValue="13" count="9">
        <n v="5"/>
        <n v="6"/>
        <n v="9"/>
        <n v="10"/>
        <n v="11"/>
        <n v="13"/>
        <n v="7"/>
        <n v="8"/>
        <n v="12"/>
      </sharedItems>
    </cacheField>
    <cacheField name="use" numFmtId="0">
      <sharedItems count="2">
        <s v="n"/>
        <s v="y"/>
      </sharedItems>
    </cacheField>
    <cacheField name="year" numFmtId="0">
      <sharedItems containsMixedTypes="1" containsNumber="1" containsInteger="1" minValue="2003" maxValue="2015" count="24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s v="2012-13"/>
        <s v="2013-14"/>
        <s v="2014-15"/>
        <s v="2015-16"/>
        <s v="2007-08"/>
        <s v="2008-09"/>
        <s v="2009-10"/>
        <s v="2010-11"/>
        <s v="2011-12"/>
        <s v="2005-06"/>
        <s v="2006-07"/>
      </sharedItems>
    </cacheField>
    <cacheField name="Sum of sublegal" numFmtId="0">
      <sharedItems containsMixedTypes="1" containsNumber="1" minValue="0" maxValue="26264.799999999999"/>
    </cacheField>
    <cacheField name="Sum of legal" numFmtId="0">
      <sharedItems containsString="0" containsBlank="1" containsNumber="1" minValue="16" maxValue="15854.5"/>
    </cacheField>
    <cacheField name="Slratio" numFmtId="168">
      <sharedItems containsSemiMixedTypes="0" containsString="0" containsNumber="1" minValue="0" maxValue="16.833333333333332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2003"/>
    <n v="109"/>
    <n v="345"/>
    <n v="454"/>
    <n v="0.75991189427312777"/>
    <n v="3.165137614678899"/>
  </r>
  <r>
    <x v="0"/>
    <x v="0"/>
    <n v="2004"/>
    <n v="82"/>
    <n v="124"/>
    <n v="206"/>
    <n v="0.60194174757281549"/>
    <n v="1.5121951219512195"/>
  </r>
  <r>
    <x v="0"/>
    <x v="0"/>
    <n v="2005"/>
    <n v="46"/>
    <n v="137"/>
    <n v="183"/>
    <n v="0.74863387978142071"/>
    <n v="2.9782608695652173"/>
  </r>
  <r>
    <x v="0"/>
    <x v="0"/>
    <n v="2006"/>
    <n v="52"/>
    <n v="20"/>
    <n v="72"/>
    <n v="0.27777777777777779"/>
    <n v="0.38461538461538464"/>
  </r>
  <r>
    <x v="0"/>
    <x v="0"/>
    <n v="2007"/>
    <n v="53"/>
    <n v="66"/>
    <n v="119"/>
    <n v="0.55462184873949583"/>
    <n v="1.2452830188679245"/>
  </r>
  <r>
    <x v="0"/>
    <x v="0"/>
    <n v="2008"/>
    <n v="12"/>
    <n v="21"/>
    <n v="33"/>
    <n v="0.63636363636363635"/>
    <n v="1.75"/>
  </r>
  <r>
    <x v="0"/>
    <x v="0"/>
    <n v="2009"/>
    <n v="41"/>
    <n v="53"/>
    <n v="94"/>
    <n v="0.56382978723404253"/>
    <n v="1.2926829268292683"/>
  </r>
  <r>
    <x v="0"/>
    <x v="0"/>
    <n v="2010"/>
    <n v="85"/>
    <n v="284"/>
    <n v="369"/>
    <n v="0.76964769647696474"/>
    <n v="3.3411764705882354"/>
  </r>
  <r>
    <x v="0"/>
    <x v="0"/>
    <n v="2011"/>
    <n v="22"/>
    <n v="23"/>
    <n v="45"/>
    <n v="0.51111111111111107"/>
    <n v="1.0454545454545454"/>
  </r>
  <r>
    <x v="0"/>
    <x v="0"/>
    <n v="2012"/>
    <n v="86"/>
    <n v="87"/>
    <n v="173"/>
    <n v="0.50289017341040465"/>
    <n v="1.0116279069767442"/>
  </r>
  <r>
    <x v="0"/>
    <x v="0"/>
    <n v="2013"/>
    <n v="28"/>
    <n v="95"/>
    <n v="123"/>
    <n v="0.77235772357723576"/>
    <n v="3.3928571428571428"/>
  </r>
  <r>
    <x v="1"/>
    <x v="0"/>
    <n v="2003"/>
    <n v="121"/>
    <n v="66"/>
    <n v="187"/>
    <n v="0.3529411764705882"/>
    <n v="0.54545454545454541"/>
  </r>
  <r>
    <x v="1"/>
    <x v="0"/>
    <n v="2004"/>
    <n v="267"/>
    <n v="92"/>
    <n v="359"/>
    <n v="0.25626740947075211"/>
    <n v="0.34456928838951312"/>
  </r>
  <r>
    <x v="1"/>
    <x v="0"/>
    <n v="2005"/>
    <n v="179"/>
    <n v="186"/>
    <n v="365"/>
    <n v="0.50958904109589032"/>
    <n v="1.0391061452513966"/>
  </r>
  <r>
    <x v="1"/>
    <x v="0"/>
    <n v="2006"/>
    <n v="142"/>
    <n v="56"/>
    <n v="198"/>
    <n v="0.28282828282828276"/>
    <n v="0.39436619718309857"/>
  </r>
  <r>
    <x v="1"/>
    <x v="0"/>
    <n v="2007"/>
    <n v="385"/>
    <n v="149"/>
    <n v="534"/>
    <n v="0.27902621722846443"/>
    <n v="0.38701298701298703"/>
  </r>
  <r>
    <x v="1"/>
    <x v="0"/>
    <n v="2008"/>
    <n v="221"/>
    <n v="136"/>
    <n v="357"/>
    <n v="0.38095238095238093"/>
    <n v="0.61538461538461542"/>
  </r>
  <r>
    <x v="1"/>
    <x v="0"/>
    <n v="2009"/>
    <n v="320"/>
    <n v="254"/>
    <n v="574"/>
    <n v="0.44250871080139376"/>
    <n v="0.79374999999999996"/>
  </r>
  <r>
    <x v="1"/>
    <x v="0"/>
    <n v="2010"/>
    <n v="277"/>
    <n v="348"/>
    <n v="625"/>
    <n v="0.55679999999999996"/>
    <n v="1.256317689530686"/>
  </r>
  <r>
    <x v="1"/>
    <x v="0"/>
    <n v="2011"/>
    <n v="439"/>
    <n v="164"/>
    <n v="603"/>
    <n v="0.27197346600331673"/>
    <n v="0.37357630979498863"/>
  </r>
  <r>
    <x v="1"/>
    <x v="0"/>
    <n v="2012"/>
    <n v="505"/>
    <n v="344"/>
    <n v="849"/>
    <n v="0.40518256772673744"/>
    <n v="0.68118811881188124"/>
  </r>
  <r>
    <x v="1"/>
    <x v="0"/>
    <n v="2013"/>
    <n v="19"/>
    <n v="99"/>
    <n v="118"/>
    <n v="0.83898305084745761"/>
    <n v="5.2105263157894735"/>
  </r>
  <r>
    <x v="2"/>
    <x v="0"/>
    <n v="2003"/>
    <n v="93"/>
    <n v="344"/>
    <n v="437"/>
    <n v="0.78718535469107553"/>
    <n v="3.6989247311827955"/>
  </r>
  <r>
    <x v="2"/>
    <x v="0"/>
    <n v="2004"/>
    <n v="165"/>
    <n v="862"/>
    <n v="1027"/>
    <n v="0.83933787731256082"/>
    <n v="5.2242424242424246"/>
  </r>
  <r>
    <x v="2"/>
    <x v="0"/>
    <n v="2005"/>
    <n v="121"/>
    <n v="1470"/>
    <n v="1591"/>
    <n v="0.92394720301697042"/>
    <n v="12.148760330578513"/>
  </r>
  <r>
    <x v="2"/>
    <x v="0"/>
    <n v="2006"/>
    <n v="102"/>
    <n v="162"/>
    <n v="264"/>
    <n v="0.61363636363636354"/>
    <n v="1.588235294117647"/>
  </r>
  <r>
    <x v="2"/>
    <x v="0"/>
    <n v="2007"/>
    <n v="151"/>
    <n v="1905"/>
    <n v="2056"/>
    <n v="0.92655642023346307"/>
    <n v="12.6158940397351"/>
  </r>
  <r>
    <x v="2"/>
    <x v="0"/>
    <n v="2008"/>
    <n v="301"/>
    <n v="450"/>
    <n v="751"/>
    <n v="0.5992010652463382"/>
    <n v="1.4950166112956811"/>
  </r>
  <r>
    <x v="2"/>
    <x v="0"/>
    <n v="2009"/>
    <n v="137"/>
    <n v="1751"/>
    <n v="1888"/>
    <n v="0.92743644067796605"/>
    <n v="12.781021897810218"/>
  </r>
  <r>
    <x v="2"/>
    <x v="0"/>
    <n v="2010"/>
    <n v="27"/>
    <n v="127"/>
    <n v="154"/>
    <n v="0.82467532467532467"/>
    <n v="4.7037037037037033"/>
  </r>
  <r>
    <x v="2"/>
    <x v="0"/>
    <n v="2011"/>
    <n v="10"/>
    <n v="147"/>
    <n v="157"/>
    <n v="0.93630573248407645"/>
    <n v="14.7"/>
  </r>
  <r>
    <x v="2"/>
    <x v="0"/>
    <n v="2012"/>
    <n v="30"/>
    <n v="529"/>
    <n v="559"/>
    <n v="0.94633273703041143"/>
    <n v="17.633333333333333"/>
  </r>
  <r>
    <x v="2"/>
    <x v="0"/>
    <n v="2013"/>
    <n v="30"/>
    <n v="529"/>
    <n v="559"/>
    <n v="0.94633273703041143"/>
    <n v="17.633333333333333"/>
  </r>
  <r>
    <x v="3"/>
    <x v="0"/>
    <n v="2003"/>
    <n v="70"/>
    <n v="138"/>
    <n v="208"/>
    <n v="0.66346153846153855"/>
    <n v="1.9714285714285715"/>
  </r>
  <r>
    <x v="3"/>
    <x v="0"/>
    <n v="2004"/>
    <n v="91"/>
    <n v="306"/>
    <n v="397"/>
    <n v="0.77078085642317384"/>
    <n v="3.3626373626373627"/>
  </r>
  <r>
    <x v="3"/>
    <x v="0"/>
    <n v="2005"/>
    <n v="105"/>
    <n v="481"/>
    <n v="586"/>
    <n v="0.82081911262798635"/>
    <n v="4.5809523809523807"/>
  </r>
  <r>
    <x v="3"/>
    <x v="0"/>
    <n v="2006"/>
    <n v="66"/>
    <n v="127"/>
    <n v="193"/>
    <n v="0.65803108808290156"/>
    <n v="1.9242424242424243"/>
  </r>
  <r>
    <x v="3"/>
    <x v="0"/>
    <n v="2007"/>
    <n v="145"/>
    <n v="645"/>
    <n v="790"/>
    <n v="0.81645569620253167"/>
    <n v="4.4482758620689653"/>
  </r>
  <r>
    <x v="3"/>
    <x v="0"/>
    <n v="2008"/>
    <n v="76"/>
    <n v="138"/>
    <n v="214"/>
    <n v="0.64485981308411211"/>
    <n v="1.8157894736842106"/>
  </r>
  <r>
    <x v="3"/>
    <x v="0"/>
    <n v="2009"/>
    <n v="144"/>
    <n v="645"/>
    <n v="789"/>
    <n v="0.81749049429657794"/>
    <n v="4.479166666666667"/>
  </r>
  <r>
    <x v="3"/>
    <x v="0"/>
    <n v="2010"/>
    <n v="18"/>
    <n v="33"/>
    <n v="51"/>
    <n v="0.64705882352941169"/>
    <n v="1.8333333333333333"/>
  </r>
  <r>
    <x v="3"/>
    <x v="0"/>
    <n v="2011"/>
    <n v="1"/>
    <n v="4"/>
    <n v="5"/>
    <m/>
    <m/>
  </r>
  <r>
    <x v="3"/>
    <x v="0"/>
    <n v="2012"/>
    <n v="5"/>
    <n v="27"/>
    <n v="32"/>
    <n v="0.84375"/>
    <n v="5.4"/>
  </r>
  <r>
    <x v="4"/>
    <x v="0"/>
    <n v="2003"/>
    <n v="0"/>
    <n v="2"/>
    <n v="2"/>
    <m/>
    <m/>
  </r>
  <r>
    <x v="4"/>
    <x v="0"/>
    <n v="2004"/>
    <n v="15"/>
    <n v="39"/>
    <n v="54"/>
    <n v="0.72222222222222221"/>
    <n v="2.6"/>
  </r>
  <r>
    <x v="4"/>
    <x v="0"/>
    <n v="2005"/>
    <n v="12"/>
    <n v="183"/>
    <n v="195"/>
    <n v="0.93846153846153846"/>
    <n v="15.25"/>
  </r>
  <r>
    <x v="4"/>
    <x v="0"/>
    <n v="2006"/>
    <n v="22"/>
    <n v="53"/>
    <n v="75"/>
    <n v="0.70666666666666667"/>
    <n v="2.4090909090909092"/>
  </r>
  <r>
    <x v="4"/>
    <x v="0"/>
    <n v="2007"/>
    <n v="29"/>
    <n v="750"/>
    <n v="779"/>
    <n v="0.96277278562259305"/>
    <n v="25.862068965517242"/>
  </r>
  <r>
    <x v="4"/>
    <x v="0"/>
    <n v="2008"/>
    <n v="32"/>
    <n v="28"/>
    <n v="60"/>
    <n v="0.46666666666666667"/>
    <n v="0.875"/>
  </r>
  <r>
    <x v="4"/>
    <x v="0"/>
    <n v="2009"/>
    <n v="5"/>
    <n v="112"/>
    <n v="117"/>
    <n v="0.95726495726495731"/>
    <n v="22.4"/>
  </r>
  <r>
    <x v="4"/>
    <x v="0"/>
    <n v="2010"/>
    <n v="11"/>
    <n v="68"/>
    <n v="79"/>
    <n v="0.86075949367088611"/>
    <n v="6.1818181818181817"/>
  </r>
  <r>
    <x v="4"/>
    <x v="0"/>
    <n v="2011"/>
    <n v="0"/>
    <n v="13"/>
    <n v="13"/>
    <m/>
    <m/>
  </r>
  <r>
    <x v="4"/>
    <x v="0"/>
    <n v="2012"/>
    <n v="15"/>
    <n v="83"/>
    <n v="98"/>
    <n v="0.84693877551020402"/>
    <n v="5.5333333333333332"/>
  </r>
  <r>
    <x v="4"/>
    <x v="0"/>
    <n v="2013"/>
    <n v="15"/>
    <n v="48"/>
    <n v="63"/>
    <n v="0.76190476190476186"/>
    <n v="3.2"/>
  </r>
  <r>
    <x v="5"/>
    <x v="1"/>
    <n v="2003"/>
    <n v="298"/>
    <n v="142"/>
    <n v="440"/>
    <n v="0.32272727272727275"/>
    <n v="0.47651006711409394"/>
  </r>
  <r>
    <x v="5"/>
    <x v="1"/>
    <n v="2004"/>
    <n v="112"/>
    <n v="44"/>
    <n v="156"/>
    <n v="0.28205128205128205"/>
    <n v="0.39285714285714285"/>
  </r>
  <r>
    <x v="5"/>
    <x v="1"/>
    <n v="2005"/>
    <n v="227"/>
    <n v="167"/>
    <n v="394"/>
    <n v="0.42385786802030467"/>
    <n v="0.73568281938325997"/>
  </r>
  <r>
    <x v="5"/>
    <x v="1"/>
    <n v="2006"/>
    <n v="268"/>
    <n v="61"/>
    <n v="329"/>
    <n v="0.18541033434650456"/>
    <n v="0.22761194029850745"/>
  </r>
  <r>
    <x v="5"/>
    <x v="1"/>
    <n v="2007"/>
    <n v="575"/>
    <n v="462"/>
    <n v="1037"/>
    <n v="0.44551591128254575"/>
    <n v="0.8034782608695652"/>
  </r>
  <r>
    <x v="5"/>
    <x v="1"/>
    <n v="2008"/>
    <n v="455"/>
    <n v="70"/>
    <n v="525"/>
    <n v="0.1333333333333333"/>
    <n v="0.15384615384615385"/>
  </r>
  <r>
    <x v="5"/>
    <x v="1"/>
    <n v="2009"/>
    <n v="488"/>
    <n v="671"/>
    <n v="1159"/>
    <n v="0.57894736842105265"/>
    <n v="1.375"/>
  </r>
  <r>
    <x v="5"/>
    <x v="1"/>
    <n v="2010"/>
    <n v="270"/>
    <n v="133"/>
    <n v="403"/>
    <n v="0.33002481389578153"/>
    <n v="0.49259259259259258"/>
  </r>
  <r>
    <x v="5"/>
    <x v="1"/>
    <n v="2011"/>
    <n v="772"/>
    <n v="556"/>
    <n v="1328"/>
    <n v="0.41867469879518071"/>
    <n v="0.72020725388601037"/>
  </r>
  <r>
    <x v="5"/>
    <x v="1"/>
    <n v="2012"/>
    <n v="433"/>
    <n v="270"/>
    <n v="703"/>
    <n v="0.38406827880512084"/>
    <n v="0.62355658198614317"/>
  </r>
  <r>
    <x v="2"/>
    <x v="1"/>
    <n v="2003"/>
    <n v="1689"/>
    <n v="529"/>
    <n v="2218"/>
    <n v="0.23850315599639316"/>
    <n v="0.3132030787448194"/>
  </r>
  <r>
    <x v="2"/>
    <x v="1"/>
    <n v="2004"/>
    <n v="1581"/>
    <n v="1883"/>
    <n v="3464"/>
    <n v="0.5435912240184757"/>
    <n v="1.1910183428209993"/>
  </r>
  <r>
    <x v="2"/>
    <x v="1"/>
    <n v="2005"/>
    <n v="1301"/>
    <n v="1258"/>
    <n v="2559"/>
    <n v="0.49159828057835087"/>
    <n v="0.96694850115295927"/>
  </r>
  <r>
    <x v="2"/>
    <x v="1"/>
    <n v="2006"/>
    <n v="1087"/>
    <n v="4027"/>
    <n v="5114"/>
    <n v="0.78744622604614789"/>
    <n v="3.704691812327507"/>
  </r>
  <r>
    <x v="3"/>
    <x v="1"/>
    <n v="2003"/>
    <n v="44"/>
    <n v="52"/>
    <n v="96"/>
    <n v="0.54166666666666663"/>
    <n v="1.1818181818181819"/>
  </r>
  <r>
    <x v="3"/>
    <x v="1"/>
    <n v="2004"/>
    <n v="115"/>
    <n v="154"/>
    <n v="269"/>
    <n v="0.57249070631970267"/>
    <n v="1.3391304347826087"/>
  </r>
  <r>
    <x v="3"/>
    <x v="1"/>
    <n v="2005"/>
    <n v="240"/>
    <n v="93"/>
    <n v="333"/>
    <n v="0.2792792792792792"/>
    <n v="0.38750000000000001"/>
  </r>
  <r>
    <x v="3"/>
    <x v="1"/>
    <n v="2006"/>
    <n v="110"/>
    <n v="459"/>
    <n v="569"/>
    <n v="0.80667838312829532"/>
    <n v="4.1727272727272728"/>
  </r>
  <r>
    <x v="3"/>
    <x v="1"/>
    <n v="2007"/>
    <n v="176"/>
    <n v="201"/>
    <n v="377"/>
    <n v="0.53315649867374004"/>
    <n v="1.1420454545454546"/>
  </r>
  <r>
    <x v="3"/>
    <x v="1"/>
    <n v="2008"/>
    <n v="78"/>
    <n v="394"/>
    <n v="472"/>
    <n v="0.8347457627118644"/>
    <n v="5.0512820512820511"/>
  </r>
  <r>
    <x v="3"/>
    <x v="1"/>
    <n v="2009"/>
    <n v="42"/>
    <n v="13"/>
    <n v="55"/>
    <n v="0.23636363636363633"/>
    <n v="0.30952380952380953"/>
  </r>
  <r>
    <x v="3"/>
    <x v="1"/>
    <n v="2010"/>
    <n v="0"/>
    <n v="4"/>
    <n v="4"/>
    <m/>
    <m/>
  </r>
  <r>
    <x v="3"/>
    <x v="1"/>
    <n v="2011"/>
    <n v="43"/>
    <n v="59"/>
    <n v="102"/>
    <n v="0.57843137254901955"/>
    <n v="1.3720930232558139"/>
  </r>
  <r>
    <x v="4"/>
    <x v="1"/>
    <n v="2003"/>
    <n v="225"/>
    <n v="135"/>
    <n v="360"/>
    <n v="0.375"/>
    <n v="0.6"/>
  </r>
  <r>
    <x v="4"/>
    <x v="1"/>
    <n v="2004"/>
    <n v="210"/>
    <n v="309"/>
    <n v="519"/>
    <n v="0.59537572254335269"/>
    <n v="1.4714285714285715"/>
  </r>
  <r>
    <x v="4"/>
    <x v="1"/>
    <n v="2005"/>
    <n v="303"/>
    <n v="171"/>
    <n v="474"/>
    <n v="0.36075949367088611"/>
    <n v="0.5643564356435643"/>
  </r>
  <r>
    <x v="4"/>
    <x v="1"/>
    <n v="2006"/>
    <n v="249"/>
    <n v="812"/>
    <n v="1061"/>
    <n v="0.76531573986804902"/>
    <n v="3.26104417670682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m/>
    <x v="0"/>
    <n v="0.27568448565459253"/>
  </r>
  <r>
    <x v="0"/>
    <m/>
    <x v="1"/>
    <n v="0.27568448565459253"/>
  </r>
  <r>
    <x v="0"/>
    <m/>
    <x v="2"/>
    <n v="0.27568448565459253"/>
  </r>
  <r>
    <x v="0"/>
    <m/>
    <x v="3"/>
    <n v="0.27568448565459253"/>
  </r>
  <r>
    <x v="1"/>
    <m/>
    <x v="0"/>
    <n v="0.60859784199230704"/>
  </r>
  <r>
    <x v="1"/>
    <m/>
    <x v="1"/>
    <n v="0.60859784199230704"/>
  </r>
  <r>
    <x v="1"/>
    <m/>
    <x v="2"/>
    <n v="0.60859784199230704"/>
  </r>
  <r>
    <x v="1"/>
    <m/>
    <x v="3"/>
    <n v="0.60859784199230704"/>
  </r>
  <r>
    <x v="2"/>
    <m/>
    <x v="0"/>
    <n v="1E-3"/>
  </r>
  <r>
    <x v="2"/>
    <m/>
    <x v="1"/>
    <n v="1E-3"/>
  </r>
  <r>
    <x v="2"/>
    <m/>
    <x v="2"/>
    <n v="1E-3"/>
  </r>
  <r>
    <x v="2"/>
    <m/>
    <x v="3"/>
    <n v="1E-3"/>
  </r>
  <r>
    <x v="3"/>
    <m/>
    <x v="0"/>
    <n v="0.10976288192934991"/>
  </r>
  <r>
    <x v="3"/>
    <m/>
    <x v="1"/>
    <n v="0.10976288192934991"/>
  </r>
  <r>
    <x v="3"/>
    <m/>
    <x v="2"/>
    <n v="0.10976288192934991"/>
  </r>
  <r>
    <x v="3"/>
    <m/>
    <x v="3"/>
    <n v="0.10976288192934991"/>
  </r>
  <r>
    <x v="4"/>
    <m/>
    <x v="0"/>
    <n v="8.7142118307523761E-2"/>
  </r>
  <r>
    <x v="4"/>
    <m/>
    <x v="1"/>
    <n v="8.7142118307523761E-2"/>
  </r>
  <r>
    <x v="4"/>
    <m/>
    <x v="2"/>
    <n v="8.7142118307523761E-2"/>
  </r>
  <r>
    <x v="4"/>
    <m/>
    <x v="3"/>
    <n v="8.7142118307523761E-2"/>
  </r>
  <r>
    <x v="5"/>
    <m/>
    <x v="0"/>
    <n v="0.19403614509850112"/>
  </r>
  <r>
    <x v="5"/>
    <m/>
    <x v="1"/>
    <n v="0.19403614509850112"/>
  </r>
  <r>
    <x v="5"/>
    <m/>
    <x v="2"/>
    <n v="0.19403614509850112"/>
  </r>
  <r>
    <x v="5"/>
    <m/>
    <x v="3"/>
    <n v="0.19403614509850112"/>
  </r>
  <r>
    <x v="6"/>
    <m/>
    <x v="0"/>
    <n v="0.54496072150226993"/>
  </r>
  <r>
    <x v="6"/>
    <m/>
    <x v="1"/>
    <n v="0.54496072150226993"/>
  </r>
  <r>
    <x v="6"/>
    <m/>
    <x v="2"/>
    <n v="0.54496072150226993"/>
  </r>
  <r>
    <x v="6"/>
    <m/>
    <x v="3"/>
    <n v="0.54496072150226993"/>
  </r>
  <r>
    <x v="7"/>
    <m/>
    <x v="0"/>
    <n v="1.1812941443549432"/>
  </r>
  <r>
    <x v="7"/>
    <m/>
    <x v="1"/>
    <n v="1.1812941443549432"/>
  </r>
  <r>
    <x v="7"/>
    <m/>
    <x v="2"/>
    <n v="1.1812941443549432"/>
  </r>
  <r>
    <x v="7"/>
    <m/>
    <x v="3"/>
    <n v="1.1812941443549432"/>
  </r>
  <r>
    <x v="8"/>
    <m/>
    <x v="0"/>
    <n v="0.48769473889009962"/>
  </r>
  <r>
    <x v="8"/>
    <m/>
    <x v="1"/>
    <n v="0.48769473889009962"/>
  </r>
  <r>
    <x v="8"/>
    <m/>
    <x v="2"/>
    <n v="0.48769473889009962"/>
  </r>
  <r>
    <x v="8"/>
    <m/>
    <x v="3"/>
    <n v="0.48769473889009962"/>
  </r>
  <r>
    <x v="9"/>
    <m/>
    <x v="1"/>
    <n v="1.0642345522078578"/>
  </r>
  <r>
    <x v="9"/>
    <m/>
    <x v="2"/>
    <n v="0.57226205993731771"/>
  </r>
  <r>
    <x v="10"/>
    <m/>
    <x v="0"/>
    <n v="2.2573138377198969"/>
  </r>
  <r>
    <x v="10"/>
    <m/>
    <x v="1"/>
    <n v="0.17380358372775417"/>
  </r>
  <r>
    <x v="10"/>
    <m/>
    <x v="2"/>
    <n v="0.22898059720909528"/>
  </r>
  <r>
    <x v="10"/>
    <m/>
    <x v="3"/>
    <n v="2.2573138377198969"/>
  </r>
  <r>
    <x v="11"/>
    <m/>
    <x v="1"/>
    <n v="0.5544065089121516"/>
  </r>
  <r>
    <x v="11"/>
    <m/>
    <x v="2"/>
    <n v="0.54446925496751697"/>
  </r>
  <r>
    <x v="12"/>
    <m/>
    <x v="1"/>
    <n v="1.0539072308689836"/>
  </r>
  <r>
    <x v="12"/>
    <m/>
    <x v="2"/>
    <n v="1.1880722082413424"/>
  </r>
  <r>
    <x v="13"/>
    <m/>
    <x v="1"/>
    <n v="0.17211699550781648"/>
  </r>
  <r>
    <x v="13"/>
    <m/>
    <x v="2"/>
    <n v="0.47538619596838116"/>
  </r>
  <r>
    <x v="14"/>
    <m/>
    <x v="1"/>
    <n v="0.35129510652655571"/>
  </r>
  <r>
    <x v="14"/>
    <m/>
    <x v="2"/>
    <n v="0.49830391910276345"/>
  </r>
  <r>
    <x v="15"/>
    <m/>
    <x v="1"/>
    <n v="4.4749999999999996"/>
  </r>
  <r>
    <x v="15"/>
    <m/>
    <x v="2"/>
    <n v="4.6820000000000004"/>
  </r>
  <r>
    <x v="16"/>
    <m/>
    <x v="1"/>
    <n v="1.5768598598990335"/>
  </r>
  <r>
    <x v="16"/>
    <m/>
    <x v="2"/>
    <n v="2.1059430128285266"/>
  </r>
  <r>
    <x v="17"/>
    <m/>
    <x v="0"/>
    <n v="0.47399999999999998"/>
  </r>
  <r>
    <x v="17"/>
    <m/>
    <x v="1"/>
    <n v="1.0860000000000001"/>
  </r>
  <r>
    <x v="17"/>
    <m/>
    <x v="2"/>
    <n v="1.0860000000000001"/>
  </r>
  <r>
    <x v="17"/>
    <m/>
    <x v="3"/>
    <n v="0.47399999999999998"/>
  </r>
  <r>
    <x v="18"/>
    <m/>
    <x v="1"/>
    <n v="0.58299999999999996"/>
  </r>
  <r>
    <x v="18"/>
    <m/>
    <x v="2"/>
    <n v="0.68899999999999995"/>
  </r>
  <r>
    <x v="19"/>
    <m/>
    <x v="1"/>
    <n v="1.0860000000000001"/>
  </r>
  <r>
    <x v="19"/>
    <m/>
    <x v="2"/>
    <n v="1.0860000000000001"/>
  </r>
  <r>
    <x v="20"/>
    <m/>
    <x v="1"/>
    <n v="0.58299999999999996"/>
  </r>
  <r>
    <x v="20"/>
    <m/>
    <x v="2"/>
    <n v="0.68899999999999995"/>
  </r>
  <r>
    <x v="21"/>
    <m/>
    <x v="1"/>
    <n v="0.36799999999999999"/>
  </r>
  <r>
    <x v="21"/>
    <m/>
    <x v="2"/>
    <n v="0.6"/>
  </r>
  <r>
    <x v="22"/>
    <m/>
    <x v="0"/>
    <n v="0.92"/>
  </r>
  <r>
    <x v="22"/>
    <m/>
    <x v="1"/>
    <n v="0.61"/>
  </r>
  <r>
    <x v="22"/>
    <m/>
    <x v="2"/>
    <n v="0.495"/>
  </r>
  <r>
    <x v="22"/>
    <m/>
    <x v="3"/>
    <n v="0.92"/>
  </r>
  <r>
    <x v="23"/>
    <m/>
    <x v="0"/>
    <n v="0.76059101173570864"/>
  </r>
  <r>
    <x v="23"/>
    <m/>
    <x v="2"/>
    <n v="0.74431430254278075"/>
  </r>
  <r>
    <x v="23"/>
    <m/>
    <x v="3"/>
    <n v="0.76059101173570864"/>
  </r>
  <r>
    <x v="24"/>
    <m/>
    <x v="0"/>
    <n v="2.2573138377198969"/>
  </r>
  <r>
    <x v="24"/>
    <m/>
    <x v="2"/>
    <n v="1.038544401976178"/>
  </r>
  <r>
    <x v="24"/>
    <m/>
    <x v="3"/>
    <n v="2.2573138377198969"/>
  </r>
  <r>
    <x v="25"/>
    <m/>
    <x v="0"/>
    <n v="3.8671592834551625"/>
  </r>
  <r>
    <x v="25"/>
    <m/>
    <x v="3"/>
    <n v="3.8671592834551625"/>
  </r>
  <r>
    <x v="26"/>
    <m/>
    <x v="0"/>
    <n v="2.9579309448705011"/>
  </r>
  <r>
    <x v="26"/>
    <m/>
    <x v="2"/>
    <n v="0.64247253727987885"/>
  </r>
  <r>
    <x v="26"/>
    <m/>
    <x v="3"/>
    <n v="2.9579309448705011"/>
  </r>
  <r>
    <x v="27"/>
    <m/>
    <x v="0"/>
    <n v="1.3618894728725106"/>
  </r>
  <r>
    <x v="27"/>
    <m/>
    <x v="2"/>
    <n v="0.33962412988943758"/>
  </r>
  <r>
    <x v="27"/>
    <m/>
    <x v="3"/>
    <n v="1.3618894728725106"/>
  </r>
  <r>
    <x v="28"/>
    <m/>
    <x v="0"/>
    <n v="8.4984472214301707"/>
  </r>
  <r>
    <x v="28"/>
    <m/>
    <x v="2"/>
    <n v="1.0718828401659546"/>
  </r>
  <r>
    <x v="28"/>
    <m/>
    <x v="3"/>
    <n v="8.4984472214301707"/>
  </r>
  <r>
    <x v="29"/>
    <m/>
    <x v="0"/>
    <n v="3.0216036504219996"/>
  </r>
  <r>
    <x v="29"/>
    <m/>
    <x v="1"/>
    <n v="0.68818907742398128"/>
  </r>
  <r>
    <x v="29"/>
    <m/>
    <x v="2"/>
    <n v="0.68818907742398128"/>
  </r>
  <r>
    <x v="29"/>
    <m/>
    <x v="3"/>
    <n v="3.0216036504219996"/>
  </r>
  <r>
    <x v="30"/>
    <m/>
    <x v="0"/>
    <n v="1.0864594992891357"/>
  </r>
  <r>
    <x v="30"/>
    <m/>
    <x v="2"/>
    <n v="1.7110805925469492"/>
  </r>
  <r>
    <x v="30"/>
    <m/>
    <x v="3"/>
    <n v="1.0864594992891357"/>
  </r>
  <r>
    <x v="31"/>
    <m/>
    <x v="0"/>
    <n v="8.2866666666666653"/>
  </r>
  <r>
    <x v="31"/>
    <m/>
    <x v="1"/>
    <n v="0.32916640681085885"/>
  </r>
  <r>
    <x v="31"/>
    <m/>
    <x v="2"/>
    <n v="0.32916640681085885"/>
  </r>
  <r>
    <x v="31"/>
    <m/>
    <x v="3"/>
    <n v="8.28666666666666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x v="0"/>
    <n v="7055.6"/>
    <n v="6075.6"/>
    <n v="1.1613009414708013"/>
    <s v="MSF_Impacts DB"/>
  </r>
  <r>
    <x v="0"/>
    <x v="0"/>
    <x v="0"/>
    <x v="1"/>
    <n v="3822.9"/>
    <n v="7127.4"/>
    <n v="0.53636669753346244"/>
    <s v="MSF_Impacts DB"/>
  </r>
  <r>
    <x v="0"/>
    <x v="0"/>
    <x v="0"/>
    <x v="2"/>
    <n v="2795.5"/>
    <n v="3188.6"/>
    <n v="0.87671705450668003"/>
    <s v="MSF_Impacts DB"/>
  </r>
  <r>
    <x v="0"/>
    <x v="0"/>
    <x v="0"/>
    <x v="3"/>
    <n v="3424.7"/>
    <n v="6704.6"/>
    <n v="0.51079855621513581"/>
    <s v="MSF_Impacts DB"/>
  </r>
  <r>
    <x v="0"/>
    <x v="0"/>
    <x v="1"/>
    <x v="4"/>
    <n v="2862.7"/>
    <n v="5945.6"/>
    <n v="0.4814821044133476"/>
    <s v="MSF_Impacts DB"/>
  </r>
  <r>
    <x v="0"/>
    <x v="0"/>
    <x v="1"/>
    <x v="5"/>
    <n v="439.7"/>
    <n v="5056.6000000000004"/>
    <n v="8.6955661907210366E-2"/>
    <s v="MSF_Impacts DB"/>
  </r>
  <r>
    <x v="0"/>
    <x v="0"/>
    <x v="1"/>
    <x v="6"/>
    <n v="26264.799999999999"/>
    <n v="12158.4"/>
    <n v="2.1602184497960257"/>
    <s v="MSF_Impacts DB"/>
  </r>
  <r>
    <x v="0"/>
    <x v="0"/>
    <x v="1"/>
    <x v="7"/>
    <n v="7727.3"/>
    <n v="11522.6"/>
    <n v="0.67062121396212659"/>
    <s v="MSF_Impacts DB"/>
  </r>
  <r>
    <x v="0"/>
    <x v="0"/>
    <x v="1"/>
    <x v="8"/>
    <n v="7249.8"/>
    <n v="14320.6"/>
    <n v="0.50624973813946339"/>
    <s v="MSF_Impacts DB"/>
  </r>
  <r>
    <x v="0"/>
    <x v="0"/>
    <x v="1"/>
    <x v="9"/>
    <n v="8119.9"/>
    <n v="10875.8"/>
    <n v="0.7466025487780209"/>
    <s v="MSF_Impacts DB"/>
  </r>
  <r>
    <x v="0"/>
    <x v="0"/>
    <x v="1"/>
    <x v="10"/>
    <n v="17888.8"/>
    <n v="15854.5"/>
    <n v="1.1283105742849033"/>
    <s v="MSF_Impacts DB"/>
  </r>
  <r>
    <x v="0"/>
    <x v="0"/>
    <x v="0"/>
    <x v="11"/>
    <n v="11475.3"/>
    <n v="8429.4"/>
    <n v="1.3613424443020856"/>
    <s v="MSF_Impacts DB"/>
  </r>
  <r>
    <x v="0"/>
    <x v="0"/>
    <x v="0"/>
    <x v="12"/>
    <n v="23654"/>
    <n v="13010"/>
    <n v="1.8181398923904688"/>
    <s v="Ests from 2015 post-season draft 1.28.16"/>
  </r>
  <r>
    <x v="0"/>
    <x v="1"/>
    <x v="0"/>
    <x v="0"/>
    <n v="154.56486000000001"/>
    <n v="2387.1683969999999"/>
    <n v="6.4748201339396336E-2"/>
    <s v="MSF_Impacts DB"/>
  </r>
  <r>
    <x v="0"/>
    <x v="1"/>
    <x v="0"/>
    <x v="1"/>
    <n v="55.697553999999997"/>
    <n v="1592.9500379999999"/>
    <n v="3.4965035105514089E-2"/>
    <s v="MSF_Impacts DB"/>
  </r>
  <r>
    <x v="0"/>
    <x v="1"/>
    <x v="0"/>
    <x v="2"/>
    <n v="69.677045000000007"/>
    <n v="1254.1868019999999"/>
    <n v="5.5555555909924184E-2"/>
    <s v="MSF_Impacts DB"/>
  </r>
  <r>
    <x v="0"/>
    <x v="1"/>
    <x v="0"/>
    <x v="3"/>
    <n v="0"/>
    <n v="882.31599400000005"/>
    <n v="0"/>
    <s v="MSF_Impacts DB"/>
  </r>
  <r>
    <x v="0"/>
    <x v="1"/>
    <x v="1"/>
    <x v="4"/>
    <n v="16.435693000000001"/>
    <n v="1232.6770059999999"/>
    <n v="1.333333299801976E-2"/>
    <s v="MSF_Impacts DB"/>
  </r>
  <r>
    <x v="0"/>
    <x v="1"/>
    <x v="1"/>
    <x v="5"/>
    <n v="15.195702802193701"/>
    <n v="995.31853354368604"/>
    <n v="1.5267175572519104E-2"/>
    <s v="CRC for Enc Ests"/>
  </r>
  <r>
    <x v="0"/>
    <x v="1"/>
    <x v="1"/>
    <x v="6"/>
    <n v="504.80641723870599"/>
    <n v="3900.7768604809198"/>
    <n v="0.12941176470588203"/>
    <s v="CRC for Enc Ests"/>
  </r>
  <r>
    <x v="0"/>
    <x v="1"/>
    <x v="1"/>
    <x v="7"/>
    <n v="71.622160202044995"/>
    <n v="2148.6648060613529"/>
    <n v="3.3333333333333284E-2"/>
    <s v="CRC for Enc Ests"/>
  </r>
  <r>
    <x v="0"/>
    <x v="1"/>
    <x v="1"/>
    <x v="8"/>
    <n v="1256.1933649577329"/>
    <n v="5433.7666484218198"/>
    <n v="0.2311827956989248"/>
    <s v="CRC for Enc Ests"/>
  </r>
  <r>
    <x v="0"/>
    <x v="1"/>
    <x v="1"/>
    <x v="9"/>
    <n v="2249.2536103688399"/>
    <n v="8113.3790945447299"/>
    <n v="0.2772277227722777"/>
    <s v="CRC for Enc Ests"/>
  </r>
  <r>
    <x v="0"/>
    <x v="1"/>
    <x v="1"/>
    <x v="10"/>
    <s v="See Comment"/>
    <m/>
    <n v="0.58578431372549022"/>
    <s v="Reported VTR"/>
  </r>
  <r>
    <x v="0"/>
    <x v="1"/>
    <x v="0"/>
    <x v="11"/>
    <s v="See Comment"/>
    <m/>
    <n v="0.17733990147783252"/>
    <s v="Reported VTR"/>
  </r>
  <r>
    <x v="0"/>
    <x v="1"/>
    <x v="0"/>
    <x v="12"/>
    <s v="NOT YET AVAILABLE"/>
    <m/>
    <n v="0.73287671232876717"/>
    <s v="VTR from 2015 post-season draft 1.28.16"/>
  </r>
  <r>
    <x v="0"/>
    <x v="2"/>
    <x v="1"/>
    <x v="4"/>
    <n v="1767.9"/>
    <n v="6929.2"/>
    <n v="0.25513767823125327"/>
    <s v="MSF_Impacts DB"/>
  </r>
  <r>
    <x v="0"/>
    <x v="2"/>
    <x v="1"/>
    <x v="5"/>
    <n v="7047.4"/>
    <n v="6241.7"/>
    <n v="1.1290834227854591"/>
    <s v="MSF_Impacts DB"/>
  </r>
  <r>
    <x v="0"/>
    <x v="2"/>
    <x v="1"/>
    <x v="6"/>
    <n v="11301.4"/>
    <n v="4843.5"/>
    <n v="2.3333126871064311"/>
    <s v="MSF_Impacts DB"/>
  </r>
  <r>
    <x v="0"/>
    <x v="2"/>
    <x v="1"/>
    <x v="7"/>
    <n v="1016.5"/>
    <n v="8202.2000000000007"/>
    <n v="0.12393016507766208"/>
    <s v="MSF_Impacts DB"/>
  </r>
  <r>
    <x v="0"/>
    <x v="2"/>
    <x v="1"/>
    <x v="8"/>
    <n v="3318.6"/>
    <n v="3802.1"/>
    <n v="0.87283343415480918"/>
    <s v="MSF_Impacts DB"/>
  </r>
  <r>
    <x v="0"/>
    <x v="2"/>
    <x v="1"/>
    <x v="9"/>
    <n v="9992.4"/>
    <n v="10373.799999999999"/>
    <n v="0.96323430179876235"/>
    <s v="MSF_Impacts DB"/>
  </r>
  <r>
    <x v="0"/>
    <x v="2"/>
    <x v="1"/>
    <x v="10"/>
    <n v="2185.6"/>
    <n v="6555.9"/>
    <n v="0.33337909364084262"/>
    <s v="MSF_Impacts DB"/>
  </r>
  <r>
    <x v="0"/>
    <x v="2"/>
    <x v="0"/>
    <x v="11"/>
    <n v="1047.9000000000001"/>
    <n v="3966.9"/>
    <n v="0.26416093170989946"/>
    <s v="MSF_Impacts DB"/>
  </r>
  <r>
    <x v="0"/>
    <x v="2"/>
    <x v="0"/>
    <x v="12"/>
    <s v="NOT YET AVAILABLE"/>
    <m/>
    <n v="1.2972972972972974"/>
    <s v="Test fishing data"/>
  </r>
  <r>
    <x v="0"/>
    <x v="3"/>
    <x v="1"/>
    <x v="4"/>
    <n v="3901.6"/>
    <n v="2205.8000000000002"/>
    <n v="1.7687913682110796"/>
    <s v="MSF_Impacts DB"/>
  </r>
  <r>
    <x v="0"/>
    <x v="3"/>
    <x v="1"/>
    <x v="5"/>
    <n v="577.4"/>
    <n v="1667.6"/>
    <n v="0.34624610218277763"/>
    <s v="MSF_Impacts DB"/>
  </r>
  <r>
    <x v="0"/>
    <x v="3"/>
    <x v="1"/>
    <x v="6"/>
    <n v="3659.1"/>
    <n v="1829.6"/>
    <n v="1.999945343244425"/>
    <s v="MSF_Impacts DB"/>
  </r>
  <r>
    <x v="0"/>
    <x v="3"/>
    <x v="1"/>
    <x v="7"/>
    <n v="2736.5"/>
    <n v="4440.3"/>
    <n v="0.61628718780262592"/>
    <s v="MSF_Impacts DB"/>
  </r>
  <r>
    <x v="0"/>
    <x v="3"/>
    <x v="1"/>
    <x v="8"/>
    <n v="1766.3"/>
    <n v="4806.8999999999996"/>
    <n v="0.36745095591753524"/>
    <s v="MSF_Impacts DB"/>
  </r>
  <r>
    <x v="0"/>
    <x v="3"/>
    <x v="1"/>
    <x v="9"/>
    <n v="8398.6"/>
    <n v="3813"/>
    <n v="2.20262260687123"/>
    <s v="MSF_Impacts DB"/>
  </r>
  <r>
    <x v="0"/>
    <x v="3"/>
    <x v="1"/>
    <x v="10"/>
    <n v="3846.2"/>
    <n v="4250.8"/>
    <n v="0.90481791662745825"/>
    <s v="MSF_Impacts DB"/>
  </r>
  <r>
    <x v="0"/>
    <x v="3"/>
    <x v="0"/>
    <x v="11"/>
    <n v="1955.3"/>
    <n v="1547.9"/>
    <n v="1.2631952968538018"/>
    <s v="MSF_Impacts DB"/>
  </r>
  <r>
    <x v="0"/>
    <x v="3"/>
    <x v="0"/>
    <x v="12"/>
    <s v="No Fishery"/>
    <m/>
    <n v="1.0769230769230769"/>
    <s v="Test fishing data"/>
  </r>
  <r>
    <x v="0"/>
    <x v="4"/>
    <x v="1"/>
    <x v="4"/>
    <n v="10765.3"/>
    <n v="14793.1"/>
    <n v="0.72772441205697247"/>
    <s v="MSF_Impacts DB"/>
  </r>
  <r>
    <x v="0"/>
    <x v="4"/>
    <x v="1"/>
    <x v="5"/>
    <n v="2321.4"/>
    <n v="10381.9"/>
    <n v="0.22360068966181529"/>
    <s v="MSF_Impacts DB"/>
  </r>
  <r>
    <x v="0"/>
    <x v="4"/>
    <x v="1"/>
    <x v="6"/>
    <n v="7265.4"/>
    <n v="4914.3"/>
    <n v="1.4784201208717416"/>
    <s v="MSF_Impacts DB"/>
  </r>
  <r>
    <x v="0"/>
    <x v="4"/>
    <x v="1"/>
    <x v="7"/>
    <n v="1332.2"/>
    <n v="5634.8"/>
    <n v="0.23642365301341661"/>
    <s v="MSF_Impacts DB"/>
  </r>
  <r>
    <x v="0"/>
    <x v="4"/>
    <x v="1"/>
    <x v="8"/>
    <n v="3710.3"/>
    <n v="5229.5"/>
    <n v="0.70949421550817482"/>
    <s v="MSF_Impacts DB"/>
  </r>
  <r>
    <x v="0"/>
    <x v="4"/>
    <x v="1"/>
    <x v="9"/>
    <n v="3893.2"/>
    <n v="8347.2000000000007"/>
    <n v="0.46640789725896104"/>
    <s v="MSF_Impacts DB"/>
  </r>
  <r>
    <x v="0"/>
    <x v="4"/>
    <x v="1"/>
    <x v="10"/>
    <n v="1937.5"/>
    <n v="4836.8999999999996"/>
    <n v="0.40056647852963678"/>
    <s v="MSF_Impacts DB"/>
  </r>
  <r>
    <x v="0"/>
    <x v="4"/>
    <x v="0"/>
    <x v="11"/>
    <n v="3014.2"/>
    <n v="4952"/>
    <n v="0.60868336025848135"/>
    <s v="MSF_Impacts DB"/>
  </r>
  <r>
    <x v="0"/>
    <x v="4"/>
    <x v="0"/>
    <x v="12"/>
    <n v="4134"/>
    <n v="2421"/>
    <n v="1.7075588599752169"/>
    <s v="Ests from 2015 post-season draft 1.28.16"/>
  </r>
  <r>
    <x v="0"/>
    <x v="5"/>
    <x v="1"/>
    <x v="4"/>
    <n v="3104"/>
    <n v="5518"/>
    <n v="0.5625226531351939"/>
    <s v="CRC for Enc Ests"/>
  </r>
  <r>
    <x v="0"/>
    <x v="5"/>
    <x v="1"/>
    <x v="5"/>
    <n v="344"/>
    <n v="1722"/>
    <n v="0.19976771196283391"/>
    <s v="CRC for Enc Ests"/>
  </r>
  <r>
    <x v="0"/>
    <x v="5"/>
    <x v="1"/>
    <x v="6"/>
    <n v="1619"/>
    <n v="2506"/>
    <n v="0.64604948124501194"/>
    <s v="CRC for Enc Ests"/>
  </r>
  <r>
    <x v="0"/>
    <x v="5"/>
    <x v="1"/>
    <x v="7"/>
    <n v="141"/>
    <n v="849"/>
    <n v="0.16607773851590105"/>
    <s v="CRC for Enc Ests"/>
  </r>
  <r>
    <x v="0"/>
    <x v="5"/>
    <x v="1"/>
    <x v="8"/>
    <n v="314"/>
    <n v="1547"/>
    <n v="0.20297349709114415"/>
    <s v="CRC for Enc Ests"/>
  </r>
  <r>
    <x v="0"/>
    <x v="5"/>
    <x v="1"/>
    <x v="9"/>
    <n v="962"/>
    <n v="1565"/>
    <n v="0.61469648562300316"/>
    <s v="CRC for Enc Ests"/>
  </r>
  <r>
    <x v="0"/>
    <x v="5"/>
    <x v="1"/>
    <x v="10"/>
    <n v="358"/>
    <n v="1979"/>
    <n v="0.18089944416371906"/>
    <s v="CRC for Enc Ests"/>
  </r>
  <r>
    <x v="0"/>
    <x v="5"/>
    <x v="0"/>
    <x v="11"/>
    <n v="1"/>
    <n v="16"/>
    <n v="6.25E-2"/>
    <s v="VTR"/>
  </r>
  <r>
    <x v="0"/>
    <x v="5"/>
    <x v="0"/>
    <x v="12"/>
    <n v="6"/>
    <n v="19"/>
    <n v="0.31578947368421051"/>
    <s v="VTR from 2015 post-season draft 1.28.16"/>
  </r>
  <r>
    <x v="1"/>
    <x v="1"/>
    <x v="1"/>
    <x v="13"/>
    <n v="464.2"/>
    <n v="2009.9"/>
    <n v="0.23095676401811033"/>
    <s v="MSF_Impacts DB"/>
  </r>
  <r>
    <x v="1"/>
    <x v="1"/>
    <x v="1"/>
    <x v="14"/>
    <n v="978.4"/>
    <n v="2818.4"/>
    <n v="0.34714731762702239"/>
    <s v="MSF_Impacts DB"/>
  </r>
  <r>
    <x v="1"/>
    <x v="1"/>
    <x v="1"/>
    <x v="15"/>
    <n v="1392.4"/>
    <n v="2966"/>
    <n v="0.46945380984490898"/>
    <s v="MSF_Impacts DB"/>
  </r>
  <r>
    <x v="1"/>
    <x v="1"/>
    <x v="1"/>
    <x v="16"/>
    <s v="NOT YET AVAILABLE"/>
    <m/>
    <n v="4.4000000000000004"/>
    <m/>
  </r>
  <r>
    <x v="1"/>
    <x v="6"/>
    <x v="1"/>
    <x v="17"/>
    <n v="422.8"/>
    <n v="2544.1999999999998"/>
    <n v="0.16618190393836965"/>
    <s v="MSF_Impacts DB"/>
  </r>
  <r>
    <x v="1"/>
    <x v="6"/>
    <x v="1"/>
    <x v="18"/>
    <n v="179.3"/>
    <n v="2455.9"/>
    <n v="7.3007858626165559E-2"/>
    <s v="MSF_Impacts DB"/>
  </r>
  <r>
    <x v="1"/>
    <x v="6"/>
    <x v="1"/>
    <x v="19"/>
    <n v="243.5"/>
    <n v="2296.9"/>
    <n v="0.10601245156515303"/>
    <s v="MSF_Impacts DB"/>
  </r>
  <r>
    <x v="1"/>
    <x v="6"/>
    <x v="1"/>
    <x v="20"/>
    <n v="1066.5999999999999"/>
    <n v="4733"/>
    <n v="0.22535389816184237"/>
    <s v="MSF_Impacts DB"/>
  </r>
  <r>
    <x v="1"/>
    <x v="6"/>
    <x v="1"/>
    <x v="21"/>
    <n v="2666.8"/>
    <n v="4158.3999999999996"/>
    <n v="0.64130434782608703"/>
    <s v="MSF_Impacts DB"/>
  </r>
  <r>
    <x v="1"/>
    <x v="6"/>
    <x v="1"/>
    <x v="13"/>
    <n v="1255.4000000000001"/>
    <n v="5354"/>
    <n v="0.23447889428464702"/>
    <s v="MSF_Impacts DB"/>
  </r>
  <r>
    <x v="1"/>
    <x v="6"/>
    <x v="1"/>
    <x v="14"/>
    <n v="1519.6"/>
    <n v="5462.3"/>
    <n v="0.2781978287534555"/>
    <s v="MSF_Impacts DB"/>
  </r>
  <r>
    <x v="1"/>
    <x v="6"/>
    <x v="0"/>
    <x v="15"/>
    <n v="4980.5"/>
    <n v="5011.8999999999996"/>
    <n v="0.99373491091202948"/>
    <s v="MSF_Impacts DB"/>
  </r>
  <r>
    <x v="1"/>
    <x v="6"/>
    <x v="0"/>
    <x v="16"/>
    <s v="NOT YET AVAILABLE"/>
    <m/>
    <n v="2.1904761904761907"/>
    <m/>
  </r>
  <r>
    <x v="1"/>
    <x v="7"/>
    <x v="0"/>
    <x v="22"/>
    <n v="3994.8"/>
    <n v="2034.9"/>
    <n v="1.9631431519976412"/>
    <s v="MSF_Impacts DB"/>
  </r>
  <r>
    <x v="1"/>
    <x v="7"/>
    <x v="0"/>
    <x v="23"/>
    <n v="18326.5"/>
    <n v="1525.1"/>
    <n v="12.016589076126156"/>
    <s v="MSF_Impacts DB"/>
  </r>
  <r>
    <x v="1"/>
    <x v="7"/>
    <x v="1"/>
    <x v="17"/>
    <n v="3281"/>
    <n v="2146.8000000000002"/>
    <n v="1.5283212222843301"/>
    <s v="MSF_Impacts DB"/>
  </r>
  <r>
    <x v="1"/>
    <x v="7"/>
    <x v="1"/>
    <x v="18"/>
    <n v="4412.2"/>
    <n v="1117.5"/>
    <n v="3.9482774049217002"/>
    <s v="MSF_Impacts DB"/>
  </r>
  <r>
    <x v="1"/>
    <x v="7"/>
    <x v="1"/>
    <x v="19"/>
    <n v="2615.3000000000002"/>
    <n v="1452.9"/>
    <n v="1.8000550622892146"/>
    <s v="MSF_Impacts DB"/>
  </r>
  <r>
    <x v="1"/>
    <x v="7"/>
    <x v="1"/>
    <x v="20"/>
    <n v="385.6"/>
    <n v="265.2"/>
    <n v="1.4539969834087483"/>
    <s v="MSF_Impacts DB"/>
  </r>
  <r>
    <x v="1"/>
    <x v="7"/>
    <x v="1"/>
    <x v="21"/>
    <n v="3567.9"/>
    <n v="1263.5999999999999"/>
    <n v="2.8235992402659074"/>
    <s v="MSF_Impacts DB"/>
  </r>
  <r>
    <x v="1"/>
    <x v="7"/>
    <x v="1"/>
    <x v="13"/>
    <n v="4132.8999999999996"/>
    <n v="929.9"/>
    <n v="4.4444563931605545"/>
    <s v="MSF_Impacts DB"/>
  </r>
  <r>
    <x v="1"/>
    <x v="7"/>
    <x v="1"/>
    <x v="14"/>
    <n v="528.5"/>
    <n v="697"/>
    <n v="0.75824964131994266"/>
    <s v="MSF_Impacts DB"/>
  </r>
  <r>
    <x v="1"/>
    <x v="7"/>
    <x v="0"/>
    <x v="15"/>
    <n v="2396.5"/>
    <n v="463.8"/>
    <n v="5.1670978870202671"/>
    <s v="MSF_Impacts DB"/>
  </r>
  <r>
    <x v="1"/>
    <x v="7"/>
    <x v="0"/>
    <x v="16"/>
    <s v="NOT YET AVAILABLE"/>
    <m/>
    <n v="8.5555555555555554"/>
    <m/>
  </r>
  <r>
    <x v="1"/>
    <x v="2"/>
    <x v="1"/>
    <x v="17"/>
    <n v="1736.3"/>
    <n v="1835.8"/>
    <n v="0.94580019609979304"/>
    <s v="MSF_Impacts DB"/>
  </r>
  <r>
    <x v="1"/>
    <x v="2"/>
    <x v="1"/>
    <x v="18"/>
    <n v="6427.1"/>
    <n v="1199.8"/>
    <n v="5.3568094682447081"/>
    <s v="MSF_Impacts DB"/>
  </r>
  <r>
    <x v="1"/>
    <x v="2"/>
    <x v="1"/>
    <x v="19"/>
    <n v="2906.1"/>
    <n v="2050.1"/>
    <n v="1.4175406077752304"/>
    <s v="MSF_Impacts DB"/>
  </r>
  <r>
    <x v="1"/>
    <x v="2"/>
    <x v="1"/>
    <x v="20"/>
    <n v="1019.2"/>
    <n v="624"/>
    <n v="1.6333333333333333"/>
    <s v="MSF_Impacts DB"/>
  </r>
  <r>
    <x v="1"/>
    <x v="2"/>
    <x v="1"/>
    <x v="21"/>
    <n v="2017.8"/>
    <n v="624.29999999999995"/>
    <n v="3.2320999519461799"/>
    <s v="MSF_Impacts DB"/>
  </r>
  <r>
    <x v="1"/>
    <x v="2"/>
    <x v="1"/>
    <x v="13"/>
    <n v="3652.3"/>
    <n v="2197"/>
    <n v="1.6624032771961768"/>
    <s v="MSF_Impacts DB"/>
  </r>
  <r>
    <x v="1"/>
    <x v="2"/>
    <x v="1"/>
    <x v="14"/>
    <n v="3151.5"/>
    <n v="3069.3"/>
    <n v="1.0267813507965986"/>
    <s v="MSF_Impacts DB"/>
  </r>
  <r>
    <x v="1"/>
    <x v="2"/>
    <x v="0"/>
    <x v="15"/>
    <n v="3278.8"/>
    <n v="2148.1999999999998"/>
    <n v="1.5263010892840521"/>
    <s v="MSF_Impacts DB"/>
  </r>
  <r>
    <x v="1"/>
    <x v="2"/>
    <x v="0"/>
    <x v="16"/>
    <s v="NOT YET AVAILABLE"/>
    <m/>
    <n v="8.6666666666666661"/>
    <m/>
  </r>
  <r>
    <x v="1"/>
    <x v="3"/>
    <x v="1"/>
    <x v="17"/>
    <n v="2318.9"/>
    <n v="804.1"/>
    <n v="2.8838452928740206"/>
    <s v="MSF_Impacts DB"/>
  </r>
  <r>
    <x v="1"/>
    <x v="3"/>
    <x v="1"/>
    <x v="18"/>
    <n v="1496.2"/>
    <n v="324.5"/>
    <n v="4.6107858243451467"/>
    <s v="MSF_Impacts DB"/>
  </r>
  <r>
    <x v="1"/>
    <x v="3"/>
    <x v="1"/>
    <x v="19"/>
    <n v="3473.1"/>
    <n v="492.1"/>
    <n v="7.0577118471855309"/>
    <s v="MSF_Impacts DB"/>
  </r>
  <r>
    <x v="1"/>
    <x v="3"/>
    <x v="1"/>
    <x v="20"/>
    <n v="1593.9"/>
    <n v="235.8"/>
    <n v="6.7595419847328246"/>
    <s v="MSF_Impacts DB"/>
  </r>
  <r>
    <x v="1"/>
    <x v="3"/>
    <x v="1"/>
    <x v="21"/>
    <n v="4125.1000000000004"/>
    <n v="447.9"/>
    <n v="9.2098682741683433"/>
    <s v="MSF_Impacts DB"/>
  </r>
  <r>
    <x v="1"/>
    <x v="3"/>
    <x v="1"/>
    <x v="13"/>
    <n v="1731.8"/>
    <n v="165.2"/>
    <n v="10.483050847457628"/>
    <s v="MSF_Impacts DB"/>
  </r>
  <r>
    <x v="1"/>
    <x v="3"/>
    <x v="1"/>
    <x v="14"/>
    <n v="2460.8000000000002"/>
    <n v="503.3"/>
    <n v="4.8888888888888928"/>
    <s v="MSF_Impacts DB"/>
  </r>
  <r>
    <x v="1"/>
    <x v="3"/>
    <x v="0"/>
    <x v="15"/>
    <n v="1914.3"/>
    <n v="683.7"/>
    <n v="2.8159999999999998"/>
    <s v="MSF_Impacts DB"/>
  </r>
  <r>
    <x v="1"/>
    <x v="3"/>
    <x v="0"/>
    <x v="16"/>
    <s v="NOT YET AVAILABLE"/>
    <m/>
    <n v="16.833333333333332"/>
    <m/>
  </r>
  <r>
    <x v="1"/>
    <x v="4"/>
    <x v="1"/>
    <x v="19"/>
    <n v="138.80000000000001"/>
    <n v="459"/>
    <n v="0.30239651416122004"/>
    <s v="MSF_Impacts DB"/>
  </r>
  <r>
    <x v="1"/>
    <x v="4"/>
    <x v="1"/>
    <x v="20"/>
    <n v="571.4"/>
    <n v="180.4"/>
    <n v="3.1674057649667402"/>
    <s v="MSF_Impacts DB"/>
  </r>
  <r>
    <x v="1"/>
    <x v="4"/>
    <x v="1"/>
    <x v="21"/>
    <n v="816"/>
    <n v="337.2"/>
    <n v="2.419928825622776"/>
    <s v="MSF_Impacts DB"/>
  </r>
  <r>
    <x v="1"/>
    <x v="4"/>
    <x v="1"/>
    <x v="13"/>
    <n v="295"/>
    <n v="218.3"/>
    <n v="1.3513513513513518"/>
    <s v="MSF_Impacts DB"/>
  </r>
  <r>
    <x v="1"/>
    <x v="4"/>
    <x v="1"/>
    <x v="14"/>
    <n v="70.099999999999994"/>
    <n v="169.4"/>
    <n v="0.41379310344827264"/>
    <s v="MSF_Impacts DB"/>
  </r>
  <r>
    <x v="1"/>
    <x v="4"/>
    <x v="0"/>
    <x v="15"/>
    <s v="See Comment"/>
    <m/>
    <n v="1.92"/>
    <s v="Reported VTR"/>
  </r>
  <r>
    <x v="1"/>
    <x v="4"/>
    <x v="0"/>
    <x v="16"/>
    <s v="NOT YET AVAILABLE"/>
    <m/>
    <n v="8.8571428571428577"/>
    <m/>
  </r>
  <r>
    <x v="1"/>
    <x v="8"/>
    <x v="1"/>
    <x v="19"/>
    <n v="321"/>
    <n v="498"/>
    <n v="0.64457831325301207"/>
    <s v="CRC for Enc Ests"/>
  </r>
  <r>
    <x v="1"/>
    <x v="8"/>
    <x v="1"/>
    <x v="20"/>
    <n v="454"/>
    <n v="830"/>
    <n v="0.54698795180722892"/>
    <s v="CRC for Enc Ests"/>
  </r>
  <r>
    <x v="1"/>
    <x v="8"/>
    <x v="1"/>
    <x v="21"/>
    <n v="968"/>
    <n v="856"/>
    <n v="1.1308411214953271"/>
    <s v="CRC for Enc Ests"/>
  </r>
  <r>
    <x v="1"/>
    <x v="8"/>
    <x v="1"/>
    <x v="13"/>
    <n v="1222"/>
    <n v="848"/>
    <n v="1.4410377358490567"/>
    <s v="CRC for Enc Ests"/>
  </r>
  <r>
    <x v="1"/>
    <x v="8"/>
    <x v="1"/>
    <x v="14"/>
    <n v="49"/>
    <n v="301"/>
    <n v="0.16279069767441862"/>
    <s v="CRC for Enc Es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7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7:J41" firstHeaderRow="1" firstDataRow="2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argetRatio" fld="3" subtotal="average" baseField="0" baseItem="6"/>
  </dataFields>
  <formats count="4">
    <format dxfId="36">
      <pivotArea outline="0" collapsedLevelsAreSubtotals="1" fieldPosition="0">
        <references count="1">
          <reference field="2" count="0" selected="0"/>
        </references>
      </pivotArea>
    </format>
    <format dxfId="35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3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K24:P39" firstHeaderRow="1" firstDataRow="2" firstDataCol="2" rowPageCount="1" colPageCount="1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10">
        <item x="0"/>
        <item x="1"/>
        <item x="6"/>
        <item x="7"/>
        <item x="2"/>
        <item x="3"/>
        <item x="4"/>
        <item x="5"/>
        <item x="8"/>
        <item t="default"/>
      </items>
    </pivotField>
    <pivotField axis="axisPage" compact="0" outline="0" multipleItemSelectionAllowed="1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2">
    <field x="0"/>
    <field x="1"/>
  </rowFields>
  <rowItems count="14">
    <i>
      <x/>
      <x/>
    </i>
    <i r="1">
      <x v="1"/>
    </i>
    <i r="1">
      <x v="4"/>
    </i>
    <i r="1">
      <x v="5"/>
    </i>
    <i r="1">
      <x v="6"/>
    </i>
    <i r="1">
      <x v="7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Slratio" fld="6" subtotal="average" baseField="1" baseItem="1"/>
    <dataField name="Min of Slratio" fld="6" subtotal="min" baseField="1" baseItem="0"/>
    <dataField name="Max of Slratio" fld="6" subtotal="max" baseField="1" baseItem="0"/>
    <dataField name="Count of Slratio" fld="6" subtotal="count" baseField="1" baseItem="1"/>
  </dataFields>
  <formats count="6">
    <format dxfId="31">
      <pivotArea outline="0" collapsedLevelsAreSubtotals="1" fieldPosition="0">
        <references count="3">
          <reference field="4294967294" count="3" selected="0">
            <x v="0"/>
            <x v="1"/>
            <x v="2"/>
          </reference>
          <reference field="0" count="0" selected="0"/>
          <reference field="1" count="0" selected="0"/>
        </references>
      </pivotArea>
    </format>
    <format dxfId="30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5" selected="0">
            <x v="0"/>
            <x v="1"/>
            <x v="4"/>
            <x v="5"/>
            <x v="6"/>
          </reference>
        </references>
      </pivotArea>
    </format>
    <format dxfId="29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8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format>
    <format dxfId="27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format>
    <format dxfId="26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7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K4:P19" firstHeaderRow="1" firstDataRow="2" firstDataCol="2" rowPageCount="1" colPageCount="1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10">
        <item x="0"/>
        <item x="1"/>
        <item x="6"/>
        <item x="7"/>
        <item x="2"/>
        <item x="3"/>
        <item x="4"/>
        <item x="5"/>
        <item x="8"/>
        <item t="default"/>
      </items>
    </pivotField>
    <pivotField compact="0" outline="0" showAll="0" defaultSubtotal="0"/>
    <pivotField axis="axisPage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2">
    <field x="0"/>
    <field x="1"/>
  </rowFields>
  <rowItems count="14">
    <i>
      <x/>
      <x/>
    </i>
    <i r="1">
      <x v="1"/>
    </i>
    <i r="1">
      <x v="4"/>
    </i>
    <i r="1">
      <x v="5"/>
    </i>
    <i r="1">
      <x v="6"/>
    </i>
    <i r="1">
      <x v="7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Slratio" fld="6" subtotal="average" baseField="1" baseItem="1"/>
    <dataField name="Min of Slratio" fld="6" subtotal="min" baseField="1" baseItem="0"/>
    <dataField name="Max of Slratio" fld="6" subtotal="max" baseField="1" baseItem="0"/>
    <dataField name="Count of Slratio" fld="6" subtotal="count" baseField="1" baseItem="1"/>
  </dataFields>
  <formats count="1">
    <format dxfId="32">
      <pivotArea outline="0" collapsedLevelsAreSubtotals="1" fieldPosition="0">
        <references count="3">
          <reference field="4294967294" count="3" selected="0">
            <x v="0"/>
            <x v="1"/>
            <x v="2"/>
          </reference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7" cacheId="1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O3:AU12" firstHeaderRow="1" firstDataRow="3" firstDataCol="1"/>
  <pivotFields count="8"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2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n enc2" fld="5" subtotal="count" baseField="0" baseItem="0"/>
    <dataField name="Sum of n en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1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3:AM12" firstHeaderRow="1" firstDataRow="3" firstDataCol="1"/>
  <pivotFields count="8"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Count of SL ratio" fld="7" subtotal="count" baseField="0" baseItem="0"/>
    <dataField name="Min of SL ratio2" fld="7" subtotal="min" baseField="0" baseItem="0"/>
    <dataField name="Max of SL ratio3" fld="7" subtotal="max" baseField="0" baseItem="0"/>
    <dataField name="Average of SL ratio4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14"/>
  <sheetViews>
    <sheetView workbookViewId="0">
      <selection activeCell="C27" sqref="C27"/>
    </sheetView>
  </sheetViews>
  <sheetFormatPr defaultRowHeight="14.4" x14ac:dyDescent="0.3"/>
  <cols>
    <col min="1" max="1" width="9.109375" style="279"/>
    <col min="3" max="3" width="156.33203125" customWidth="1"/>
  </cols>
  <sheetData>
    <row r="1" spans="1:3" ht="15" thickBot="1" x14ac:dyDescent="0.35">
      <c r="A1" s="316" t="s">
        <v>416</v>
      </c>
      <c r="B1" s="87" t="s">
        <v>417</v>
      </c>
      <c r="C1" s="87" t="s">
        <v>418</v>
      </c>
    </row>
    <row r="2" spans="1:3" x14ac:dyDescent="0.3">
      <c r="A2" s="317">
        <v>42339</v>
      </c>
      <c r="B2" t="s">
        <v>419</v>
      </c>
      <c r="C2" t="s">
        <v>420</v>
      </c>
    </row>
    <row r="3" spans="1:3" x14ac:dyDescent="0.3">
      <c r="C3" t="s">
        <v>421</v>
      </c>
    </row>
    <row r="8" spans="1:3" x14ac:dyDescent="0.3">
      <c r="A8" s="317">
        <v>42370</v>
      </c>
      <c r="B8" t="s">
        <v>419</v>
      </c>
      <c r="C8" t="s">
        <v>422</v>
      </c>
    </row>
    <row r="9" spans="1:3" x14ac:dyDescent="0.3">
      <c r="C9" t="s">
        <v>438</v>
      </c>
    </row>
    <row r="10" spans="1:3" x14ac:dyDescent="0.3">
      <c r="C10" t="s">
        <v>474</v>
      </c>
    </row>
    <row r="11" spans="1:3" x14ac:dyDescent="0.3">
      <c r="C11" t="s">
        <v>456</v>
      </c>
    </row>
    <row r="12" spans="1:3" x14ac:dyDescent="0.3">
      <c r="C12" t="s">
        <v>457</v>
      </c>
    </row>
    <row r="13" spans="1:3" x14ac:dyDescent="0.3">
      <c r="C13" t="s">
        <v>458</v>
      </c>
    </row>
    <row r="14" spans="1:3" x14ac:dyDescent="0.3">
      <c r="C14" s="125" t="s">
        <v>459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V129"/>
  <sheetViews>
    <sheetView topLeftCell="A97" workbookViewId="0">
      <selection activeCell="L100" sqref="L100"/>
    </sheetView>
  </sheetViews>
  <sheetFormatPr defaultRowHeight="14.4" x14ac:dyDescent="0.3"/>
  <cols>
    <col min="3" max="3" width="14.109375" customWidth="1"/>
    <col min="4" max="4" width="12.88671875" bestFit="1" customWidth="1"/>
    <col min="5" max="5" width="17" bestFit="1" customWidth="1"/>
    <col min="9" max="9" width="7.6640625" bestFit="1" customWidth="1"/>
    <col min="10" max="11" width="7.6640625" style="3" bestFit="1" customWidth="1"/>
    <col min="12" max="12" width="12" style="30" bestFit="1" customWidth="1"/>
    <col min="13" max="13" width="5.44140625" bestFit="1" customWidth="1"/>
    <col min="14" max="14" width="9.33203125" bestFit="1" customWidth="1"/>
    <col min="15" max="15" width="7.6640625" bestFit="1" customWidth="1"/>
    <col min="16" max="16" width="12" customWidth="1"/>
    <col min="20" max="20" width="19.6640625" bestFit="1" customWidth="1"/>
    <col min="21" max="21" width="23.88671875" bestFit="1" customWidth="1"/>
    <col min="27" max="27" width="13.109375" customWidth="1"/>
    <col min="28" max="28" width="16.33203125" bestFit="1" customWidth="1"/>
    <col min="29" max="29" width="14.88671875" customWidth="1"/>
    <col min="30" max="30" width="15.109375" bestFit="1" customWidth="1"/>
    <col min="31" max="31" width="18.6640625" customWidth="1"/>
    <col min="32" max="32" width="15.5546875" customWidth="1"/>
    <col min="33" max="33" width="14.88671875" customWidth="1"/>
    <col min="34" max="34" width="15.109375" customWidth="1"/>
    <col min="35" max="35" width="18.6640625" customWidth="1"/>
    <col min="36" max="36" width="20.5546875" customWidth="1"/>
    <col min="37" max="37" width="19.88671875" customWidth="1"/>
    <col min="38" max="38" width="20.109375" bestFit="1" customWidth="1"/>
    <col min="39" max="39" width="23.6640625" bestFit="1" customWidth="1"/>
    <col min="41" max="41" width="13.109375" customWidth="1"/>
    <col min="42" max="42" width="16.33203125" bestFit="1" customWidth="1"/>
    <col min="43" max="43" width="12.33203125" customWidth="1"/>
    <col min="44" max="44" width="14.88671875" customWidth="1"/>
    <col min="45" max="45" width="12.33203125" customWidth="1"/>
    <col min="46" max="46" width="19.88671875" customWidth="1"/>
    <col min="47" max="47" width="17.44140625" customWidth="1"/>
    <col min="48" max="48" width="19.88671875" bestFit="1" customWidth="1"/>
    <col min="49" max="49" width="20.109375" bestFit="1" customWidth="1"/>
    <col min="50" max="50" width="23.6640625" bestFit="1" customWidth="1"/>
  </cols>
  <sheetData>
    <row r="1" spans="1:47" x14ac:dyDescent="0.3">
      <c r="A1" t="s">
        <v>437</v>
      </c>
      <c r="Q1" t="s">
        <v>32</v>
      </c>
    </row>
    <row r="2" spans="1:47" x14ac:dyDescent="0.3">
      <c r="A2" s="10" t="s">
        <v>31</v>
      </c>
      <c r="B2" s="10" t="s">
        <v>30</v>
      </c>
      <c r="C2" s="10" t="s">
        <v>29</v>
      </c>
      <c r="D2" s="10" t="s">
        <v>403</v>
      </c>
      <c r="E2" s="10" t="s">
        <v>316</v>
      </c>
      <c r="F2" s="13" t="s">
        <v>26</v>
      </c>
      <c r="G2" s="13" t="s">
        <v>25</v>
      </c>
      <c r="H2" s="13" t="s">
        <v>24</v>
      </c>
      <c r="I2" s="15" t="s">
        <v>37</v>
      </c>
      <c r="J2" s="85" t="s">
        <v>38</v>
      </c>
      <c r="K2" s="85" t="s">
        <v>39</v>
      </c>
      <c r="L2" s="83" t="s">
        <v>33</v>
      </c>
      <c r="M2" s="15" t="s">
        <v>34</v>
      </c>
      <c r="N2" s="15" t="s">
        <v>35</v>
      </c>
      <c r="O2" s="15" t="s">
        <v>36</v>
      </c>
      <c r="Q2" s="10" t="s">
        <v>31</v>
      </c>
      <c r="R2" s="10" t="s">
        <v>30</v>
      </c>
      <c r="S2" s="10" t="s">
        <v>29</v>
      </c>
      <c r="T2" s="10" t="s">
        <v>28</v>
      </c>
      <c r="U2" s="10" t="s">
        <v>27</v>
      </c>
      <c r="V2" s="13" t="s">
        <v>26</v>
      </c>
      <c r="W2" s="13" t="s">
        <v>25</v>
      </c>
      <c r="X2" s="13" t="s">
        <v>24</v>
      </c>
    </row>
    <row r="3" spans="1:47" x14ac:dyDescent="0.3">
      <c r="A3" s="5">
        <v>5</v>
      </c>
      <c r="B3" s="5" t="s">
        <v>1</v>
      </c>
      <c r="C3" t="s">
        <v>404</v>
      </c>
      <c r="D3" s="4">
        <v>109</v>
      </c>
      <c r="E3" s="4">
        <v>345</v>
      </c>
      <c r="F3" s="4">
        <f t="shared" ref="F3:F12" si="0">E3+D3</f>
        <v>454</v>
      </c>
      <c r="G3" s="3">
        <f t="shared" ref="G3:G12" si="1">1-1/(H3+1)</f>
        <v>0.75991189427312777</v>
      </c>
      <c r="H3" s="113">
        <f t="shared" ref="H3:H12" si="2">E3/D3</f>
        <v>3.165137614678899</v>
      </c>
      <c r="I3" s="324">
        <f>COUNT(H9:H14)</f>
        <v>6</v>
      </c>
      <c r="J3" s="17">
        <f>MIN(H9:H14)</f>
        <v>1.0116279069767442</v>
      </c>
      <c r="K3" s="17">
        <f>MAX(H9:H14)</f>
        <v>5.6029411764705879</v>
      </c>
      <c r="L3" s="325">
        <f>AVERAGE(H8:H14)</f>
        <v>2.1848404323313404</v>
      </c>
      <c r="M3" s="16">
        <f>SUM(E9:E14)/SUM(D9:D14)</f>
        <v>2.307511737089202</v>
      </c>
      <c r="N3" s="84">
        <f>GEOMEAN(H9:H14)</f>
        <v>1.7817246014406019</v>
      </c>
      <c r="O3" s="16">
        <f>MEDIAN(H9:H14)</f>
        <v>1.2713414634146343</v>
      </c>
      <c r="P3" s="14"/>
      <c r="Q3" s="5">
        <v>7</v>
      </c>
      <c r="R3" s="5" t="s">
        <v>0</v>
      </c>
      <c r="S3">
        <v>2003</v>
      </c>
      <c r="T3" s="4">
        <v>298</v>
      </c>
      <c r="U3" s="4">
        <v>142</v>
      </c>
      <c r="V3" s="4">
        <f t="shared" ref="V3:V23" si="3">U3+T3</f>
        <v>440</v>
      </c>
      <c r="W3" s="3">
        <f t="shared" ref="W3:W23" si="4">1-1/(X3+1)</f>
        <v>0.32272727272727275</v>
      </c>
      <c r="X3" s="2">
        <f t="shared" ref="X3:X23" si="5">U3/T3</f>
        <v>0.47651006711409394</v>
      </c>
      <c r="AB3" s="12" t="s">
        <v>23</v>
      </c>
      <c r="AP3" s="12" t="s">
        <v>23</v>
      </c>
    </row>
    <row r="4" spans="1:47" x14ac:dyDescent="0.3">
      <c r="A4" s="5">
        <v>5</v>
      </c>
      <c r="B4" s="5" t="s">
        <v>1</v>
      </c>
      <c r="C4" t="s">
        <v>405</v>
      </c>
      <c r="D4" s="4">
        <v>82</v>
      </c>
      <c r="E4" s="4">
        <v>124</v>
      </c>
      <c r="F4" s="4">
        <f t="shared" si="0"/>
        <v>206</v>
      </c>
      <c r="G4" s="3">
        <f t="shared" si="1"/>
        <v>0.60194174757281549</v>
      </c>
      <c r="H4" s="113">
        <f t="shared" si="2"/>
        <v>1.5121951219512195</v>
      </c>
      <c r="I4" t="s">
        <v>428</v>
      </c>
      <c r="Q4" s="5"/>
      <c r="R4" s="5" t="s">
        <v>0</v>
      </c>
      <c r="S4">
        <v>2004</v>
      </c>
      <c r="T4" s="4">
        <v>112</v>
      </c>
      <c r="U4" s="4">
        <v>44</v>
      </c>
      <c r="V4" s="4">
        <f t="shared" si="3"/>
        <v>156</v>
      </c>
      <c r="W4" s="3">
        <f t="shared" si="4"/>
        <v>0.28205128205128205</v>
      </c>
      <c r="X4" s="2">
        <f t="shared" si="5"/>
        <v>0.39285714285714285</v>
      </c>
      <c r="AB4" t="s">
        <v>1</v>
      </c>
      <c r="AF4" t="s">
        <v>0</v>
      </c>
      <c r="AJ4" t="s">
        <v>22</v>
      </c>
      <c r="AK4" t="s">
        <v>21</v>
      </c>
      <c r="AL4" t="s">
        <v>20</v>
      </c>
      <c r="AM4" t="s">
        <v>19</v>
      </c>
      <c r="AP4" t="s">
        <v>1</v>
      </c>
      <c r="AR4" t="s">
        <v>0</v>
      </c>
      <c r="AT4" t="s">
        <v>18</v>
      </c>
      <c r="AU4" t="s">
        <v>17</v>
      </c>
    </row>
    <row r="5" spans="1:47" x14ac:dyDescent="0.3">
      <c r="A5" s="5">
        <v>5</v>
      </c>
      <c r="B5" s="5" t="s">
        <v>1</v>
      </c>
      <c r="C5" t="s">
        <v>406</v>
      </c>
      <c r="D5" s="4">
        <v>46</v>
      </c>
      <c r="E5" s="4">
        <v>137</v>
      </c>
      <c r="F5" s="4">
        <f t="shared" si="0"/>
        <v>183</v>
      </c>
      <c r="G5" s="3">
        <f t="shared" si="1"/>
        <v>0.74863387978142071</v>
      </c>
      <c r="H5" s="113">
        <f t="shared" si="2"/>
        <v>2.9782608695652173</v>
      </c>
      <c r="I5" t="s">
        <v>424</v>
      </c>
      <c r="Q5" s="5"/>
      <c r="R5" s="5" t="s">
        <v>0</v>
      </c>
      <c r="S5">
        <v>2005</v>
      </c>
      <c r="T5" s="4">
        <v>227</v>
      </c>
      <c r="U5" s="4">
        <v>167</v>
      </c>
      <c r="V5" s="4">
        <f t="shared" si="3"/>
        <v>394</v>
      </c>
      <c r="W5" s="3">
        <f t="shared" si="4"/>
        <v>0.42385786802030467</v>
      </c>
      <c r="X5" s="2">
        <f t="shared" si="5"/>
        <v>0.73568281938325997</v>
      </c>
      <c r="AA5" s="12" t="s">
        <v>11</v>
      </c>
      <c r="AB5" t="s">
        <v>16</v>
      </c>
      <c r="AC5" t="s">
        <v>15</v>
      </c>
      <c r="AD5" t="s">
        <v>14</v>
      </c>
      <c r="AE5" t="s">
        <v>13</v>
      </c>
      <c r="AF5" t="s">
        <v>16</v>
      </c>
      <c r="AG5" t="s">
        <v>15</v>
      </c>
      <c r="AH5" t="s">
        <v>14</v>
      </c>
      <c r="AI5" t="s">
        <v>13</v>
      </c>
      <c r="AO5" s="12" t="s">
        <v>11</v>
      </c>
      <c r="AP5" t="s">
        <v>10</v>
      </c>
      <c r="AQ5" t="s">
        <v>9</v>
      </c>
      <c r="AR5" t="s">
        <v>10</v>
      </c>
      <c r="AS5" t="s">
        <v>9</v>
      </c>
    </row>
    <row r="6" spans="1:47" x14ac:dyDescent="0.3">
      <c r="A6" s="5">
        <v>5</v>
      </c>
      <c r="B6" s="5" t="s">
        <v>1</v>
      </c>
      <c r="C6" t="s">
        <v>407</v>
      </c>
      <c r="D6" s="4">
        <v>52</v>
      </c>
      <c r="E6" s="4">
        <v>20</v>
      </c>
      <c r="F6" s="4">
        <f t="shared" si="0"/>
        <v>72</v>
      </c>
      <c r="G6" s="3">
        <f t="shared" si="1"/>
        <v>0.27777777777777779</v>
      </c>
      <c r="H6" s="113">
        <f t="shared" si="2"/>
        <v>0.38461538461538464</v>
      </c>
      <c r="Q6" s="5"/>
      <c r="R6" s="5" t="s">
        <v>0</v>
      </c>
      <c r="S6">
        <v>2006</v>
      </c>
      <c r="T6" s="4">
        <v>268</v>
      </c>
      <c r="U6" s="4">
        <v>61</v>
      </c>
      <c r="V6" s="4">
        <f t="shared" si="3"/>
        <v>329</v>
      </c>
      <c r="W6" s="3">
        <f t="shared" si="4"/>
        <v>0.18541033434650456</v>
      </c>
      <c r="X6" s="2">
        <f t="shared" si="5"/>
        <v>0.22761194029850745</v>
      </c>
      <c r="AA6" s="9">
        <v>5</v>
      </c>
      <c r="AB6" s="4">
        <v>11</v>
      </c>
      <c r="AC6" s="4">
        <v>0.38461538461538464</v>
      </c>
      <c r="AD6" s="4">
        <v>3.3928571428571428</v>
      </c>
      <c r="AE6" s="4">
        <v>1.9199355456713256</v>
      </c>
      <c r="AF6" s="4"/>
      <c r="AG6" s="4"/>
      <c r="AH6" s="4"/>
      <c r="AI6" s="4"/>
      <c r="AJ6" s="4">
        <v>11</v>
      </c>
      <c r="AK6" s="4">
        <v>0.38461538461538464</v>
      </c>
      <c r="AL6" s="4">
        <v>3.3928571428571428</v>
      </c>
      <c r="AM6" s="4">
        <v>1.9199355456713256</v>
      </c>
      <c r="AO6" s="9">
        <v>5</v>
      </c>
      <c r="AP6" s="4">
        <v>11</v>
      </c>
      <c r="AQ6" s="4">
        <v>1871</v>
      </c>
      <c r="AR6" s="4"/>
      <c r="AS6" s="4"/>
      <c r="AT6" s="4">
        <v>11</v>
      </c>
      <c r="AU6" s="4">
        <v>1871</v>
      </c>
    </row>
    <row r="7" spans="1:47" x14ac:dyDescent="0.3">
      <c r="A7" s="5">
        <v>5</v>
      </c>
      <c r="B7" s="5" t="s">
        <v>1</v>
      </c>
      <c r="C7" t="s">
        <v>408</v>
      </c>
      <c r="D7" s="4">
        <v>53</v>
      </c>
      <c r="E7" s="4">
        <v>66</v>
      </c>
      <c r="F7" s="4">
        <f t="shared" si="0"/>
        <v>119</v>
      </c>
      <c r="G7" s="3">
        <f t="shared" si="1"/>
        <v>0.55462184873949583</v>
      </c>
      <c r="H7" s="113">
        <f t="shared" si="2"/>
        <v>1.2452830188679245</v>
      </c>
      <c r="Q7" s="5"/>
      <c r="R7" s="5" t="s">
        <v>0</v>
      </c>
      <c r="S7">
        <v>2007</v>
      </c>
      <c r="T7" s="4">
        <v>575</v>
      </c>
      <c r="U7" s="4">
        <v>462</v>
      </c>
      <c r="V7" s="4">
        <f t="shared" si="3"/>
        <v>1037</v>
      </c>
      <c r="W7" s="3">
        <f t="shared" si="4"/>
        <v>0.44551591128254575</v>
      </c>
      <c r="X7" s="2">
        <f t="shared" si="5"/>
        <v>0.8034782608695652</v>
      </c>
      <c r="AA7" s="9">
        <v>6</v>
      </c>
      <c r="AB7" s="4">
        <v>11</v>
      </c>
      <c r="AC7" s="4">
        <v>0.34456928838951312</v>
      </c>
      <c r="AD7" s="4">
        <v>5.2105263157894735</v>
      </c>
      <c r="AE7" s="4">
        <v>1.0582956556911987</v>
      </c>
      <c r="AF7" s="4"/>
      <c r="AG7" s="4"/>
      <c r="AH7" s="4"/>
      <c r="AI7" s="4"/>
      <c r="AJ7" s="4">
        <v>11</v>
      </c>
      <c r="AK7" s="4">
        <v>0.34456928838951312</v>
      </c>
      <c r="AL7" s="4">
        <v>5.2105263157894735</v>
      </c>
      <c r="AM7" s="4">
        <v>1.0582956556911987</v>
      </c>
      <c r="AO7" s="9">
        <v>6</v>
      </c>
      <c r="AP7" s="4">
        <v>11</v>
      </c>
      <c r="AQ7" s="4">
        <v>4769</v>
      </c>
      <c r="AR7" s="4"/>
      <c r="AS7" s="4"/>
      <c r="AT7" s="4">
        <v>11</v>
      </c>
      <c r="AU7" s="4">
        <v>4769</v>
      </c>
    </row>
    <row r="8" spans="1:47" x14ac:dyDescent="0.3">
      <c r="A8" s="5">
        <v>5</v>
      </c>
      <c r="B8" s="5" t="s">
        <v>1</v>
      </c>
      <c r="C8" t="s">
        <v>409</v>
      </c>
      <c r="D8" s="4">
        <v>12</v>
      </c>
      <c r="E8" s="4">
        <v>21</v>
      </c>
      <c r="F8" s="4">
        <f t="shared" si="0"/>
        <v>33</v>
      </c>
      <c r="G8" s="3">
        <f t="shared" si="1"/>
        <v>0.63636363636363635</v>
      </c>
      <c r="H8" s="113">
        <f>E8/D8</f>
        <v>1.75</v>
      </c>
      <c r="Q8" s="5"/>
      <c r="R8" s="5" t="s">
        <v>0</v>
      </c>
      <c r="S8">
        <v>2008</v>
      </c>
      <c r="T8" s="4">
        <v>455</v>
      </c>
      <c r="U8" s="4">
        <v>70</v>
      </c>
      <c r="V8" s="4">
        <f t="shared" si="3"/>
        <v>525</v>
      </c>
      <c r="W8" s="3">
        <f t="shared" si="4"/>
        <v>0.1333333333333333</v>
      </c>
      <c r="X8" s="2">
        <f t="shared" si="5"/>
        <v>0.15384615384615385</v>
      </c>
      <c r="AA8" s="9">
        <v>7</v>
      </c>
      <c r="AB8" s="4"/>
      <c r="AC8" s="4"/>
      <c r="AD8" s="4"/>
      <c r="AE8" s="4"/>
      <c r="AF8" s="4">
        <v>10</v>
      </c>
      <c r="AG8" s="4">
        <v>0.15384615384615385</v>
      </c>
      <c r="AH8" s="4">
        <v>1.375</v>
      </c>
      <c r="AI8" s="4">
        <v>0.600134281283347</v>
      </c>
      <c r="AJ8" s="4">
        <v>10</v>
      </c>
      <c r="AK8" s="4">
        <v>0.15384615384615385</v>
      </c>
      <c r="AL8" s="4">
        <v>1.375</v>
      </c>
      <c r="AM8" s="4">
        <v>0.600134281283347</v>
      </c>
      <c r="AO8" s="9">
        <v>7</v>
      </c>
      <c r="AP8" s="4"/>
      <c r="AQ8" s="4"/>
      <c r="AR8" s="4">
        <v>10</v>
      </c>
      <c r="AS8" s="4">
        <v>6474</v>
      </c>
      <c r="AT8" s="4">
        <v>10</v>
      </c>
      <c r="AU8" s="4">
        <v>6474</v>
      </c>
    </row>
    <row r="9" spans="1:47" x14ac:dyDescent="0.3">
      <c r="A9" s="5">
        <v>5</v>
      </c>
      <c r="B9" s="5" t="s">
        <v>1</v>
      </c>
      <c r="C9" t="s">
        <v>410</v>
      </c>
      <c r="D9" s="4">
        <v>41</v>
      </c>
      <c r="E9" s="4">
        <v>53</v>
      </c>
      <c r="F9" s="4">
        <f t="shared" si="0"/>
        <v>94</v>
      </c>
      <c r="G9" s="3">
        <f t="shared" si="1"/>
        <v>0.56382978723404253</v>
      </c>
      <c r="H9" s="113">
        <f t="shared" si="2"/>
        <v>1.2926829268292683</v>
      </c>
      <c r="Q9" s="5"/>
      <c r="R9" s="5" t="s">
        <v>0</v>
      </c>
      <c r="S9">
        <v>2009</v>
      </c>
      <c r="T9" s="4">
        <v>488</v>
      </c>
      <c r="U9" s="4">
        <v>671</v>
      </c>
      <c r="V9" s="4">
        <f t="shared" si="3"/>
        <v>1159</v>
      </c>
      <c r="W9" s="3">
        <f t="shared" si="4"/>
        <v>0.57894736842105265</v>
      </c>
      <c r="X9" s="2">
        <f t="shared" si="5"/>
        <v>1.375</v>
      </c>
      <c r="AA9" s="9">
        <v>11</v>
      </c>
      <c r="AB9" s="4">
        <v>11</v>
      </c>
      <c r="AC9" s="4">
        <v>1.4950166112956811</v>
      </c>
      <c r="AD9" s="4">
        <v>17.633333333333333</v>
      </c>
      <c r="AE9" s="4">
        <v>9.4747696090302487</v>
      </c>
      <c r="AF9" s="4">
        <v>4</v>
      </c>
      <c r="AG9" s="4">
        <v>0.3132030787448194</v>
      </c>
      <c r="AH9" s="4">
        <v>3.704691812327507</v>
      </c>
      <c r="AI9" s="4">
        <v>1.5439654337615711</v>
      </c>
      <c r="AJ9" s="4">
        <v>15</v>
      </c>
      <c r="AK9" s="4">
        <v>0.3132030787448194</v>
      </c>
      <c r="AL9" s="4">
        <v>17.633333333333333</v>
      </c>
      <c r="AM9" s="4">
        <v>7.3598884956252677</v>
      </c>
      <c r="AO9" s="9">
        <v>11</v>
      </c>
      <c r="AP9" s="4">
        <v>11</v>
      </c>
      <c r="AQ9" s="4">
        <v>9443</v>
      </c>
      <c r="AR9" s="4">
        <v>4</v>
      </c>
      <c r="AS9" s="4">
        <v>13355</v>
      </c>
      <c r="AT9" s="4">
        <v>15</v>
      </c>
      <c r="AU9" s="4">
        <v>22798</v>
      </c>
    </row>
    <row r="10" spans="1:47" x14ac:dyDescent="0.3">
      <c r="A10" s="5">
        <v>5</v>
      </c>
      <c r="B10" s="5" t="s">
        <v>1</v>
      </c>
      <c r="C10" t="s">
        <v>411</v>
      </c>
      <c r="D10" s="4">
        <v>85</v>
      </c>
      <c r="E10" s="4">
        <v>284</v>
      </c>
      <c r="F10" s="4">
        <f t="shared" si="0"/>
        <v>369</v>
      </c>
      <c r="G10" s="3">
        <f t="shared" si="1"/>
        <v>0.76964769647696474</v>
      </c>
      <c r="H10" s="113">
        <f t="shared" si="2"/>
        <v>3.3411764705882354</v>
      </c>
      <c r="Q10" s="5"/>
      <c r="R10" s="5" t="s">
        <v>0</v>
      </c>
      <c r="S10">
        <v>2010</v>
      </c>
      <c r="T10" s="4">
        <v>270</v>
      </c>
      <c r="U10" s="4">
        <v>133</v>
      </c>
      <c r="V10" s="4">
        <f t="shared" si="3"/>
        <v>403</v>
      </c>
      <c r="W10" s="3">
        <f t="shared" si="4"/>
        <v>0.33002481389578153</v>
      </c>
      <c r="X10" s="2">
        <f t="shared" si="5"/>
        <v>0.49259259259259258</v>
      </c>
      <c r="AA10" s="9">
        <v>12</v>
      </c>
      <c r="AB10" s="4">
        <v>9</v>
      </c>
      <c r="AC10" s="4">
        <v>1.8157894736842106</v>
      </c>
      <c r="AD10" s="4">
        <v>5.4</v>
      </c>
      <c r="AE10" s="4">
        <v>3.3128695638904353</v>
      </c>
      <c r="AF10" s="4">
        <v>8</v>
      </c>
      <c r="AG10" s="4">
        <v>0.30952380952380953</v>
      </c>
      <c r="AH10" s="4">
        <v>5.0512820512820511</v>
      </c>
      <c r="AI10" s="4">
        <v>1.8695150284918993</v>
      </c>
      <c r="AJ10" s="4">
        <v>17</v>
      </c>
      <c r="AK10" s="4">
        <v>0.30952380952380953</v>
      </c>
      <c r="AL10" s="4">
        <v>5.4</v>
      </c>
      <c r="AM10" s="4">
        <v>2.6336439001734773</v>
      </c>
      <c r="AO10" s="9">
        <v>12</v>
      </c>
      <c r="AP10" s="4">
        <v>10</v>
      </c>
      <c r="AQ10" s="4">
        <v>3265</v>
      </c>
      <c r="AR10" s="4">
        <v>9</v>
      </c>
      <c r="AS10" s="4">
        <v>2277</v>
      </c>
      <c r="AT10" s="4">
        <v>19</v>
      </c>
      <c r="AU10" s="4">
        <v>5542</v>
      </c>
    </row>
    <row r="11" spans="1:47" x14ac:dyDescent="0.3">
      <c r="A11" s="5">
        <v>5</v>
      </c>
      <c r="B11" s="5" t="s">
        <v>1</v>
      </c>
      <c r="C11" t="s">
        <v>412</v>
      </c>
      <c r="D11" s="4">
        <v>22</v>
      </c>
      <c r="E11" s="4">
        <v>23</v>
      </c>
      <c r="F11" s="4">
        <f t="shared" si="0"/>
        <v>45</v>
      </c>
      <c r="G11" s="3">
        <f t="shared" si="1"/>
        <v>0.51111111111111107</v>
      </c>
      <c r="H11" s="113">
        <f t="shared" si="2"/>
        <v>1.0454545454545454</v>
      </c>
      <c r="Q11" s="5"/>
      <c r="R11" s="5" t="s">
        <v>0</v>
      </c>
      <c r="S11">
        <v>2011</v>
      </c>
      <c r="T11" s="4">
        <v>772</v>
      </c>
      <c r="U11" s="4">
        <v>556</v>
      </c>
      <c r="V11" s="4">
        <f t="shared" si="3"/>
        <v>1328</v>
      </c>
      <c r="W11" s="3">
        <f t="shared" si="4"/>
        <v>0.41867469879518071</v>
      </c>
      <c r="X11" s="2">
        <f t="shared" si="5"/>
        <v>0.72020725388601037</v>
      </c>
      <c r="AA11" s="9">
        <v>13</v>
      </c>
      <c r="AB11" s="4">
        <v>9</v>
      </c>
      <c r="AC11" s="4">
        <v>0.875</v>
      </c>
      <c r="AD11" s="4">
        <v>25.862068965517242</v>
      </c>
      <c r="AE11" s="4">
        <v>9.3679234877510744</v>
      </c>
      <c r="AF11" s="4">
        <v>4</v>
      </c>
      <c r="AG11" s="4">
        <v>0.5643564356435643</v>
      </c>
      <c r="AH11" s="4">
        <v>3.2610441767068274</v>
      </c>
      <c r="AI11" s="4">
        <v>1.474207295944741</v>
      </c>
      <c r="AJ11" s="4">
        <v>13</v>
      </c>
      <c r="AK11" s="4">
        <v>0.5643564356435643</v>
      </c>
      <c r="AL11" s="4">
        <v>25.862068965517242</v>
      </c>
      <c r="AM11" s="4">
        <v>6.9390877364260479</v>
      </c>
      <c r="AO11" s="9">
        <v>13</v>
      </c>
      <c r="AP11" s="4">
        <v>11</v>
      </c>
      <c r="AQ11" s="4">
        <v>1535</v>
      </c>
      <c r="AR11" s="4">
        <v>4</v>
      </c>
      <c r="AS11" s="4">
        <v>2414</v>
      </c>
      <c r="AT11" s="4">
        <v>15</v>
      </c>
      <c r="AU11" s="4">
        <v>3949</v>
      </c>
    </row>
    <row r="12" spans="1:47" x14ac:dyDescent="0.3">
      <c r="A12" s="5">
        <v>5</v>
      </c>
      <c r="B12" s="5" t="s">
        <v>1</v>
      </c>
      <c r="C12" t="s">
        <v>413</v>
      </c>
      <c r="D12" s="4">
        <v>86</v>
      </c>
      <c r="E12" s="4">
        <v>87</v>
      </c>
      <c r="F12" s="4">
        <f t="shared" si="0"/>
        <v>173</v>
      </c>
      <c r="G12" s="3">
        <f t="shared" si="1"/>
        <v>0.50289017341040465</v>
      </c>
      <c r="H12" s="113">
        <f t="shared" si="2"/>
        <v>1.0116279069767442</v>
      </c>
      <c r="Q12" s="6"/>
      <c r="R12" s="5" t="s">
        <v>0</v>
      </c>
      <c r="S12">
        <v>2012</v>
      </c>
      <c r="T12" s="4">
        <v>433</v>
      </c>
      <c r="U12" s="4">
        <v>270</v>
      </c>
      <c r="V12" s="4">
        <f t="shared" si="3"/>
        <v>703</v>
      </c>
      <c r="W12" s="3">
        <f t="shared" si="4"/>
        <v>0.38406827880512084</v>
      </c>
      <c r="X12" s="2">
        <f t="shared" si="5"/>
        <v>0.62355658198614317</v>
      </c>
      <c r="AA12" s="9" t="s">
        <v>12</v>
      </c>
      <c r="AB12" s="4">
        <v>51</v>
      </c>
      <c r="AC12" s="4">
        <v>0.34456928838951312</v>
      </c>
      <c r="AD12" s="4">
        <v>25.862068965517242</v>
      </c>
      <c r="AE12" s="4">
        <v>4.923728360374394</v>
      </c>
      <c r="AF12" s="4">
        <v>26</v>
      </c>
      <c r="AG12" s="4">
        <v>0.15384615384615385</v>
      </c>
      <c r="AH12" s="4">
        <v>5.0512820512820511</v>
      </c>
      <c r="AI12" s="4">
        <v>1.2703905369074582</v>
      </c>
      <c r="AJ12" s="4">
        <v>77</v>
      </c>
      <c r="AK12" s="4">
        <v>0.15384615384615385</v>
      </c>
      <c r="AL12" s="4">
        <v>25.862068965517242</v>
      </c>
      <c r="AM12" s="4">
        <v>3.6901337706323116</v>
      </c>
      <c r="AO12" s="9" t="s">
        <v>12</v>
      </c>
      <c r="AP12" s="4">
        <v>54</v>
      </c>
      <c r="AQ12" s="4">
        <v>20883</v>
      </c>
      <c r="AR12" s="4">
        <v>27</v>
      </c>
      <c r="AS12" s="4">
        <v>24520</v>
      </c>
      <c r="AT12" s="4">
        <v>81</v>
      </c>
      <c r="AU12" s="4">
        <v>45403</v>
      </c>
    </row>
    <row r="13" spans="1:47" x14ac:dyDescent="0.3">
      <c r="A13" s="281">
        <v>5</v>
      </c>
      <c r="B13" s="281" t="s">
        <v>1</v>
      </c>
      <c r="C13" s="218" t="s">
        <v>414</v>
      </c>
      <c r="D13" s="306">
        <v>124</v>
      </c>
      <c r="E13" s="306">
        <v>155</v>
      </c>
      <c r="F13" s="306">
        <f t="shared" ref="F13:F35" si="6">E13+D13</f>
        <v>279</v>
      </c>
      <c r="G13" s="307">
        <f t="shared" ref="G13:G44" si="7">1-1/(H13+1)</f>
        <v>0.55555555555555558</v>
      </c>
      <c r="H13" s="397">
        <f t="shared" ref="H13:H44" si="8">E13/D13</f>
        <v>1.25</v>
      </c>
      <c r="Q13" s="5">
        <v>11</v>
      </c>
      <c r="R13" s="5" t="s">
        <v>0</v>
      </c>
      <c r="S13">
        <v>2003</v>
      </c>
      <c r="T13" s="4">
        <v>1689</v>
      </c>
      <c r="U13" s="4">
        <v>529</v>
      </c>
      <c r="V13" s="4">
        <f t="shared" si="3"/>
        <v>2218</v>
      </c>
      <c r="W13" s="3">
        <f t="shared" si="4"/>
        <v>0.23850315599639316</v>
      </c>
      <c r="X13" s="2">
        <f t="shared" si="5"/>
        <v>0.3132030787448194</v>
      </c>
    </row>
    <row r="14" spans="1:47" ht="15" thickBot="1" x14ac:dyDescent="0.35">
      <c r="A14" s="308">
        <v>5</v>
      </c>
      <c r="B14" s="308" t="s">
        <v>1</v>
      </c>
      <c r="C14" s="309" t="s">
        <v>415</v>
      </c>
      <c r="D14" s="309">
        <v>68</v>
      </c>
      <c r="E14" s="309">
        <v>381</v>
      </c>
      <c r="F14" s="310">
        <f t="shared" si="6"/>
        <v>449</v>
      </c>
      <c r="G14" s="311">
        <f t="shared" si="7"/>
        <v>0.84855233853006684</v>
      </c>
      <c r="H14" s="398">
        <f t="shared" si="8"/>
        <v>5.6029411764705879</v>
      </c>
      <c r="I14" s="15" t="s">
        <v>37</v>
      </c>
      <c r="J14" s="85" t="s">
        <v>38</v>
      </c>
      <c r="K14" s="85" t="s">
        <v>39</v>
      </c>
      <c r="L14" s="83" t="s">
        <v>33</v>
      </c>
      <c r="M14" s="15" t="s">
        <v>34</v>
      </c>
      <c r="N14" s="15" t="s">
        <v>35</v>
      </c>
      <c r="O14" s="15" t="s">
        <v>36</v>
      </c>
      <c r="Q14" s="5"/>
      <c r="R14" s="5" t="s">
        <v>0</v>
      </c>
      <c r="S14">
        <v>2004</v>
      </c>
      <c r="T14" s="4">
        <v>1581</v>
      </c>
      <c r="U14" s="4">
        <v>1883</v>
      </c>
      <c r="V14" s="4">
        <f t="shared" si="3"/>
        <v>3464</v>
      </c>
      <c r="W14" s="3">
        <f t="shared" si="4"/>
        <v>0.5435912240184757</v>
      </c>
      <c r="X14" s="2">
        <f t="shared" si="5"/>
        <v>1.1910183428209993</v>
      </c>
    </row>
    <row r="15" spans="1:47" x14ac:dyDescent="0.3">
      <c r="A15" s="89">
        <v>6</v>
      </c>
      <c r="B15" s="89" t="s">
        <v>1</v>
      </c>
      <c r="C15" s="38" t="s">
        <v>404</v>
      </c>
      <c r="D15" s="90">
        <v>121</v>
      </c>
      <c r="E15" s="90">
        <v>66</v>
      </c>
      <c r="F15" s="90">
        <f t="shared" si="6"/>
        <v>187</v>
      </c>
      <c r="G15" s="91">
        <f t="shared" si="7"/>
        <v>0.3529411764705882</v>
      </c>
      <c r="H15" s="399">
        <f t="shared" si="8"/>
        <v>0.54545454545454541</v>
      </c>
      <c r="I15" s="326">
        <f>COUNT(H15:H24)</f>
        <v>10</v>
      </c>
      <c r="J15" s="327">
        <f>MIN(H15:H24)</f>
        <v>0.34456928838951312</v>
      </c>
      <c r="K15" s="327">
        <f>MAX(H15:H24)</f>
        <v>1.256317689530686</v>
      </c>
      <c r="L15" s="328">
        <f>AVERAGE(H20:H24)</f>
        <v>0.74404334670443428</v>
      </c>
      <c r="M15" s="329">
        <f>SUM(E15:E24)/SUM(D15:D24)</f>
        <v>0.62850140056022408</v>
      </c>
      <c r="N15" s="329">
        <f>GEOMEAN(H15:H24)</f>
        <v>0.58450691118755649</v>
      </c>
      <c r="O15" s="329">
        <f>MEDIAN(H15:H24)</f>
        <v>0.58041958041958042</v>
      </c>
      <c r="Q15" s="5"/>
      <c r="R15" s="5" t="s">
        <v>0</v>
      </c>
      <c r="S15">
        <v>2005</v>
      </c>
      <c r="T15" s="4">
        <v>1301</v>
      </c>
      <c r="U15" s="4">
        <v>1258</v>
      </c>
      <c r="V15" s="4">
        <f t="shared" si="3"/>
        <v>2559</v>
      </c>
      <c r="W15" s="3">
        <f t="shared" si="4"/>
        <v>0.49159828057835087</v>
      </c>
      <c r="X15" s="2">
        <f t="shared" si="5"/>
        <v>0.96694850115295927</v>
      </c>
    </row>
    <row r="16" spans="1:47" x14ac:dyDescent="0.3">
      <c r="A16" s="89">
        <v>6</v>
      </c>
      <c r="B16" s="89" t="s">
        <v>1</v>
      </c>
      <c r="C16" s="38" t="s">
        <v>405</v>
      </c>
      <c r="D16" s="90">
        <v>267</v>
      </c>
      <c r="E16" s="90">
        <v>92</v>
      </c>
      <c r="F16" s="90">
        <f t="shared" si="6"/>
        <v>359</v>
      </c>
      <c r="G16" s="91">
        <f t="shared" si="7"/>
        <v>0.25626740947075211</v>
      </c>
      <c r="H16" s="399">
        <f t="shared" si="8"/>
        <v>0.34456928838951312</v>
      </c>
      <c r="I16" t="s">
        <v>430</v>
      </c>
      <c r="Q16" s="6"/>
      <c r="R16" s="5" t="s">
        <v>0</v>
      </c>
      <c r="S16">
        <v>2006</v>
      </c>
      <c r="T16" s="4">
        <v>1087</v>
      </c>
      <c r="U16" s="4">
        <v>4027</v>
      </c>
      <c r="V16" s="4">
        <f t="shared" si="3"/>
        <v>5114</v>
      </c>
      <c r="W16" s="3">
        <f t="shared" si="4"/>
        <v>0.78744622604614789</v>
      </c>
      <c r="X16" s="2">
        <f t="shared" si="5"/>
        <v>3.704691812327507</v>
      </c>
      <c r="AO16" s="11"/>
      <c r="AP16" s="11" t="s">
        <v>1</v>
      </c>
      <c r="AQ16" s="11"/>
      <c r="AR16" s="11" t="s">
        <v>0</v>
      </c>
      <c r="AS16" s="11"/>
    </row>
    <row r="17" spans="1:48" x14ac:dyDescent="0.3">
      <c r="A17" s="89">
        <v>6</v>
      </c>
      <c r="B17" s="89" t="s">
        <v>1</v>
      </c>
      <c r="C17" s="38" t="s">
        <v>406</v>
      </c>
      <c r="D17" s="90">
        <v>179</v>
      </c>
      <c r="E17" s="90">
        <v>186</v>
      </c>
      <c r="F17" s="90">
        <f t="shared" si="6"/>
        <v>365</v>
      </c>
      <c r="G17" s="91">
        <f t="shared" si="7"/>
        <v>0.50958904109589032</v>
      </c>
      <c r="H17" s="399">
        <f t="shared" si="8"/>
        <v>1.0391061452513966</v>
      </c>
      <c r="I17" t="s">
        <v>425</v>
      </c>
      <c r="Q17" s="5">
        <v>12</v>
      </c>
      <c r="R17" s="5" t="s">
        <v>0</v>
      </c>
      <c r="S17">
        <v>2003</v>
      </c>
      <c r="T17" s="4">
        <v>44</v>
      </c>
      <c r="U17" s="4">
        <v>52</v>
      </c>
      <c r="V17" s="4">
        <f t="shared" si="3"/>
        <v>96</v>
      </c>
      <c r="W17" s="3">
        <f t="shared" si="4"/>
        <v>0.54166666666666663</v>
      </c>
      <c r="X17" s="2">
        <f t="shared" si="5"/>
        <v>1.1818181818181819</v>
      </c>
      <c r="AO17" s="10" t="s">
        <v>11</v>
      </c>
      <c r="AP17" s="10" t="s">
        <v>10</v>
      </c>
      <c r="AQ17" s="10" t="s">
        <v>9</v>
      </c>
      <c r="AR17" s="10" t="s">
        <v>10</v>
      </c>
      <c r="AS17" s="10" t="s">
        <v>9</v>
      </c>
    </row>
    <row r="18" spans="1:48" x14ac:dyDescent="0.3">
      <c r="A18" s="89">
        <v>6</v>
      </c>
      <c r="B18" s="89" t="s">
        <v>1</v>
      </c>
      <c r="C18" s="38" t="s">
        <v>407</v>
      </c>
      <c r="D18" s="90">
        <v>142</v>
      </c>
      <c r="E18" s="90">
        <v>56</v>
      </c>
      <c r="F18" s="90">
        <f t="shared" si="6"/>
        <v>198</v>
      </c>
      <c r="G18" s="91">
        <f t="shared" si="7"/>
        <v>0.28282828282828276</v>
      </c>
      <c r="H18" s="399">
        <f t="shared" si="8"/>
        <v>0.39436619718309857</v>
      </c>
      <c r="Q18" s="5"/>
      <c r="R18" s="5" t="s">
        <v>0</v>
      </c>
      <c r="S18">
        <v>2004</v>
      </c>
      <c r="T18" s="4">
        <v>115</v>
      </c>
      <c r="U18" s="4">
        <v>154</v>
      </c>
      <c r="V18" s="4">
        <f t="shared" si="3"/>
        <v>269</v>
      </c>
      <c r="W18" s="3">
        <f t="shared" si="4"/>
        <v>0.57249070631970267</v>
      </c>
      <c r="X18" s="2">
        <f t="shared" si="5"/>
        <v>1.3391304347826087</v>
      </c>
      <c r="AO18" s="9">
        <v>5</v>
      </c>
      <c r="AP18" s="4">
        <v>11</v>
      </c>
      <c r="AQ18" s="4">
        <v>1871</v>
      </c>
      <c r="AR18" s="4"/>
      <c r="AS18" s="4"/>
      <c r="AT18" s="8">
        <f>AQ18/AP18</f>
        <v>170.09090909090909</v>
      </c>
      <c r="AU18" s="8"/>
      <c r="AV18" s="8"/>
    </row>
    <row r="19" spans="1:48" x14ac:dyDescent="0.3">
      <c r="A19" s="89">
        <v>6</v>
      </c>
      <c r="B19" s="89" t="s">
        <v>1</v>
      </c>
      <c r="C19" s="38" t="s">
        <v>408</v>
      </c>
      <c r="D19" s="90">
        <v>385</v>
      </c>
      <c r="E19" s="90">
        <v>149</v>
      </c>
      <c r="F19" s="90">
        <f t="shared" si="6"/>
        <v>534</v>
      </c>
      <c r="G19" s="91">
        <f t="shared" si="7"/>
        <v>0.27902621722846443</v>
      </c>
      <c r="H19" s="399">
        <f t="shared" si="8"/>
        <v>0.38701298701298703</v>
      </c>
      <c r="I19" s="112"/>
      <c r="Q19" s="5"/>
      <c r="R19" s="5" t="s">
        <v>0</v>
      </c>
      <c r="S19">
        <v>2005</v>
      </c>
      <c r="T19" s="4">
        <v>240</v>
      </c>
      <c r="U19" s="4">
        <v>93</v>
      </c>
      <c r="V19" s="4">
        <f t="shared" si="3"/>
        <v>333</v>
      </c>
      <c r="W19" s="3">
        <f t="shared" si="4"/>
        <v>0.2792792792792792</v>
      </c>
      <c r="X19" s="2">
        <f t="shared" si="5"/>
        <v>0.38750000000000001</v>
      </c>
      <c r="AO19" s="9">
        <v>6</v>
      </c>
      <c r="AP19" s="4">
        <v>11</v>
      </c>
      <c r="AQ19" s="4">
        <v>4769</v>
      </c>
      <c r="AR19" s="4"/>
      <c r="AS19" s="4"/>
      <c r="AT19" s="8">
        <f>AQ19/AP19</f>
        <v>433.54545454545456</v>
      </c>
      <c r="AU19" s="8"/>
      <c r="AV19" s="8"/>
    </row>
    <row r="20" spans="1:48" x14ac:dyDescent="0.3">
      <c r="A20" s="89">
        <v>6</v>
      </c>
      <c r="B20" s="89" t="s">
        <v>1</v>
      </c>
      <c r="C20" s="38" t="s">
        <v>409</v>
      </c>
      <c r="D20" s="90">
        <v>221</v>
      </c>
      <c r="E20" s="90">
        <v>136</v>
      </c>
      <c r="F20" s="90">
        <f t="shared" si="6"/>
        <v>357</v>
      </c>
      <c r="G20" s="91">
        <f t="shared" si="7"/>
        <v>0.38095238095238093</v>
      </c>
      <c r="H20" s="399">
        <f t="shared" si="8"/>
        <v>0.61538461538461542</v>
      </c>
      <c r="I20" s="112"/>
      <c r="Q20" s="5"/>
      <c r="R20" s="5" t="s">
        <v>0</v>
      </c>
      <c r="S20">
        <v>2006</v>
      </c>
      <c r="T20" s="4">
        <v>110</v>
      </c>
      <c r="U20" s="4">
        <v>459</v>
      </c>
      <c r="V20" s="4">
        <f t="shared" si="3"/>
        <v>569</v>
      </c>
      <c r="W20" s="3">
        <f t="shared" si="4"/>
        <v>0.80667838312829532</v>
      </c>
      <c r="X20" s="2">
        <f t="shared" si="5"/>
        <v>4.1727272727272728</v>
      </c>
      <c r="AO20" s="9">
        <v>7</v>
      </c>
      <c r="AP20" s="4"/>
      <c r="AQ20" s="4"/>
      <c r="AR20" s="4">
        <v>10</v>
      </c>
      <c r="AS20" s="4">
        <v>6474</v>
      </c>
      <c r="AT20" s="8"/>
      <c r="AU20" s="8"/>
      <c r="AV20" s="8">
        <f>AS20/AR20</f>
        <v>647.4</v>
      </c>
    </row>
    <row r="21" spans="1:48" x14ac:dyDescent="0.3">
      <c r="A21" s="89">
        <v>6</v>
      </c>
      <c r="B21" s="89" t="s">
        <v>1</v>
      </c>
      <c r="C21" s="38" t="s">
        <v>410</v>
      </c>
      <c r="D21" s="90">
        <v>320</v>
      </c>
      <c r="E21" s="90">
        <v>254</v>
      </c>
      <c r="F21" s="90">
        <f t="shared" si="6"/>
        <v>574</v>
      </c>
      <c r="G21" s="91">
        <f t="shared" si="7"/>
        <v>0.44250871080139376</v>
      </c>
      <c r="H21" s="399">
        <f t="shared" si="8"/>
        <v>0.79374999999999996</v>
      </c>
      <c r="Q21" s="5"/>
      <c r="R21" s="5" t="s">
        <v>0</v>
      </c>
      <c r="S21">
        <v>2007</v>
      </c>
      <c r="T21" s="4">
        <v>176</v>
      </c>
      <c r="U21" s="4">
        <v>201</v>
      </c>
      <c r="V21" s="4">
        <f t="shared" si="3"/>
        <v>377</v>
      </c>
      <c r="W21" s="3">
        <f t="shared" si="4"/>
        <v>0.53315649867374004</v>
      </c>
      <c r="X21" s="2">
        <f t="shared" si="5"/>
        <v>1.1420454545454546</v>
      </c>
      <c r="AO21" s="9">
        <v>11</v>
      </c>
      <c r="AP21" s="4">
        <v>11</v>
      </c>
      <c r="AQ21" s="4">
        <v>9443</v>
      </c>
      <c r="AR21" s="4">
        <v>4</v>
      </c>
      <c r="AS21" s="4">
        <v>13355</v>
      </c>
      <c r="AT21" s="8">
        <f>AQ21/AP21</f>
        <v>858.4545454545455</v>
      </c>
      <c r="AU21" s="8"/>
      <c r="AV21" s="8">
        <f>AS21/AR21</f>
        <v>3338.75</v>
      </c>
    </row>
    <row r="22" spans="1:48" x14ac:dyDescent="0.3">
      <c r="A22" s="89">
        <v>6</v>
      </c>
      <c r="B22" s="89" t="s">
        <v>1</v>
      </c>
      <c r="C22" s="38" t="s">
        <v>411</v>
      </c>
      <c r="D22" s="90">
        <v>277</v>
      </c>
      <c r="E22" s="90">
        <v>348</v>
      </c>
      <c r="F22" s="90">
        <f t="shared" si="6"/>
        <v>625</v>
      </c>
      <c r="G22" s="91">
        <f t="shared" si="7"/>
        <v>0.55679999999999996</v>
      </c>
      <c r="H22" s="399">
        <f t="shared" si="8"/>
        <v>1.256317689530686</v>
      </c>
      <c r="Q22" s="5"/>
      <c r="R22" s="5" t="s">
        <v>0</v>
      </c>
      <c r="S22">
        <v>2008</v>
      </c>
      <c r="T22" s="4">
        <v>78</v>
      </c>
      <c r="U22" s="4">
        <v>394</v>
      </c>
      <c r="V22" s="4">
        <f t="shared" si="3"/>
        <v>472</v>
      </c>
      <c r="W22" s="3">
        <f t="shared" si="4"/>
        <v>0.8347457627118644</v>
      </c>
      <c r="X22" s="2">
        <f t="shared" si="5"/>
        <v>5.0512820512820511</v>
      </c>
      <c r="AO22" s="9">
        <v>12</v>
      </c>
      <c r="AP22" s="4">
        <v>10</v>
      </c>
      <c r="AQ22" s="4">
        <v>3265</v>
      </c>
      <c r="AR22" s="4">
        <v>9</v>
      </c>
      <c r="AS22" s="4">
        <v>2277</v>
      </c>
      <c r="AT22" s="8">
        <f>AQ22/AP22</f>
        <v>326.5</v>
      </c>
      <c r="AU22" s="8"/>
      <c r="AV22" s="8">
        <f>AS22/AR22</f>
        <v>253</v>
      </c>
    </row>
    <row r="23" spans="1:48" x14ac:dyDescent="0.3">
      <c r="A23" s="89">
        <v>6</v>
      </c>
      <c r="B23" s="89" t="s">
        <v>1</v>
      </c>
      <c r="C23" s="38" t="s">
        <v>412</v>
      </c>
      <c r="D23" s="90">
        <v>439</v>
      </c>
      <c r="E23" s="90">
        <v>164</v>
      </c>
      <c r="F23" s="90">
        <f t="shared" si="6"/>
        <v>603</v>
      </c>
      <c r="G23" s="91">
        <f t="shared" si="7"/>
        <v>0.27197346600331673</v>
      </c>
      <c r="H23" s="399">
        <f t="shared" si="8"/>
        <v>0.37357630979498863</v>
      </c>
      <c r="Q23" s="5"/>
      <c r="R23" s="5" t="s">
        <v>0</v>
      </c>
      <c r="S23">
        <v>2009</v>
      </c>
      <c r="T23" s="4">
        <v>42</v>
      </c>
      <c r="U23" s="4">
        <v>13</v>
      </c>
      <c r="V23" s="4">
        <f t="shared" si="3"/>
        <v>55</v>
      </c>
      <c r="W23" s="3">
        <f t="shared" si="4"/>
        <v>0.23636363636363633</v>
      </c>
      <c r="X23" s="2">
        <f t="shared" si="5"/>
        <v>0.30952380952380953</v>
      </c>
      <c r="AO23" s="9">
        <v>13</v>
      </c>
      <c r="AP23" s="4">
        <v>11</v>
      </c>
      <c r="AQ23" s="4">
        <v>1535</v>
      </c>
      <c r="AR23" s="4">
        <v>4</v>
      </c>
      <c r="AS23" s="4">
        <v>2414</v>
      </c>
      <c r="AT23" s="8">
        <f>AQ23/AP23</f>
        <v>139.54545454545453</v>
      </c>
      <c r="AU23" s="8"/>
      <c r="AV23" s="8">
        <f>AS23/AR23</f>
        <v>603.5</v>
      </c>
    </row>
    <row r="24" spans="1:48" x14ac:dyDescent="0.3">
      <c r="A24" s="89">
        <v>6</v>
      </c>
      <c r="B24" s="89" t="s">
        <v>1</v>
      </c>
      <c r="C24" s="38" t="s">
        <v>413</v>
      </c>
      <c r="D24" s="90">
        <v>505</v>
      </c>
      <c r="E24" s="90">
        <v>344</v>
      </c>
      <c r="F24" s="90">
        <f t="shared" si="6"/>
        <v>849</v>
      </c>
      <c r="G24" s="91">
        <f t="shared" si="7"/>
        <v>0.40518256772673744</v>
      </c>
      <c r="H24" s="399">
        <f t="shared" si="8"/>
        <v>0.68118811881188124</v>
      </c>
      <c r="Q24" s="5"/>
      <c r="R24" s="5" t="s">
        <v>0</v>
      </c>
      <c r="S24">
        <v>2010</v>
      </c>
      <c r="T24" s="4">
        <v>0</v>
      </c>
      <c r="U24" s="4">
        <v>4</v>
      </c>
      <c r="V24" s="4"/>
      <c r="W24" s="3"/>
      <c r="X24" s="2"/>
      <c r="AB24" s="7" t="s">
        <v>8</v>
      </c>
      <c r="AC24" s="7" t="s">
        <v>7</v>
      </c>
      <c r="AD24" s="7" t="s">
        <v>6</v>
      </c>
      <c r="AE24" s="7" t="s">
        <v>5</v>
      </c>
    </row>
    <row r="25" spans="1:48" ht="15" thickBot="1" x14ac:dyDescent="0.35">
      <c r="A25" s="92">
        <v>6</v>
      </c>
      <c r="B25" s="92" t="s">
        <v>1</v>
      </c>
      <c r="C25" s="93" t="s">
        <v>414</v>
      </c>
      <c r="D25" s="94">
        <v>19</v>
      </c>
      <c r="E25" s="94">
        <v>99</v>
      </c>
      <c r="F25" s="94">
        <f t="shared" si="6"/>
        <v>118</v>
      </c>
      <c r="G25" s="95">
        <f t="shared" si="7"/>
        <v>0.83898305084745761</v>
      </c>
      <c r="H25" s="400">
        <f t="shared" si="8"/>
        <v>5.2105263157894735</v>
      </c>
      <c r="I25" s="15" t="s">
        <v>37</v>
      </c>
      <c r="J25" s="85" t="s">
        <v>38</v>
      </c>
      <c r="K25" s="85" t="s">
        <v>39</v>
      </c>
      <c r="L25" s="83" t="s">
        <v>33</v>
      </c>
      <c r="M25" s="15" t="s">
        <v>34</v>
      </c>
      <c r="N25" s="15" t="s">
        <v>35</v>
      </c>
      <c r="O25" s="15" t="s">
        <v>36</v>
      </c>
      <c r="Q25" s="6"/>
      <c r="R25" s="5" t="s">
        <v>0</v>
      </c>
      <c r="S25">
        <v>2011</v>
      </c>
      <c r="T25" s="4">
        <v>43</v>
      </c>
      <c r="U25" s="4">
        <v>59</v>
      </c>
      <c r="V25" s="4">
        <f t="shared" ref="V25:V35" si="9">U25+T25</f>
        <v>102</v>
      </c>
      <c r="W25" s="3">
        <f t="shared" ref="W25:W35" si="10">1-1/(X25+1)</f>
        <v>0.57843137254901955</v>
      </c>
      <c r="X25" s="2">
        <f t="shared" ref="X25:X35" si="11">U25/T25</f>
        <v>1.3720930232558139</v>
      </c>
      <c r="AB25" s="1">
        <v>520</v>
      </c>
      <c r="AC25" s="1">
        <v>36</v>
      </c>
      <c r="AD25" s="1">
        <v>1</v>
      </c>
      <c r="AE25" s="1">
        <v>0.3042245015989658</v>
      </c>
    </row>
    <row r="26" spans="1:48" x14ac:dyDescent="0.3">
      <c r="A26" s="89">
        <v>11</v>
      </c>
      <c r="B26" s="89" t="s">
        <v>1</v>
      </c>
      <c r="C26" s="38">
        <v>2003</v>
      </c>
      <c r="D26" s="90">
        <v>93</v>
      </c>
      <c r="E26" s="90">
        <v>344</v>
      </c>
      <c r="F26" s="90">
        <f t="shared" si="6"/>
        <v>437</v>
      </c>
      <c r="G26" s="91">
        <f t="shared" si="7"/>
        <v>0.78718535469107553</v>
      </c>
      <c r="H26" s="399">
        <f t="shared" si="8"/>
        <v>3.6989247311827955</v>
      </c>
      <c r="I26" s="326">
        <f>COUNT(H26:H32)</f>
        <v>7</v>
      </c>
      <c r="J26" s="327">
        <f>MIN(H26:H32)</f>
        <v>1.4950166112956811</v>
      </c>
      <c r="K26" s="327">
        <f>MAX(H26:H32)</f>
        <v>12.781021897810218</v>
      </c>
      <c r="L26" s="328">
        <f>AVERAGE(H26:H32)</f>
        <v>7.0788707612803403</v>
      </c>
      <c r="M26" s="329">
        <f>SUM(E26:E32)/SUM(D26:D32)</f>
        <v>6.489719626168224</v>
      </c>
      <c r="N26" s="329">
        <f>GEOMEAN(H26:H32)</f>
        <v>5.1011476394620718</v>
      </c>
      <c r="O26" s="329">
        <f>MEDIAN(H26:H32)</f>
        <v>5.2242424242424246</v>
      </c>
      <c r="Q26" s="5">
        <v>13</v>
      </c>
      <c r="R26" s="5" t="s">
        <v>0</v>
      </c>
      <c r="S26">
        <v>2003</v>
      </c>
      <c r="T26" s="4">
        <v>225</v>
      </c>
      <c r="U26" s="4">
        <v>135</v>
      </c>
      <c r="V26" s="4">
        <f t="shared" si="9"/>
        <v>360</v>
      </c>
      <c r="W26" s="3">
        <f t="shared" si="10"/>
        <v>0.375</v>
      </c>
      <c r="X26" s="2">
        <f t="shared" si="11"/>
        <v>0.6</v>
      </c>
      <c r="AB26" s="1">
        <v>520</v>
      </c>
      <c r="AC26" s="1">
        <v>36</v>
      </c>
      <c r="AD26" s="1">
        <v>2</v>
      </c>
      <c r="AE26" s="1">
        <v>0.66100000000000003</v>
      </c>
    </row>
    <row r="27" spans="1:48" x14ac:dyDescent="0.3">
      <c r="A27" s="89">
        <v>11</v>
      </c>
      <c r="B27" s="89" t="s">
        <v>1</v>
      </c>
      <c r="C27" s="38">
        <v>2004</v>
      </c>
      <c r="D27" s="90">
        <v>165</v>
      </c>
      <c r="E27" s="90">
        <v>862</v>
      </c>
      <c r="F27" s="90">
        <f t="shared" si="6"/>
        <v>1027</v>
      </c>
      <c r="G27" s="91">
        <f t="shared" si="7"/>
        <v>0.83933787731256082</v>
      </c>
      <c r="H27" s="399">
        <f t="shared" si="8"/>
        <v>5.2242424242424246</v>
      </c>
      <c r="I27" s="125" t="s">
        <v>429</v>
      </c>
      <c r="Q27" s="5"/>
      <c r="R27" s="5" t="s">
        <v>0</v>
      </c>
      <c r="S27">
        <v>2004</v>
      </c>
      <c r="T27" s="4">
        <v>210</v>
      </c>
      <c r="U27" s="4">
        <v>309</v>
      </c>
      <c r="V27" s="4">
        <f t="shared" si="9"/>
        <v>519</v>
      </c>
      <c r="W27" s="3">
        <f t="shared" si="10"/>
        <v>0.59537572254335269</v>
      </c>
      <c r="X27" s="2">
        <f t="shared" si="11"/>
        <v>1.4714285714285715</v>
      </c>
      <c r="AB27" s="1">
        <v>520</v>
      </c>
      <c r="AC27" s="1">
        <v>36</v>
      </c>
      <c r="AD27" s="1">
        <v>3</v>
      </c>
      <c r="AE27" s="1">
        <v>0.66100000000000003</v>
      </c>
    </row>
    <row r="28" spans="1:48" x14ac:dyDescent="0.3">
      <c r="A28" s="89">
        <v>11</v>
      </c>
      <c r="B28" s="89" t="s">
        <v>1</v>
      </c>
      <c r="C28" s="38">
        <v>2005</v>
      </c>
      <c r="D28" s="90">
        <v>121</v>
      </c>
      <c r="E28" s="90">
        <v>1470</v>
      </c>
      <c r="F28" s="90">
        <f t="shared" si="6"/>
        <v>1591</v>
      </c>
      <c r="G28" s="91">
        <f t="shared" si="7"/>
        <v>0.92394720301697042</v>
      </c>
      <c r="H28" s="399">
        <f t="shared" si="8"/>
        <v>12.148760330578513</v>
      </c>
      <c r="I28" s="283" t="s">
        <v>425</v>
      </c>
      <c r="Q28" s="5"/>
      <c r="R28" s="5" t="s">
        <v>0</v>
      </c>
      <c r="S28">
        <v>2005</v>
      </c>
      <c r="T28" s="4">
        <v>303</v>
      </c>
      <c r="U28" s="4">
        <v>171</v>
      </c>
      <c r="V28" s="4">
        <f t="shared" si="9"/>
        <v>474</v>
      </c>
      <c r="W28" s="3">
        <f t="shared" si="10"/>
        <v>0.36075949367088611</v>
      </c>
      <c r="X28" s="2">
        <f t="shared" si="11"/>
        <v>0.5643564356435643</v>
      </c>
      <c r="AB28" s="1">
        <v>520</v>
      </c>
      <c r="AC28" s="1">
        <v>36</v>
      </c>
      <c r="AD28" s="1">
        <v>4</v>
      </c>
      <c r="AE28" s="1">
        <v>0.3042245015989658</v>
      </c>
    </row>
    <row r="29" spans="1:48" x14ac:dyDescent="0.3">
      <c r="A29" s="89">
        <v>11</v>
      </c>
      <c r="B29" s="89" t="s">
        <v>1</v>
      </c>
      <c r="C29" s="38">
        <v>2006</v>
      </c>
      <c r="D29" s="90">
        <v>102</v>
      </c>
      <c r="E29" s="90">
        <v>162</v>
      </c>
      <c r="F29" s="90">
        <f t="shared" si="6"/>
        <v>264</v>
      </c>
      <c r="G29" s="91">
        <f t="shared" si="7"/>
        <v>0.61363636363636354</v>
      </c>
      <c r="H29" s="399">
        <f t="shared" si="8"/>
        <v>1.588235294117647</v>
      </c>
      <c r="Q29" s="6"/>
      <c r="R29" s="5" t="s">
        <v>0</v>
      </c>
      <c r="S29">
        <v>2006</v>
      </c>
      <c r="T29" s="4">
        <v>249</v>
      </c>
      <c r="U29" s="4">
        <v>812</v>
      </c>
      <c r="V29" s="4">
        <f t="shared" si="9"/>
        <v>1061</v>
      </c>
      <c r="W29" s="3">
        <f t="shared" si="10"/>
        <v>0.76531573986804902</v>
      </c>
      <c r="X29" s="2">
        <f t="shared" si="11"/>
        <v>3.2610441767068274</v>
      </c>
      <c r="AB29" s="1">
        <v>520</v>
      </c>
      <c r="AC29" s="1">
        <v>42</v>
      </c>
      <c r="AD29" s="1">
        <v>1</v>
      </c>
      <c r="AE29" s="1">
        <v>2.0369999999999999</v>
      </c>
    </row>
    <row r="30" spans="1:48" x14ac:dyDescent="0.3">
      <c r="A30" s="89">
        <v>11</v>
      </c>
      <c r="B30" s="89" t="s">
        <v>1</v>
      </c>
      <c r="C30" s="38">
        <v>2007</v>
      </c>
      <c r="D30" s="90">
        <v>151</v>
      </c>
      <c r="E30" s="90">
        <v>1905</v>
      </c>
      <c r="F30" s="90">
        <f t="shared" si="6"/>
        <v>2056</v>
      </c>
      <c r="G30" s="91">
        <f t="shared" si="7"/>
        <v>0.92655642023346307</v>
      </c>
      <c r="H30" s="399">
        <f t="shared" si="8"/>
        <v>12.6158940397351</v>
      </c>
      <c r="Q30" s="5" t="s">
        <v>4</v>
      </c>
      <c r="R30" s="5" t="s">
        <v>0</v>
      </c>
      <c r="S30">
        <v>2003</v>
      </c>
      <c r="T30" s="4">
        <v>382</v>
      </c>
      <c r="U30" s="4">
        <v>150</v>
      </c>
      <c r="V30" s="4">
        <f t="shared" si="9"/>
        <v>532</v>
      </c>
      <c r="W30" s="3">
        <f t="shared" si="10"/>
        <v>0.28195488721804518</v>
      </c>
      <c r="X30" s="2">
        <f t="shared" si="11"/>
        <v>0.39267015706806285</v>
      </c>
      <c r="AB30" s="1">
        <v>520</v>
      </c>
      <c r="AC30" s="1">
        <v>42</v>
      </c>
      <c r="AD30" s="1">
        <v>2</v>
      </c>
      <c r="AE30" s="1">
        <v>0.61490595162091222</v>
      </c>
    </row>
    <row r="31" spans="1:48" x14ac:dyDescent="0.3">
      <c r="A31" s="89">
        <v>11</v>
      </c>
      <c r="B31" s="89" t="s">
        <v>1</v>
      </c>
      <c r="C31" s="38">
        <v>2008</v>
      </c>
      <c r="D31" s="90">
        <v>301</v>
      </c>
      <c r="E31" s="90">
        <v>450</v>
      </c>
      <c r="F31" s="90">
        <f t="shared" si="6"/>
        <v>751</v>
      </c>
      <c r="G31" s="91">
        <f t="shared" si="7"/>
        <v>0.5992010652463382</v>
      </c>
      <c r="H31" s="399">
        <f t="shared" si="8"/>
        <v>1.4950166112956811</v>
      </c>
      <c r="Q31" s="5"/>
      <c r="R31" s="5" t="s">
        <v>0</v>
      </c>
      <c r="S31">
        <v>2004</v>
      </c>
      <c r="T31" s="4">
        <v>288</v>
      </c>
      <c r="U31" s="4">
        <v>237</v>
      </c>
      <c r="V31" s="4">
        <f t="shared" si="9"/>
        <v>525</v>
      </c>
      <c r="W31" s="3">
        <f t="shared" si="10"/>
        <v>0.4514285714285714</v>
      </c>
      <c r="X31" s="2">
        <f t="shared" si="11"/>
        <v>0.82291666666666663</v>
      </c>
      <c r="AB31" s="1">
        <v>520</v>
      </c>
      <c r="AC31" s="1">
        <v>42</v>
      </c>
      <c r="AD31" s="1">
        <v>3</v>
      </c>
      <c r="AE31" s="1">
        <v>0.61490595162091222</v>
      </c>
    </row>
    <row r="32" spans="1:48" x14ac:dyDescent="0.3">
      <c r="A32" s="89">
        <v>11</v>
      </c>
      <c r="B32" s="89" t="s">
        <v>1</v>
      </c>
      <c r="C32" s="38">
        <v>2009</v>
      </c>
      <c r="D32" s="90">
        <v>137</v>
      </c>
      <c r="E32" s="90">
        <v>1751</v>
      </c>
      <c r="F32" s="90">
        <f t="shared" si="6"/>
        <v>1888</v>
      </c>
      <c r="G32" s="91">
        <f t="shared" si="7"/>
        <v>0.92743644067796605</v>
      </c>
      <c r="H32" s="399">
        <f t="shared" si="8"/>
        <v>12.781021897810218</v>
      </c>
      <c r="I32" s="288"/>
      <c r="J32" s="318"/>
      <c r="K32" s="318"/>
      <c r="L32" s="319"/>
      <c r="M32" s="288"/>
      <c r="N32" s="288"/>
      <c r="Q32" s="5"/>
      <c r="R32" s="5" t="s">
        <v>0</v>
      </c>
      <c r="S32">
        <v>2005</v>
      </c>
      <c r="T32" s="4">
        <v>183</v>
      </c>
      <c r="U32" s="4">
        <v>103</v>
      </c>
      <c r="V32" s="4">
        <f t="shared" si="9"/>
        <v>286</v>
      </c>
      <c r="W32" s="3">
        <f t="shared" si="10"/>
        <v>0.3601398601398601</v>
      </c>
      <c r="X32" s="2">
        <f t="shared" si="11"/>
        <v>0.56284153005464477</v>
      </c>
      <c r="AB32" s="1">
        <v>520</v>
      </c>
      <c r="AC32" s="1">
        <v>42</v>
      </c>
      <c r="AD32" s="1">
        <v>4</v>
      </c>
      <c r="AE32" s="1">
        <v>2.0369999999999999</v>
      </c>
    </row>
    <row r="33" spans="1:31" x14ac:dyDescent="0.3">
      <c r="A33" s="89">
        <v>11</v>
      </c>
      <c r="B33" s="89" t="s">
        <v>1</v>
      </c>
      <c r="C33" s="38">
        <v>2010</v>
      </c>
      <c r="D33" s="90">
        <v>27</v>
      </c>
      <c r="E33" s="90">
        <v>127</v>
      </c>
      <c r="F33" s="90">
        <f t="shared" si="6"/>
        <v>154</v>
      </c>
      <c r="G33" s="91">
        <f t="shared" si="7"/>
        <v>0.82467532467532467</v>
      </c>
      <c r="H33" s="399">
        <f t="shared" si="8"/>
        <v>4.7037037037037033</v>
      </c>
      <c r="I33" s="319"/>
      <c r="J33" s="318"/>
      <c r="K33" s="318"/>
      <c r="L33" s="319"/>
      <c r="M33" s="288"/>
      <c r="N33" s="288"/>
      <c r="Q33" s="5"/>
      <c r="R33" s="5" t="s">
        <v>0</v>
      </c>
      <c r="S33">
        <v>2006</v>
      </c>
      <c r="T33" s="4">
        <v>146</v>
      </c>
      <c r="U33" s="4">
        <v>321</v>
      </c>
      <c r="V33" s="4">
        <f t="shared" si="9"/>
        <v>467</v>
      </c>
      <c r="W33" s="3">
        <f t="shared" si="10"/>
        <v>0.68736616702355469</v>
      </c>
      <c r="X33" s="2">
        <f t="shared" si="11"/>
        <v>2.1986301369863015</v>
      </c>
      <c r="AB33" s="1">
        <v>520</v>
      </c>
      <c r="AC33" s="1">
        <v>45</v>
      </c>
      <c r="AD33" s="1">
        <v>1</v>
      </c>
      <c r="AE33" s="1">
        <v>2.9250806880304543</v>
      </c>
    </row>
    <row r="34" spans="1:31" x14ac:dyDescent="0.3">
      <c r="A34" s="89">
        <v>11</v>
      </c>
      <c r="B34" s="89" t="s">
        <v>1</v>
      </c>
      <c r="C34" s="38">
        <v>2011</v>
      </c>
      <c r="D34" s="90">
        <v>10</v>
      </c>
      <c r="E34" s="90">
        <v>147</v>
      </c>
      <c r="F34" s="90">
        <f t="shared" si="6"/>
        <v>157</v>
      </c>
      <c r="G34" s="91">
        <f t="shared" si="7"/>
        <v>0.93630573248407645</v>
      </c>
      <c r="H34" s="399">
        <f t="shared" si="8"/>
        <v>14.7</v>
      </c>
      <c r="Q34" s="5"/>
      <c r="R34" s="5" t="s">
        <v>0</v>
      </c>
      <c r="S34">
        <v>2007</v>
      </c>
      <c r="T34" s="4">
        <v>102</v>
      </c>
      <c r="U34" s="4">
        <v>159</v>
      </c>
      <c r="V34" s="4">
        <f t="shared" si="9"/>
        <v>261</v>
      </c>
      <c r="W34" s="3">
        <f t="shared" si="10"/>
        <v>0.60919540229885061</v>
      </c>
      <c r="X34" s="2">
        <f t="shared" si="11"/>
        <v>1.5588235294117647</v>
      </c>
      <c r="AB34" s="1">
        <v>520</v>
      </c>
      <c r="AC34" s="1">
        <v>45</v>
      </c>
      <c r="AD34" s="1">
        <v>2</v>
      </c>
      <c r="AE34" s="1">
        <v>0</v>
      </c>
    </row>
    <row r="35" spans="1:31" x14ac:dyDescent="0.3">
      <c r="A35" s="89">
        <v>11</v>
      </c>
      <c r="B35" s="89" t="s">
        <v>1</v>
      </c>
      <c r="C35" s="38">
        <v>2012</v>
      </c>
      <c r="D35" s="90">
        <v>30</v>
      </c>
      <c r="E35" s="90">
        <v>529</v>
      </c>
      <c r="F35" s="90">
        <f t="shared" si="6"/>
        <v>559</v>
      </c>
      <c r="G35" s="91">
        <f t="shared" si="7"/>
        <v>0.94633273703041143</v>
      </c>
      <c r="H35" s="399">
        <f t="shared" si="8"/>
        <v>17.633333333333333</v>
      </c>
      <c r="Q35" s="5"/>
      <c r="R35" s="5" t="s">
        <v>0</v>
      </c>
      <c r="S35">
        <v>2008</v>
      </c>
      <c r="T35" s="4">
        <v>20</v>
      </c>
      <c r="U35" s="4">
        <v>60</v>
      </c>
      <c r="V35" s="4">
        <f t="shared" si="9"/>
        <v>80</v>
      </c>
      <c r="W35" s="3">
        <f t="shared" si="10"/>
        <v>0.75</v>
      </c>
      <c r="X35" s="2">
        <f t="shared" si="11"/>
        <v>3</v>
      </c>
      <c r="AB35" s="1">
        <v>520</v>
      </c>
      <c r="AC35" s="1">
        <v>45</v>
      </c>
      <c r="AD35" s="1">
        <v>3</v>
      </c>
      <c r="AE35" s="1">
        <v>0</v>
      </c>
    </row>
    <row r="36" spans="1:31" ht="15" thickBot="1" x14ac:dyDescent="0.35">
      <c r="A36" s="92">
        <v>11</v>
      </c>
      <c r="B36" s="92" t="s">
        <v>1</v>
      </c>
      <c r="C36" s="93">
        <v>2013</v>
      </c>
      <c r="D36" s="94">
        <f>D35</f>
        <v>30</v>
      </c>
      <c r="E36" s="94">
        <f>E35</f>
        <v>529</v>
      </c>
      <c r="F36" s="94">
        <f t="shared" ref="F36:F67" si="12">E36+D36</f>
        <v>559</v>
      </c>
      <c r="G36" s="95">
        <f t="shared" si="7"/>
        <v>0.94633273703041143</v>
      </c>
      <c r="H36" s="400">
        <f t="shared" si="8"/>
        <v>17.633333333333333</v>
      </c>
      <c r="I36" s="15" t="s">
        <v>37</v>
      </c>
      <c r="J36" s="85" t="s">
        <v>38</v>
      </c>
      <c r="K36" s="85" t="s">
        <v>39</v>
      </c>
      <c r="L36" s="83" t="s">
        <v>33</v>
      </c>
      <c r="M36" s="15" t="s">
        <v>34</v>
      </c>
      <c r="N36" s="15" t="s">
        <v>35</v>
      </c>
      <c r="O36" s="15" t="s">
        <v>36</v>
      </c>
      <c r="Q36" s="5"/>
      <c r="R36" s="5" t="s">
        <v>0</v>
      </c>
      <c r="S36">
        <v>2009</v>
      </c>
      <c r="T36" s="4">
        <v>13</v>
      </c>
      <c r="U36" s="4">
        <v>16</v>
      </c>
      <c r="V36" s="4"/>
      <c r="W36" s="3"/>
      <c r="X36" s="2"/>
      <c r="AB36" s="1">
        <v>520</v>
      </c>
      <c r="AC36" s="1">
        <v>45</v>
      </c>
      <c r="AD36" s="1">
        <v>4</v>
      </c>
      <c r="AE36" s="1">
        <v>2.9250806880304543</v>
      </c>
    </row>
    <row r="37" spans="1:31" x14ac:dyDescent="0.3">
      <c r="A37" s="89">
        <v>12</v>
      </c>
      <c r="B37" s="89" t="s">
        <v>1</v>
      </c>
      <c r="C37" s="38">
        <v>2003</v>
      </c>
      <c r="D37" s="90">
        <v>70</v>
      </c>
      <c r="E37" s="90">
        <v>138</v>
      </c>
      <c r="F37" s="90">
        <f t="shared" si="12"/>
        <v>208</v>
      </c>
      <c r="G37" s="91">
        <f t="shared" si="7"/>
        <v>0.66346153846153855</v>
      </c>
      <c r="H37" s="399">
        <f t="shared" si="8"/>
        <v>1.9714285714285715</v>
      </c>
      <c r="I37" s="326">
        <f>COUNT(H37:H43)</f>
        <v>7</v>
      </c>
      <c r="J37" s="327">
        <f>MIN(H37:H43)</f>
        <v>1.8157894736842106</v>
      </c>
      <c r="K37" s="327">
        <f>MAX(H37:H43)</f>
        <v>4.5809523809523807</v>
      </c>
      <c r="L37" s="328">
        <f>AVERAGE(H37:H43)</f>
        <v>3.2260703916686553</v>
      </c>
      <c r="M37" s="329">
        <f>SUM(E37:E43)/SUM(D37:D43)</f>
        <v>3.5581061692969871</v>
      </c>
      <c r="N37" s="329">
        <f>GEOMEAN(H37:H43)</f>
        <v>2.985511336543039</v>
      </c>
      <c r="O37" s="329">
        <f>MEDIAN(H37:H43)</f>
        <v>3.3626373626373627</v>
      </c>
      <c r="Q37" s="5"/>
      <c r="R37" s="5" t="s">
        <v>0</v>
      </c>
      <c r="S37">
        <v>2010</v>
      </c>
      <c r="T37" s="4">
        <v>25</v>
      </c>
      <c r="U37" s="4">
        <v>5</v>
      </c>
      <c r="V37" s="4"/>
      <c r="W37" s="3"/>
      <c r="X37" s="2"/>
      <c r="AB37" s="1">
        <v>520</v>
      </c>
      <c r="AC37" s="1">
        <v>53</v>
      </c>
      <c r="AD37" s="1">
        <v>1</v>
      </c>
      <c r="AE37" s="1">
        <v>2.2561068134784543</v>
      </c>
    </row>
    <row r="38" spans="1:31" x14ac:dyDescent="0.3">
      <c r="A38" s="89">
        <v>12</v>
      </c>
      <c r="B38" s="89" t="s">
        <v>1</v>
      </c>
      <c r="C38" s="38">
        <v>2004</v>
      </c>
      <c r="D38" s="90">
        <v>91</v>
      </c>
      <c r="E38" s="90">
        <v>306</v>
      </c>
      <c r="F38" s="90">
        <f t="shared" si="12"/>
        <v>397</v>
      </c>
      <c r="G38" s="91">
        <f t="shared" si="7"/>
        <v>0.77078085642317384</v>
      </c>
      <c r="H38" s="399">
        <f t="shared" si="8"/>
        <v>3.3626373626373627</v>
      </c>
      <c r="I38" t="s">
        <v>431</v>
      </c>
      <c r="Q38" s="5"/>
      <c r="R38" s="5" t="s">
        <v>0</v>
      </c>
      <c r="S38">
        <v>2011</v>
      </c>
      <c r="T38" s="4">
        <v>14</v>
      </c>
      <c r="U38" s="4">
        <v>2</v>
      </c>
      <c r="V38" s="4"/>
      <c r="W38" s="3"/>
      <c r="X38" s="2"/>
      <c r="AB38" s="1">
        <v>520</v>
      </c>
      <c r="AC38" s="1">
        <v>53</v>
      </c>
      <c r="AD38" s="1">
        <v>2</v>
      </c>
      <c r="AE38" s="1">
        <v>0.9690597918947178</v>
      </c>
    </row>
    <row r="39" spans="1:31" ht="15" thickBot="1" x14ac:dyDescent="0.35">
      <c r="A39" s="89">
        <v>12</v>
      </c>
      <c r="B39" s="89" t="s">
        <v>1</v>
      </c>
      <c r="C39" s="38">
        <v>2005</v>
      </c>
      <c r="D39" s="90">
        <v>105</v>
      </c>
      <c r="E39" s="90">
        <v>481</v>
      </c>
      <c r="F39" s="90">
        <f t="shared" si="12"/>
        <v>586</v>
      </c>
      <c r="G39" s="91">
        <f t="shared" si="7"/>
        <v>0.82081911262798635</v>
      </c>
      <c r="H39" s="399">
        <f t="shared" si="8"/>
        <v>4.5809523809523807</v>
      </c>
      <c r="I39" t="s">
        <v>432</v>
      </c>
      <c r="Q39" s="6"/>
      <c r="R39" s="5" t="s">
        <v>0</v>
      </c>
      <c r="S39">
        <v>2012</v>
      </c>
      <c r="T39" s="4">
        <v>18</v>
      </c>
      <c r="U39" s="4">
        <v>13</v>
      </c>
      <c r="V39" s="4"/>
      <c r="W39" s="3"/>
      <c r="X39" s="2"/>
      <c r="AB39" s="1">
        <v>520</v>
      </c>
      <c r="AC39" s="1">
        <v>53</v>
      </c>
      <c r="AD39" s="1">
        <v>3</v>
      </c>
      <c r="AE39" s="1">
        <v>0.9690597918947178</v>
      </c>
    </row>
    <row r="40" spans="1:31" x14ac:dyDescent="0.3">
      <c r="A40" s="89">
        <v>12</v>
      </c>
      <c r="B40" s="89" t="s">
        <v>1</v>
      </c>
      <c r="C40" s="38">
        <v>2006</v>
      </c>
      <c r="D40" s="90">
        <v>66</v>
      </c>
      <c r="E40" s="90">
        <v>127</v>
      </c>
      <c r="F40" s="90">
        <f t="shared" si="12"/>
        <v>193</v>
      </c>
      <c r="G40" s="91">
        <f t="shared" si="7"/>
        <v>0.65803108808290156</v>
      </c>
      <c r="H40" s="399">
        <f t="shared" si="8"/>
        <v>1.9242424242424243</v>
      </c>
      <c r="I40" s="185">
        <f>15/8</f>
        <v>1.875</v>
      </c>
      <c r="J40" s="186" t="s">
        <v>370</v>
      </c>
      <c r="K40" s="186"/>
      <c r="L40" s="187"/>
      <c r="M40" s="188"/>
      <c r="Q40" s="5" t="s">
        <v>3</v>
      </c>
      <c r="R40" s="5" t="s">
        <v>0</v>
      </c>
      <c r="S40">
        <v>2003</v>
      </c>
      <c r="T40" s="4">
        <v>1557</v>
      </c>
      <c r="U40" s="4">
        <v>1039</v>
      </c>
      <c r="V40" s="4">
        <f t="shared" ref="V40:V52" si="13">U40+T40</f>
        <v>2596</v>
      </c>
      <c r="W40" s="3">
        <f t="shared" ref="W40:W52" si="14">1-1/(X40+1)</f>
        <v>0.40023112480739598</v>
      </c>
      <c r="X40" s="2">
        <f t="shared" ref="X40:X52" si="15">U40/T40</f>
        <v>0.6673089274245344</v>
      </c>
      <c r="AB40" s="1">
        <v>520</v>
      </c>
      <c r="AC40" s="1">
        <v>53</v>
      </c>
      <c r="AD40" s="1">
        <v>4</v>
      </c>
      <c r="AE40" s="1">
        <v>2.2561068134784543</v>
      </c>
    </row>
    <row r="41" spans="1:31" x14ac:dyDescent="0.3">
      <c r="A41" s="89">
        <v>12</v>
      </c>
      <c r="B41" s="89" t="s">
        <v>1</v>
      </c>
      <c r="C41" s="38">
        <v>2007</v>
      </c>
      <c r="D41" s="90">
        <v>145</v>
      </c>
      <c r="E41" s="90">
        <v>645</v>
      </c>
      <c r="F41" s="90">
        <f t="shared" si="12"/>
        <v>790</v>
      </c>
      <c r="G41" s="91">
        <f t="shared" si="7"/>
        <v>0.81645569620253167</v>
      </c>
      <c r="H41" s="399">
        <f t="shared" si="8"/>
        <v>4.4482758620689653</v>
      </c>
      <c r="I41" s="189">
        <f>48/26</f>
        <v>1.8461538461538463</v>
      </c>
      <c r="J41" s="190" t="s">
        <v>369</v>
      </c>
      <c r="K41" s="190"/>
      <c r="L41" s="191"/>
      <c r="M41" s="192"/>
      <c r="Q41" s="5"/>
      <c r="R41" s="5" t="s">
        <v>0</v>
      </c>
      <c r="S41">
        <v>2004</v>
      </c>
      <c r="T41" s="4">
        <v>1500</v>
      </c>
      <c r="U41" s="4">
        <v>1027</v>
      </c>
      <c r="V41" s="4">
        <f t="shared" si="13"/>
        <v>2527</v>
      </c>
      <c r="W41" s="3">
        <f t="shared" si="14"/>
        <v>0.40641076375148399</v>
      </c>
      <c r="X41" s="2">
        <f t="shared" si="15"/>
        <v>0.68466666666666665</v>
      </c>
      <c r="AB41" s="1">
        <v>520</v>
      </c>
      <c r="AC41" s="1">
        <v>54</v>
      </c>
      <c r="AD41" s="1">
        <v>1</v>
      </c>
      <c r="AE41" s="1">
        <v>0.65900000000000003</v>
      </c>
    </row>
    <row r="42" spans="1:31" x14ac:dyDescent="0.3">
      <c r="A42" s="89">
        <v>12</v>
      </c>
      <c r="B42" s="89" t="s">
        <v>1</v>
      </c>
      <c r="C42" s="38">
        <v>2008</v>
      </c>
      <c r="D42" s="90">
        <v>76</v>
      </c>
      <c r="E42" s="90">
        <v>138</v>
      </c>
      <c r="F42" s="90">
        <f t="shared" si="12"/>
        <v>214</v>
      </c>
      <c r="G42" s="91">
        <f t="shared" si="7"/>
        <v>0.64485981308411211</v>
      </c>
      <c r="H42" s="399">
        <f t="shared" si="8"/>
        <v>1.8157894736842106</v>
      </c>
      <c r="I42" s="189">
        <f>54/21</f>
        <v>2.5714285714285716</v>
      </c>
      <c r="J42" s="190" t="s">
        <v>367</v>
      </c>
      <c r="K42" s="190"/>
      <c r="L42" s="191"/>
      <c r="M42" s="192"/>
      <c r="Q42" s="5"/>
      <c r="R42" s="5" t="s">
        <v>0</v>
      </c>
      <c r="S42">
        <v>2005</v>
      </c>
      <c r="T42" s="4">
        <v>724</v>
      </c>
      <c r="U42" s="4">
        <v>1081</v>
      </c>
      <c r="V42" s="4">
        <f t="shared" si="13"/>
        <v>1805</v>
      </c>
      <c r="W42" s="3">
        <f t="shared" si="14"/>
        <v>0.59889196675900269</v>
      </c>
      <c r="X42" s="2">
        <f t="shared" si="15"/>
        <v>1.4930939226519337</v>
      </c>
      <c r="AB42" s="1">
        <v>520</v>
      </c>
      <c r="AC42" s="1">
        <v>54</v>
      </c>
      <c r="AD42" s="1">
        <v>2</v>
      </c>
      <c r="AE42" s="1">
        <v>3.7580558539205174E-2</v>
      </c>
    </row>
    <row r="43" spans="1:31" x14ac:dyDescent="0.3">
      <c r="A43" s="89">
        <v>12</v>
      </c>
      <c r="B43" s="89" t="s">
        <v>1</v>
      </c>
      <c r="C43" s="38">
        <v>2009</v>
      </c>
      <c r="D43" s="90">
        <v>144</v>
      </c>
      <c r="E43" s="90">
        <v>645</v>
      </c>
      <c r="F43" s="90">
        <f t="shared" si="12"/>
        <v>789</v>
      </c>
      <c r="G43" s="91">
        <f t="shared" si="7"/>
        <v>0.81749049429657794</v>
      </c>
      <c r="H43" s="399">
        <f t="shared" si="8"/>
        <v>4.479166666666667</v>
      </c>
      <c r="I43" s="197">
        <f>14/26</f>
        <v>0.53846153846153844</v>
      </c>
      <c r="J43" s="198" t="s">
        <v>368</v>
      </c>
      <c r="K43" s="198"/>
      <c r="L43" s="199"/>
      <c r="M43" s="200"/>
      <c r="Q43" s="5"/>
      <c r="R43" s="5" t="s">
        <v>0</v>
      </c>
      <c r="S43">
        <v>2006</v>
      </c>
      <c r="T43" s="4">
        <v>1306</v>
      </c>
      <c r="U43" s="4">
        <v>1397</v>
      </c>
      <c r="V43" s="4">
        <f t="shared" si="13"/>
        <v>2703</v>
      </c>
      <c r="W43" s="3">
        <f t="shared" si="14"/>
        <v>0.51683314835368099</v>
      </c>
      <c r="X43" s="2">
        <f t="shared" si="15"/>
        <v>1.0696784073506891</v>
      </c>
      <c r="AB43" s="1">
        <v>520</v>
      </c>
      <c r="AC43" s="1">
        <v>54</v>
      </c>
      <c r="AD43" s="1">
        <v>3</v>
      </c>
      <c r="AE43" s="1">
        <v>3.7580558539205174E-2</v>
      </c>
    </row>
    <row r="44" spans="1:31" ht="15" thickBot="1" x14ac:dyDescent="0.35">
      <c r="A44" s="89">
        <v>12</v>
      </c>
      <c r="B44" s="89" t="s">
        <v>1</v>
      </c>
      <c r="C44" s="38">
        <v>2010</v>
      </c>
      <c r="D44" s="90">
        <v>18</v>
      </c>
      <c r="E44" s="90">
        <v>33</v>
      </c>
      <c r="F44" s="90">
        <f t="shared" si="12"/>
        <v>51</v>
      </c>
      <c r="G44" s="91">
        <f t="shared" si="7"/>
        <v>0.64705882352941169</v>
      </c>
      <c r="H44" s="399">
        <f t="shared" si="8"/>
        <v>1.8333333333333333</v>
      </c>
      <c r="I44" s="193">
        <f>AVERAGE(I40:I43)</f>
        <v>1.7077609890109891</v>
      </c>
      <c r="J44" s="194" t="s">
        <v>371</v>
      </c>
      <c r="K44" s="194"/>
      <c r="L44" s="195"/>
      <c r="M44" s="196"/>
      <c r="Q44" s="5"/>
      <c r="R44" s="5" t="s">
        <v>0</v>
      </c>
      <c r="S44">
        <v>2007</v>
      </c>
      <c r="T44" s="4">
        <v>1297</v>
      </c>
      <c r="U44" s="4">
        <v>2207</v>
      </c>
      <c r="V44" s="4">
        <f t="shared" si="13"/>
        <v>3504</v>
      </c>
      <c r="W44" s="3">
        <f t="shared" si="14"/>
        <v>0.62985159817351599</v>
      </c>
      <c r="X44" s="2">
        <f t="shared" si="15"/>
        <v>1.7016191210485736</v>
      </c>
      <c r="AB44" s="1">
        <v>520</v>
      </c>
      <c r="AC44" s="1">
        <v>54</v>
      </c>
      <c r="AD44" s="1">
        <v>4</v>
      </c>
      <c r="AE44" s="1">
        <v>0.65900000000000003</v>
      </c>
    </row>
    <row r="45" spans="1:31" x14ac:dyDescent="0.3">
      <c r="A45" s="89">
        <v>12</v>
      </c>
      <c r="B45" s="89" t="s">
        <v>1</v>
      </c>
      <c r="C45" s="38">
        <v>2011</v>
      </c>
      <c r="D45" s="90">
        <v>1</v>
      </c>
      <c r="E45" s="90">
        <v>4</v>
      </c>
      <c r="F45" s="90">
        <f t="shared" si="12"/>
        <v>5</v>
      </c>
      <c r="G45" s="91"/>
      <c r="H45" s="399"/>
      <c r="Q45" s="5"/>
      <c r="R45" s="5" t="s">
        <v>0</v>
      </c>
      <c r="S45">
        <v>2008</v>
      </c>
      <c r="T45" s="4">
        <v>973</v>
      </c>
      <c r="U45" s="4">
        <v>1200</v>
      </c>
      <c r="V45" s="4">
        <f t="shared" si="13"/>
        <v>2173</v>
      </c>
      <c r="W45" s="3">
        <f t="shared" si="14"/>
        <v>0.55223193741371379</v>
      </c>
      <c r="X45" s="2">
        <f t="shared" si="15"/>
        <v>1.2332990750256938</v>
      </c>
      <c r="AB45" s="1">
        <v>520</v>
      </c>
      <c r="AC45" s="1">
        <v>56</v>
      </c>
      <c r="AD45" s="1">
        <v>1</v>
      </c>
      <c r="AE45" s="1">
        <v>6.337882501485443</v>
      </c>
    </row>
    <row r="46" spans="1:31" ht="15" thickBot="1" x14ac:dyDescent="0.35">
      <c r="A46" s="92">
        <v>12</v>
      </c>
      <c r="B46" s="92" t="s">
        <v>1</v>
      </c>
      <c r="C46" s="93">
        <v>2012</v>
      </c>
      <c r="D46" s="94">
        <v>5</v>
      </c>
      <c r="E46" s="94">
        <v>27</v>
      </c>
      <c r="F46" s="94">
        <f t="shared" si="12"/>
        <v>32</v>
      </c>
      <c r="G46" s="95">
        <f>1-1/(H46+1)</f>
        <v>0.84375</v>
      </c>
      <c r="H46" s="400">
        <f>E46/D46</f>
        <v>5.4</v>
      </c>
      <c r="I46" s="15" t="s">
        <v>37</v>
      </c>
      <c r="J46" s="85" t="s">
        <v>38</v>
      </c>
      <c r="K46" s="85" t="s">
        <v>39</v>
      </c>
      <c r="L46" s="83" t="s">
        <v>33</v>
      </c>
      <c r="M46" s="15" t="s">
        <v>34</v>
      </c>
      <c r="N46" s="15" t="s">
        <v>35</v>
      </c>
      <c r="O46" s="15" t="s">
        <v>36</v>
      </c>
      <c r="Q46" s="5"/>
      <c r="R46" s="5" t="s">
        <v>0</v>
      </c>
      <c r="S46">
        <v>2009</v>
      </c>
      <c r="T46" s="4">
        <v>1059</v>
      </c>
      <c r="U46" s="4">
        <v>1239</v>
      </c>
      <c r="V46" s="4">
        <f t="shared" si="13"/>
        <v>2298</v>
      </c>
      <c r="W46" s="3">
        <f t="shared" si="14"/>
        <v>0.53916449086161877</v>
      </c>
      <c r="X46" s="2">
        <f t="shared" si="15"/>
        <v>1.1699716713881019</v>
      </c>
      <c r="AB46" s="1">
        <v>520</v>
      </c>
      <c r="AC46" s="1">
        <v>56</v>
      </c>
      <c r="AD46" s="1">
        <v>2</v>
      </c>
      <c r="AE46" s="1">
        <v>1.6870349370349373</v>
      </c>
    </row>
    <row r="47" spans="1:31" x14ac:dyDescent="0.3">
      <c r="A47" s="5">
        <v>13</v>
      </c>
      <c r="B47" s="5" t="s">
        <v>1</v>
      </c>
      <c r="C47" s="283" t="s">
        <v>404</v>
      </c>
      <c r="D47" s="4">
        <v>0</v>
      </c>
      <c r="E47" s="4">
        <v>2</v>
      </c>
      <c r="F47" s="4">
        <f t="shared" si="12"/>
        <v>2</v>
      </c>
      <c r="G47" s="3"/>
      <c r="H47" s="113"/>
      <c r="I47" s="324">
        <f>COUNT(H53:H58)</f>
        <v>5</v>
      </c>
      <c r="J47" s="17">
        <f>MIN(H53:H58)</f>
        <v>3.5</v>
      </c>
      <c r="K47" s="17">
        <f>MAX(H53:H58)</f>
        <v>22.4</v>
      </c>
      <c r="L47" s="325">
        <f>AVERAGE(H52:H58)</f>
        <v>7.051388888888888</v>
      </c>
      <c r="M47" s="16">
        <f>SUM(E53:E58)/SUM(D53:D58)</f>
        <v>5.9428571428571431</v>
      </c>
      <c r="N47" s="16">
        <f>GEOMEAN(H53:H58)</f>
        <v>6.3395020374955386</v>
      </c>
      <c r="O47" s="16">
        <f>MEDIAN(H53:H58)</f>
        <v>5.5333333333333332</v>
      </c>
      <c r="Q47" s="6"/>
      <c r="R47" s="5" t="s">
        <v>0</v>
      </c>
      <c r="S47">
        <v>2010</v>
      </c>
      <c r="T47" s="4">
        <v>99</v>
      </c>
      <c r="U47" s="4">
        <v>264</v>
      </c>
      <c r="V47" s="4">
        <f t="shared" si="13"/>
        <v>363</v>
      </c>
      <c r="W47" s="3">
        <f t="shared" si="14"/>
        <v>0.72727272727272729</v>
      </c>
      <c r="X47" s="2">
        <f t="shared" si="15"/>
        <v>2.6666666666666665</v>
      </c>
      <c r="AB47" s="1">
        <v>520</v>
      </c>
      <c r="AC47" s="1">
        <v>56</v>
      </c>
      <c r="AD47" s="1">
        <v>3</v>
      </c>
      <c r="AE47" s="1">
        <v>1.6870349370349373</v>
      </c>
    </row>
    <row r="48" spans="1:31" x14ac:dyDescent="0.3">
      <c r="A48" s="5">
        <v>13</v>
      </c>
      <c r="B48" s="5" t="s">
        <v>1</v>
      </c>
      <c r="C48" s="283" t="s">
        <v>405</v>
      </c>
      <c r="D48" s="4">
        <v>15</v>
      </c>
      <c r="E48" s="4">
        <v>39</v>
      </c>
      <c r="F48" s="4">
        <f t="shared" si="12"/>
        <v>54</v>
      </c>
      <c r="G48" s="3">
        <f t="shared" ref="G48:G54" si="16">1-1/(H48+1)</f>
        <v>0.72222222222222221</v>
      </c>
      <c r="H48" s="113">
        <f t="shared" ref="H48:H54" si="17">E48/D48</f>
        <v>2.6</v>
      </c>
      <c r="I48" t="s">
        <v>423</v>
      </c>
      <c r="Q48" s="5" t="s">
        <v>2</v>
      </c>
      <c r="R48" s="5" t="s">
        <v>0</v>
      </c>
      <c r="S48">
        <v>2003</v>
      </c>
      <c r="T48" s="4">
        <v>26</v>
      </c>
      <c r="U48" s="4">
        <v>42</v>
      </c>
      <c r="V48" s="4">
        <f t="shared" si="13"/>
        <v>68</v>
      </c>
      <c r="W48" s="3">
        <f t="shared" si="14"/>
        <v>0.61764705882352944</v>
      </c>
      <c r="X48" s="2">
        <f t="shared" si="15"/>
        <v>1.6153846153846154</v>
      </c>
      <c r="AB48" s="1">
        <v>520</v>
      </c>
      <c r="AC48" s="1">
        <v>56</v>
      </c>
      <c r="AD48" s="1">
        <v>4</v>
      </c>
      <c r="AE48" s="1">
        <v>6.337882501485443</v>
      </c>
    </row>
    <row r="49" spans="1:31" x14ac:dyDescent="0.3">
      <c r="A49" s="5">
        <v>13</v>
      </c>
      <c r="B49" s="5" t="s">
        <v>1</v>
      </c>
      <c r="C49" s="283" t="s">
        <v>406</v>
      </c>
      <c r="D49" s="4">
        <v>12</v>
      </c>
      <c r="E49" s="4">
        <v>183</v>
      </c>
      <c r="F49" s="4">
        <f t="shared" si="12"/>
        <v>195</v>
      </c>
      <c r="G49" s="3">
        <f t="shared" si="16"/>
        <v>0.93846153846153846</v>
      </c>
      <c r="H49" s="113">
        <f t="shared" si="17"/>
        <v>15.25</v>
      </c>
      <c r="I49" s="283" t="s">
        <v>424</v>
      </c>
      <c r="Q49" s="5"/>
      <c r="R49" s="5" t="s">
        <v>0</v>
      </c>
      <c r="S49">
        <v>2004</v>
      </c>
      <c r="T49" s="4">
        <v>69</v>
      </c>
      <c r="U49" s="4">
        <v>56</v>
      </c>
      <c r="V49" s="4">
        <f t="shared" si="13"/>
        <v>125</v>
      </c>
      <c r="W49" s="3">
        <f t="shared" si="14"/>
        <v>0.44800000000000006</v>
      </c>
      <c r="X49" s="2">
        <f t="shared" si="15"/>
        <v>0.81159420289855078</v>
      </c>
      <c r="AB49" s="1">
        <v>520</v>
      </c>
      <c r="AC49" s="1">
        <v>57</v>
      </c>
      <c r="AD49" s="1">
        <v>1</v>
      </c>
      <c r="AE49" s="1">
        <v>6.8140000000000001</v>
      </c>
    </row>
    <row r="50" spans="1:31" x14ac:dyDescent="0.3">
      <c r="A50" s="5">
        <v>13</v>
      </c>
      <c r="B50" s="5" t="s">
        <v>1</v>
      </c>
      <c r="C50" s="283" t="s">
        <v>407</v>
      </c>
      <c r="D50" s="4">
        <v>22</v>
      </c>
      <c r="E50" s="4">
        <v>53</v>
      </c>
      <c r="F50" s="4">
        <f t="shared" si="12"/>
        <v>75</v>
      </c>
      <c r="G50" s="3">
        <f t="shared" si="16"/>
        <v>0.70666666666666667</v>
      </c>
      <c r="H50" s="113">
        <f t="shared" si="17"/>
        <v>2.4090909090909092</v>
      </c>
      <c r="Q50" s="5"/>
      <c r="R50" s="5" t="s">
        <v>0</v>
      </c>
      <c r="S50">
        <v>2005</v>
      </c>
      <c r="T50" s="4">
        <v>84</v>
      </c>
      <c r="U50" s="4">
        <v>75</v>
      </c>
      <c r="V50" s="4">
        <f t="shared" si="13"/>
        <v>159</v>
      </c>
      <c r="W50" s="3">
        <f t="shared" si="14"/>
        <v>0.47169811320754718</v>
      </c>
      <c r="X50" s="2">
        <f t="shared" si="15"/>
        <v>0.8928571428571429</v>
      </c>
      <c r="AB50" s="1">
        <v>520</v>
      </c>
      <c r="AC50" s="1">
        <v>57</v>
      </c>
      <c r="AD50" s="1">
        <v>2</v>
      </c>
      <c r="AE50" s="1">
        <v>0.4828216374269006</v>
      </c>
    </row>
    <row r="51" spans="1:31" x14ac:dyDescent="0.3">
      <c r="A51" s="5">
        <v>13</v>
      </c>
      <c r="B51" s="5" t="s">
        <v>1</v>
      </c>
      <c r="C51" s="283" t="s">
        <v>408</v>
      </c>
      <c r="D51" s="4">
        <v>29</v>
      </c>
      <c r="E51" s="4">
        <v>750</v>
      </c>
      <c r="F51" s="4">
        <f t="shared" si="12"/>
        <v>779</v>
      </c>
      <c r="G51" s="3">
        <f t="shared" si="16"/>
        <v>0.96277278562259305</v>
      </c>
      <c r="H51" s="113">
        <f t="shared" si="17"/>
        <v>25.862068965517242</v>
      </c>
      <c r="Q51" s="5"/>
      <c r="R51" s="5" t="s">
        <v>0</v>
      </c>
      <c r="S51">
        <v>2006</v>
      </c>
      <c r="T51" s="4">
        <v>62</v>
      </c>
      <c r="U51" s="4">
        <v>115</v>
      </c>
      <c r="V51" s="4">
        <f t="shared" si="13"/>
        <v>177</v>
      </c>
      <c r="W51" s="3">
        <f t="shared" si="14"/>
        <v>0.64971751412429368</v>
      </c>
      <c r="X51" s="2">
        <f t="shared" si="15"/>
        <v>1.8548387096774193</v>
      </c>
      <c r="AB51" s="1">
        <v>520</v>
      </c>
      <c r="AC51" s="1">
        <v>57</v>
      </c>
      <c r="AD51" s="1">
        <v>3</v>
      </c>
      <c r="AE51" s="1">
        <v>0.4828216374269006</v>
      </c>
    </row>
    <row r="52" spans="1:31" x14ac:dyDescent="0.3">
      <c r="A52" s="5">
        <v>13</v>
      </c>
      <c r="B52" s="5" t="s">
        <v>1</v>
      </c>
      <c r="C52" s="283" t="s">
        <v>409</v>
      </c>
      <c r="D52" s="4">
        <v>32</v>
      </c>
      <c r="E52" s="4">
        <v>28</v>
      </c>
      <c r="F52" s="4">
        <f t="shared" si="12"/>
        <v>60</v>
      </c>
      <c r="G52" s="3">
        <f t="shared" si="16"/>
        <v>0.46666666666666667</v>
      </c>
      <c r="H52" s="113">
        <f t="shared" si="17"/>
        <v>0.875</v>
      </c>
      <c r="Q52" s="5"/>
      <c r="R52" s="5" t="s">
        <v>0</v>
      </c>
      <c r="S52">
        <v>2007</v>
      </c>
      <c r="T52" s="4">
        <v>66</v>
      </c>
      <c r="U52" s="4">
        <v>90</v>
      </c>
      <c r="V52" s="4">
        <f t="shared" si="13"/>
        <v>156</v>
      </c>
      <c r="W52" s="3">
        <f t="shared" si="14"/>
        <v>0.57692307692307687</v>
      </c>
      <c r="X52" s="2">
        <f t="shared" si="15"/>
        <v>1.3636363636363635</v>
      </c>
      <c r="AB52" s="1">
        <v>520</v>
      </c>
      <c r="AC52" s="1">
        <v>57</v>
      </c>
      <c r="AD52" s="1">
        <v>4</v>
      </c>
      <c r="AE52" s="1">
        <v>6.8140000000000001</v>
      </c>
    </row>
    <row r="53" spans="1:31" x14ac:dyDescent="0.3">
      <c r="A53" s="5">
        <v>13</v>
      </c>
      <c r="B53" s="5" t="s">
        <v>1</v>
      </c>
      <c r="C53" s="283" t="s">
        <v>410</v>
      </c>
      <c r="D53" s="4">
        <v>5</v>
      </c>
      <c r="E53" s="4">
        <v>112</v>
      </c>
      <c r="F53" s="4">
        <f t="shared" si="12"/>
        <v>117</v>
      </c>
      <c r="G53" s="3">
        <f t="shared" si="16"/>
        <v>0.95726495726495731</v>
      </c>
      <c r="H53" s="113">
        <f t="shared" si="17"/>
        <v>22.4</v>
      </c>
      <c r="Q53" s="6"/>
      <c r="R53" s="5" t="s">
        <v>0</v>
      </c>
      <c r="S53">
        <v>2008</v>
      </c>
      <c r="T53" s="4">
        <v>16</v>
      </c>
      <c r="U53" s="4">
        <v>34</v>
      </c>
      <c r="V53" s="4"/>
      <c r="W53" s="3"/>
      <c r="X53" s="2"/>
      <c r="AB53" s="1">
        <v>520</v>
      </c>
      <c r="AC53" s="1">
        <v>64</v>
      </c>
      <c r="AD53" s="1">
        <v>1</v>
      </c>
      <c r="AE53" s="1">
        <v>3.528</v>
      </c>
    </row>
    <row r="54" spans="1:31" x14ac:dyDescent="0.3">
      <c r="A54" s="5">
        <v>13</v>
      </c>
      <c r="B54" s="5" t="s">
        <v>1</v>
      </c>
      <c r="C54" s="283" t="s">
        <v>411</v>
      </c>
      <c r="D54" s="4">
        <v>11</v>
      </c>
      <c r="E54" s="4">
        <v>68</v>
      </c>
      <c r="F54" s="4">
        <f t="shared" si="12"/>
        <v>79</v>
      </c>
      <c r="G54" s="3">
        <f t="shared" si="16"/>
        <v>0.86075949367088611</v>
      </c>
      <c r="H54" s="113">
        <f t="shared" si="17"/>
        <v>6.1818181818181817</v>
      </c>
      <c r="AB54" s="1">
        <v>520</v>
      </c>
      <c r="AC54" s="1">
        <v>64</v>
      </c>
      <c r="AD54" s="1">
        <v>2</v>
      </c>
      <c r="AE54" s="1">
        <v>1.8520000000000001</v>
      </c>
    </row>
    <row r="55" spans="1:31" x14ac:dyDescent="0.3">
      <c r="A55" s="5">
        <v>13</v>
      </c>
      <c r="B55" s="5" t="s">
        <v>1</v>
      </c>
      <c r="C55" s="283" t="s">
        <v>412</v>
      </c>
      <c r="D55" s="4">
        <v>0</v>
      </c>
      <c r="E55" s="4">
        <v>13</v>
      </c>
      <c r="F55" s="4">
        <f t="shared" si="12"/>
        <v>13</v>
      </c>
      <c r="G55" s="3"/>
      <c r="H55" s="113"/>
      <c r="AB55" s="1">
        <v>520</v>
      </c>
      <c r="AC55" s="1">
        <v>64</v>
      </c>
      <c r="AD55" s="1">
        <v>3</v>
      </c>
      <c r="AE55" s="1">
        <v>1.8520000000000001</v>
      </c>
    </row>
    <row r="56" spans="1:31" x14ac:dyDescent="0.3">
      <c r="A56" s="5">
        <v>13</v>
      </c>
      <c r="B56" s="5" t="s">
        <v>1</v>
      </c>
      <c r="C56" s="283" t="s">
        <v>413</v>
      </c>
      <c r="D56" s="4">
        <v>15</v>
      </c>
      <c r="E56" s="4">
        <v>83</v>
      </c>
      <c r="F56" s="4">
        <f t="shared" si="12"/>
        <v>98</v>
      </c>
      <c r="G56" s="3">
        <f t="shared" ref="G56:G67" si="18">1-1/(H56+1)</f>
        <v>0.84693877551020402</v>
      </c>
      <c r="H56" s="113">
        <f t="shared" ref="H56:H67" si="19">E56/D56</f>
        <v>5.5333333333333332</v>
      </c>
      <c r="AB56" s="1">
        <v>520</v>
      </c>
      <c r="AC56" s="1">
        <v>64</v>
      </c>
      <c r="AD56" s="1">
        <v>4</v>
      </c>
      <c r="AE56" s="1">
        <v>3.528</v>
      </c>
    </row>
    <row r="57" spans="1:31" s="283" customFormat="1" x14ac:dyDescent="0.3">
      <c r="A57" s="5">
        <v>13</v>
      </c>
      <c r="B57" s="5" t="s">
        <v>1</v>
      </c>
      <c r="C57" s="218" t="s">
        <v>414</v>
      </c>
      <c r="D57" s="4">
        <v>28</v>
      </c>
      <c r="E57" s="4">
        <v>98</v>
      </c>
      <c r="F57" s="4">
        <f t="shared" ref="F57" si="20">E57+D57</f>
        <v>126</v>
      </c>
      <c r="G57" s="3">
        <f t="shared" ref="G57" si="21">1-1/(H57+1)</f>
        <v>0.77777777777777779</v>
      </c>
      <c r="H57" s="113">
        <f t="shared" ref="H57" si="22">E57/D57</f>
        <v>3.5</v>
      </c>
      <c r="J57" s="3"/>
      <c r="K57" s="3"/>
      <c r="L57" s="113"/>
      <c r="AB57" s="1"/>
      <c r="AC57" s="1"/>
      <c r="AD57" s="1"/>
      <c r="AE57" s="1"/>
    </row>
    <row r="58" spans="1:31" ht="15" thickBot="1" x14ac:dyDescent="0.35">
      <c r="A58" s="308">
        <v>13</v>
      </c>
      <c r="B58" s="308" t="s">
        <v>1</v>
      </c>
      <c r="C58" s="309" t="s">
        <v>415</v>
      </c>
      <c r="D58" s="310">
        <v>11</v>
      </c>
      <c r="E58" s="310">
        <v>42</v>
      </c>
      <c r="F58" s="310">
        <f t="shared" si="12"/>
        <v>53</v>
      </c>
      <c r="G58" s="311">
        <f t="shared" si="18"/>
        <v>0.79245283018867929</v>
      </c>
      <c r="H58" s="398">
        <f t="shared" si="19"/>
        <v>3.8181818181818183</v>
      </c>
      <c r="I58" s="15" t="s">
        <v>37</v>
      </c>
      <c r="J58" s="85" t="s">
        <v>38</v>
      </c>
      <c r="K58" s="85" t="s">
        <v>39</v>
      </c>
      <c r="L58" s="83" t="s">
        <v>33</v>
      </c>
      <c r="M58" s="15" t="s">
        <v>34</v>
      </c>
      <c r="N58" s="15" t="s">
        <v>35</v>
      </c>
      <c r="O58" s="15" t="s">
        <v>36</v>
      </c>
      <c r="Q58" s="112"/>
      <c r="AB58" s="1">
        <v>520</v>
      </c>
      <c r="AC58" s="1">
        <v>67</v>
      </c>
      <c r="AD58" s="1">
        <v>1</v>
      </c>
      <c r="AE58" s="1">
        <v>8.84</v>
      </c>
    </row>
    <row r="59" spans="1:31" x14ac:dyDescent="0.3">
      <c r="A59" s="5">
        <v>7</v>
      </c>
      <c r="B59" s="5" t="s">
        <v>0</v>
      </c>
      <c r="C59">
        <v>2003</v>
      </c>
      <c r="D59" s="4">
        <v>298</v>
      </c>
      <c r="E59" s="4">
        <v>142</v>
      </c>
      <c r="F59" s="4">
        <f t="shared" si="12"/>
        <v>440</v>
      </c>
      <c r="G59" s="3">
        <f t="shared" si="18"/>
        <v>0.32272727272727275</v>
      </c>
      <c r="H59" s="113">
        <f t="shared" si="19"/>
        <v>0.47651006711409394</v>
      </c>
      <c r="I59" s="324">
        <f>COUNT(H66:H71)</f>
        <v>6</v>
      </c>
      <c r="J59" s="17">
        <f>MIN(H66:H71)</f>
        <v>0.49259259259259258</v>
      </c>
      <c r="K59" s="17">
        <f>MAX(H66:H71)</f>
        <v>1.2699069286452946</v>
      </c>
      <c r="L59" s="325">
        <f>AVERAGE(H63:H69)</f>
        <v>0.68549975534279028</v>
      </c>
      <c r="M59" s="17">
        <f>SUM(E66:E71)/SUM(D66:D71)</f>
        <v>0.81066807499339844</v>
      </c>
      <c r="N59" s="17">
        <f>GEOMEAN(H66:H71)</f>
        <v>0.71094462655842783</v>
      </c>
      <c r="O59" s="17">
        <f>MEDIAN(H66:H71)</f>
        <v>0.6750123490525386</v>
      </c>
      <c r="Q59" s="112"/>
      <c r="AB59" s="1">
        <v>520</v>
      </c>
      <c r="AC59" s="1">
        <v>67</v>
      </c>
      <c r="AD59" s="1">
        <v>2</v>
      </c>
      <c r="AE59" s="1">
        <v>1.446</v>
      </c>
    </row>
    <row r="60" spans="1:31" x14ac:dyDescent="0.3">
      <c r="A60" s="5">
        <v>7</v>
      </c>
      <c r="B60" s="5" t="s">
        <v>0</v>
      </c>
      <c r="C60">
        <v>2004</v>
      </c>
      <c r="D60" s="4">
        <v>112</v>
      </c>
      <c r="E60" s="4">
        <v>44</v>
      </c>
      <c r="F60" s="4">
        <f t="shared" si="12"/>
        <v>156</v>
      </c>
      <c r="G60" s="3">
        <f t="shared" si="18"/>
        <v>0.28205128205128205</v>
      </c>
      <c r="H60" s="113">
        <f t="shared" si="19"/>
        <v>0.39285714285714285</v>
      </c>
      <c r="I60" t="s">
        <v>433</v>
      </c>
      <c r="Q60" s="112"/>
      <c r="AB60" s="1">
        <v>520</v>
      </c>
      <c r="AC60" s="1">
        <v>67</v>
      </c>
      <c r="AD60" s="1">
        <v>3</v>
      </c>
      <c r="AE60" s="1">
        <v>1.446</v>
      </c>
    </row>
    <row r="61" spans="1:31" x14ac:dyDescent="0.3">
      <c r="A61" s="5">
        <v>7</v>
      </c>
      <c r="B61" s="5" t="s">
        <v>0</v>
      </c>
      <c r="C61">
        <v>2005</v>
      </c>
      <c r="D61" s="4">
        <v>227</v>
      </c>
      <c r="E61" s="4">
        <v>167</v>
      </c>
      <c r="F61" s="4">
        <f t="shared" si="12"/>
        <v>394</v>
      </c>
      <c r="G61" s="3">
        <f t="shared" si="18"/>
        <v>0.42385786802030467</v>
      </c>
      <c r="H61" s="113">
        <f t="shared" si="19"/>
        <v>0.73568281938325997</v>
      </c>
      <c r="I61" s="283" t="s">
        <v>424</v>
      </c>
      <c r="Q61" s="112"/>
      <c r="AB61" s="1">
        <v>520</v>
      </c>
      <c r="AC61" s="1">
        <v>67</v>
      </c>
      <c r="AD61" s="1">
        <v>4</v>
      </c>
      <c r="AE61" s="1">
        <v>8.84</v>
      </c>
    </row>
    <row r="62" spans="1:31" x14ac:dyDescent="0.3">
      <c r="A62" s="5">
        <v>7</v>
      </c>
      <c r="B62" s="5" t="s">
        <v>0</v>
      </c>
      <c r="C62">
        <v>2006</v>
      </c>
      <c r="D62" s="4">
        <v>268</v>
      </c>
      <c r="E62" s="4">
        <v>61</v>
      </c>
      <c r="F62" s="4">
        <f t="shared" si="12"/>
        <v>329</v>
      </c>
      <c r="G62" s="3">
        <f t="shared" si="18"/>
        <v>0.18541033434650456</v>
      </c>
      <c r="H62" s="113">
        <f t="shared" si="19"/>
        <v>0.22761194029850745</v>
      </c>
      <c r="Q62" s="112"/>
      <c r="AB62" s="1">
        <v>480</v>
      </c>
      <c r="AC62" s="1">
        <v>36</v>
      </c>
      <c r="AD62" s="1">
        <v>1</v>
      </c>
      <c r="AE62" s="1">
        <v>0.14489259511383407</v>
      </c>
    </row>
    <row r="63" spans="1:31" x14ac:dyDescent="0.3">
      <c r="A63" s="5">
        <v>7</v>
      </c>
      <c r="B63" s="5" t="s">
        <v>0</v>
      </c>
      <c r="C63">
        <v>2007</v>
      </c>
      <c r="D63" s="4">
        <v>575</v>
      </c>
      <c r="E63" s="4">
        <v>462</v>
      </c>
      <c r="F63" s="4">
        <f t="shared" si="12"/>
        <v>1037</v>
      </c>
      <c r="G63" s="3">
        <f t="shared" si="18"/>
        <v>0.44551591128254575</v>
      </c>
      <c r="H63" s="113">
        <f t="shared" si="19"/>
        <v>0.8034782608695652</v>
      </c>
      <c r="Q63" s="112"/>
      <c r="AB63" s="1">
        <v>480</v>
      </c>
      <c r="AC63" s="1">
        <v>36</v>
      </c>
      <c r="AD63" s="1">
        <v>2</v>
      </c>
      <c r="AE63" s="1">
        <v>0.38899850000000002</v>
      </c>
    </row>
    <row r="64" spans="1:31" x14ac:dyDescent="0.3">
      <c r="A64" s="5">
        <v>7</v>
      </c>
      <c r="B64" s="5" t="s">
        <v>0</v>
      </c>
      <c r="C64">
        <v>2008</v>
      </c>
      <c r="D64" s="4">
        <v>455</v>
      </c>
      <c r="E64" s="4">
        <v>70</v>
      </c>
      <c r="F64" s="4">
        <f t="shared" si="12"/>
        <v>525</v>
      </c>
      <c r="G64" s="3">
        <f t="shared" si="18"/>
        <v>0.1333333333333333</v>
      </c>
      <c r="H64" s="113">
        <f t="shared" si="19"/>
        <v>0.15384615384615385</v>
      </c>
      <c r="Q64" s="112"/>
      <c r="AB64" s="1">
        <v>480</v>
      </c>
      <c r="AC64" s="1">
        <v>36</v>
      </c>
      <c r="AD64" s="1">
        <v>3</v>
      </c>
      <c r="AE64" s="1">
        <v>0.38899850000000002</v>
      </c>
    </row>
    <row r="65" spans="1:31" x14ac:dyDescent="0.3">
      <c r="A65" s="5">
        <v>7</v>
      </c>
      <c r="B65" s="5" t="s">
        <v>0</v>
      </c>
      <c r="C65">
        <v>2009</v>
      </c>
      <c r="D65" s="4">
        <v>488</v>
      </c>
      <c r="E65" s="4">
        <v>671</v>
      </c>
      <c r="F65" s="4">
        <f t="shared" si="12"/>
        <v>1159</v>
      </c>
      <c r="G65" s="3">
        <f t="shared" si="18"/>
        <v>0.57894736842105265</v>
      </c>
      <c r="H65" s="113">
        <f t="shared" si="19"/>
        <v>1.375</v>
      </c>
      <c r="Q65" s="112"/>
      <c r="AB65" s="1">
        <v>480</v>
      </c>
      <c r="AC65" s="1">
        <v>36</v>
      </c>
      <c r="AD65" s="1">
        <v>4</v>
      </c>
      <c r="AE65" s="1">
        <v>0.14489259511383407</v>
      </c>
    </row>
    <row r="66" spans="1:31" x14ac:dyDescent="0.3">
      <c r="A66" s="5">
        <v>7</v>
      </c>
      <c r="B66" s="5" t="s">
        <v>0</v>
      </c>
      <c r="C66">
        <v>2010</v>
      </c>
      <c r="D66" s="4">
        <v>270</v>
      </c>
      <c r="E66" s="4">
        <v>133</v>
      </c>
      <c r="F66" s="4">
        <f t="shared" si="12"/>
        <v>403</v>
      </c>
      <c r="G66" s="3">
        <f t="shared" si="18"/>
        <v>0.33002481389578153</v>
      </c>
      <c r="H66" s="113">
        <f t="shared" si="19"/>
        <v>0.49259259259259258</v>
      </c>
      <c r="Q66" s="112"/>
      <c r="AB66" s="1">
        <v>480</v>
      </c>
      <c r="AC66" s="1">
        <v>42</v>
      </c>
      <c r="AD66" s="1">
        <v>1</v>
      </c>
      <c r="AE66" s="1">
        <v>1.1987745000000001</v>
      </c>
    </row>
    <row r="67" spans="1:31" x14ac:dyDescent="0.3">
      <c r="A67" s="5">
        <v>7</v>
      </c>
      <c r="B67" s="5" t="s">
        <v>0</v>
      </c>
      <c r="C67">
        <v>2011</v>
      </c>
      <c r="D67" s="4">
        <v>772</v>
      </c>
      <c r="E67" s="4">
        <v>556</v>
      </c>
      <c r="F67" s="4">
        <f t="shared" si="12"/>
        <v>1328</v>
      </c>
      <c r="G67" s="3">
        <f t="shared" si="18"/>
        <v>0.41867469879518071</v>
      </c>
      <c r="H67" s="113">
        <f t="shared" si="19"/>
        <v>0.72020725388601037</v>
      </c>
      <c r="Q67" s="112"/>
      <c r="AB67" s="1">
        <v>480</v>
      </c>
      <c r="AC67" s="1">
        <v>42</v>
      </c>
      <c r="AD67" s="1">
        <v>2</v>
      </c>
      <c r="AE67" s="1">
        <v>0.31907747107522266</v>
      </c>
    </row>
    <row r="68" spans="1:31" x14ac:dyDescent="0.3">
      <c r="A68" s="5">
        <v>7</v>
      </c>
      <c r="B68" s="5" t="s">
        <v>0</v>
      </c>
      <c r="C68" s="283">
        <v>2012</v>
      </c>
      <c r="D68">
        <v>433</v>
      </c>
      <c r="E68">
        <v>270</v>
      </c>
      <c r="F68">
        <f>E68+D68</f>
        <v>703</v>
      </c>
      <c r="G68" s="3">
        <f t="shared" ref="G68:G82" si="23">1-1/(H68+1)</f>
        <v>0.38406827880512084</v>
      </c>
      <c r="H68" s="113">
        <f t="shared" ref="H68:H82" si="24">E68/D68</f>
        <v>0.62355658198614317</v>
      </c>
      <c r="Q68" s="112"/>
      <c r="AB68" s="1">
        <v>480</v>
      </c>
      <c r="AC68" s="1">
        <v>42</v>
      </c>
      <c r="AD68" s="1">
        <v>3</v>
      </c>
      <c r="AE68" s="1">
        <v>0.31907747107522266</v>
      </c>
    </row>
    <row r="69" spans="1:31" x14ac:dyDescent="0.3">
      <c r="A69" s="5">
        <v>7</v>
      </c>
      <c r="B69" s="5" t="s">
        <v>0</v>
      </c>
      <c r="C69" s="283">
        <v>2013</v>
      </c>
      <c r="D69">
        <v>986</v>
      </c>
      <c r="E69">
        <v>621</v>
      </c>
      <c r="F69">
        <f>E69+D69</f>
        <v>1607</v>
      </c>
      <c r="G69" s="3">
        <f t="shared" si="23"/>
        <v>0.38643434971997515</v>
      </c>
      <c r="H69" s="113">
        <f t="shared" si="24"/>
        <v>0.62981744421906694</v>
      </c>
      <c r="AB69" s="1">
        <v>480</v>
      </c>
      <c r="AC69" s="1">
        <v>42</v>
      </c>
      <c r="AD69" s="1">
        <v>4</v>
      </c>
      <c r="AE69" s="1">
        <v>1.1987745000000001</v>
      </c>
    </row>
    <row r="70" spans="1:31" x14ac:dyDescent="0.3">
      <c r="A70" s="301">
        <v>7</v>
      </c>
      <c r="B70" s="301" t="s">
        <v>0</v>
      </c>
      <c r="C70" s="292">
        <v>2014</v>
      </c>
      <c r="D70" s="320">
        <v>359</v>
      </c>
      <c r="E70" s="320">
        <v>262</v>
      </c>
      <c r="F70" s="320">
        <f>E70+D70</f>
        <v>621</v>
      </c>
      <c r="G70" s="321">
        <f t="shared" si="23"/>
        <v>0.4219001610305958</v>
      </c>
      <c r="H70" s="401">
        <f t="shared" si="24"/>
        <v>0.72980501392757657</v>
      </c>
      <c r="AB70" s="1">
        <v>480</v>
      </c>
      <c r="AC70" s="1">
        <v>45</v>
      </c>
      <c r="AD70" s="1">
        <v>1</v>
      </c>
      <c r="AE70" s="1">
        <v>1.9109756141167629</v>
      </c>
    </row>
    <row r="71" spans="1:31" ht="15" thickBot="1" x14ac:dyDescent="0.35">
      <c r="A71" s="308">
        <v>7</v>
      </c>
      <c r="B71" s="308" t="s">
        <v>0</v>
      </c>
      <c r="C71" s="309">
        <v>2015</v>
      </c>
      <c r="D71" s="310">
        <v>967</v>
      </c>
      <c r="E71" s="310">
        <v>1228</v>
      </c>
      <c r="F71" s="310">
        <f>E71+D71</f>
        <v>2195</v>
      </c>
      <c r="G71" s="311">
        <f t="shared" si="23"/>
        <v>0.5594533029612756</v>
      </c>
      <c r="H71" s="398">
        <f t="shared" si="24"/>
        <v>1.2699069286452946</v>
      </c>
      <c r="I71" s="15" t="s">
        <v>37</v>
      </c>
      <c r="J71" s="85" t="s">
        <v>38</v>
      </c>
      <c r="K71" s="85" t="s">
        <v>39</v>
      </c>
      <c r="L71" s="83" t="s">
        <v>33</v>
      </c>
      <c r="M71" s="15" t="s">
        <v>34</v>
      </c>
      <c r="N71" s="15" t="s">
        <v>35</v>
      </c>
      <c r="O71" s="15" t="s">
        <v>36</v>
      </c>
      <c r="AB71" s="1">
        <v>480</v>
      </c>
      <c r="AC71" s="1">
        <v>45</v>
      </c>
      <c r="AD71" s="1">
        <v>2</v>
      </c>
      <c r="AE71" s="1">
        <v>0</v>
      </c>
    </row>
    <row r="72" spans="1:31" x14ac:dyDescent="0.3">
      <c r="A72" s="89">
        <v>11</v>
      </c>
      <c r="B72" s="89" t="s">
        <v>0</v>
      </c>
      <c r="C72" s="38">
        <v>2003</v>
      </c>
      <c r="D72" s="90">
        <v>1689</v>
      </c>
      <c r="E72" s="90">
        <v>529</v>
      </c>
      <c r="F72" s="90">
        <f t="shared" ref="F72:F83" si="25">E72+D72</f>
        <v>2218</v>
      </c>
      <c r="G72" s="91">
        <f t="shared" si="23"/>
        <v>0.23850315599639316</v>
      </c>
      <c r="H72" s="399">
        <f t="shared" si="24"/>
        <v>0.3132030787448194</v>
      </c>
      <c r="I72" s="326">
        <f>COUNT(H72:H75)</f>
        <v>4</v>
      </c>
      <c r="J72" s="327">
        <f>MIN(H72:H75)</f>
        <v>0.3132030787448194</v>
      </c>
      <c r="K72" s="327">
        <f>MAX(H72:H75)</f>
        <v>3.704691812327507</v>
      </c>
      <c r="L72" s="328">
        <f>AVERAGE(H72:H75)</f>
        <v>1.5439654337615711</v>
      </c>
      <c r="M72" s="329">
        <f>SUM(E72:E75)/SUM(D72:D75)</f>
        <v>1.3603746907034289</v>
      </c>
      <c r="N72" s="329">
        <f>GEOMEAN(H72:H75)</f>
        <v>1.075164646884146</v>
      </c>
      <c r="O72" s="329">
        <f>MEDIAN(H72:H75)</f>
        <v>1.0789834219869792</v>
      </c>
      <c r="AB72" s="1">
        <v>480</v>
      </c>
      <c r="AC72" s="1">
        <v>45</v>
      </c>
      <c r="AD72" s="1">
        <v>3</v>
      </c>
      <c r="AE72" s="1">
        <v>0</v>
      </c>
    </row>
    <row r="73" spans="1:31" x14ac:dyDescent="0.3">
      <c r="A73" s="89">
        <v>11</v>
      </c>
      <c r="B73" s="89" t="s">
        <v>0</v>
      </c>
      <c r="C73" s="38">
        <v>2004</v>
      </c>
      <c r="D73" s="90">
        <v>1581</v>
      </c>
      <c r="E73" s="90">
        <v>1883</v>
      </c>
      <c r="F73" s="90">
        <f t="shared" si="25"/>
        <v>3464</v>
      </c>
      <c r="G73" s="91">
        <f t="shared" si="23"/>
        <v>0.5435912240184757</v>
      </c>
      <c r="H73" s="399">
        <f t="shared" si="24"/>
        <v>1.1910183428209993</v>
      </c>
      <c r="I73" t="s">
        <v>434</v>
      </c>
      <c r="AB73" s="1">
        <v>480</v>
      </c>
      <c r="AC73" s="1">
        <v>45</v>
      </c>
      <c r="AD73" s="1">
        <v>4</v>
      </c>
      <c r="AE73" s="1">
        <v>1.9109756141167629</v>
      </c>
    </row>
    <row r="74" spans="1:31" x14ac:dyDescent="0.3">
      <c r="A74" s="89">
        <v>11</v>
      </c>
      <c r="B74" s="89" t="s">
        <v>0</v>
      </c>
      <c r="C74" s="38">
        <v>2005</v>
      </c>
      <c r="D74" s="90">
        <v>1301</v>
      </c>
      <c r="E74" s="90">
        <v>1258</v>
      </c>
      <c r="F74" s="90">
        <f t="shared" si="25"/>
        <v>2559</v>
      </c>
      <c r="G74" s="91">
        <f t="shared" si="23"/>
        <v>0.49159828057835087</v>
      </c>
      <c r="H74" s="399">
        <f t="shared" si="24"/>
        <v>0.96694850115295927</v>
      </c>
      <c r="I74" s="283" t="s">
        <v>425</v>
      </c>
      <c r="AB74" s="1">
        <v>480</v>
      </c>
      <c r="AC74" s="1">
        <v>53</v>
      </c>
      <c r="AD74" s="1">
        <v>1</v>
      </c>
      <c r="AE74" s="1">
        <v>1.3300667347949957</v>
      </c>
    </row>
    <row r="75" spans="1:31" ht="15" thickBot="1" x14ac:dyDescent="0.35">
      <c r="A75" s="92">
        <v>11</v>
      </c>
      <c r="B75" s="92" t="s">
        <v>0</v>
      </c>
      <c r="C75" s="93">
        <v>2006</v>
      </c>
      <c r="D75" s="94">
        <v>1087</v>
      </c>
      <c r="E75" s="94">
        <v>4027</v>
      </c>
      <c r="F75" s="94">
        <f t="shared" si="25"/>
        <v>5114</v>
      </c>
      <c r="G75" s="95">
        <f t="shared" si="23"/>
        <v>0.78744622604614789</v>
      </c>
      <c r="H75" s="400">
        <f t="shared" si="24"/>
        <v>3.704691812327507</v>
      </c>
      <c r="I75" s="15" t="s">
        <v>37</v>
      </c>
      <c r="J75" s="85" t="s">
        <v>38</v>
      </c>
      <c r="K75" s="85" t="s">
        <v>39</v>
      </c>
      <c r="L75" s="83" t="s">
        <v>33</v>
      </c>
      <c r="M75" s="15" t="s">
        <v>34</v>
      </c>
      <c r="N75" s="15" t="s">
        <v>35</v>
      </c>
      <c r="O75" s="15" t="s">
        <v>36</v>
      </c>
      <c r="AB75" s="1">
        <v>480</v>
      </c>
      <c r="AC75" s="1">
        <v>53</v>
      </c>
      <c r="AD75" s="1">
        <v>2</v>
      </c>
      <c r="AE75" s="1">
        <v>0.8205802826125278</v>
      </c>
    </row>
    <row r="76" spans="1:31" x14ac:dyDescent="0.3">
      <c r="A76" s="5">
        <v>12</v>
      </c>
      <c r="B76" s="5" t="s">
        <v>0</v>
      </c>
      <c r="C76">
        <v>2003</v>
      </c>
      <c r="D76" s="4">
        <v>44</v>
      </c>
      <c r="E76" s="4">
        <v>52</v>
      </c>
      <c r="F76" s="4">
        <f t="shared" si="25"/>
        <v>96</v>
      </c>
      <c r="G76" s="3">
        <f t="shared" si="23"/>
        <v>0.54166666666666663</v>
      </c>
      <c r="H76" s="113">
        <f t="shared" si="24"/>
        <v>1.1818181818181819</v>
      </c>
      <c r="I76" s="324">
        <f>COUNT(H80:H85)</f>
        <v>5</v>
      </c>
      <c r="J76" s="17">
        <f>MIN(H80:H85)</f>
        <v>0.30952380952380953</v>
      </c>
      <c r="K76" s="17">
        <f>MAX(H80:H85)</f>
        <v>5.0512820512820511</v>
      </c>
      <c r="L76" s="325">
        <f>AVERAGE(H80:H85)</f>
        <v>1.7110805925469492</v>
      </c>
      <c r="M76" s="16">
        <f>SUM(E80:E85)/SUM(D80:D85)</f>
        <v>0.78165938864628826</v>
      </c>
      <c r="N76" s="16">
        <f>GEOMEAN(H79:H87)</f>
        <v>1.3816479329756808</v>
      </c>
      <c r="O76" s="16">
        <f>MEDIAN(H79:H87)</f>
        <v>1.2570692389006344</v>
      </c>
      <c r="AB76" s="1">
        <v>480</v>
      </c>
      <c r="AC76" s="1">
        <v>53</v>
      </c>
      <c r="AD76" s="1">
        <v>3</v>
      </c>
      <c r="AE76" s="1">
        <v>0.8205802826125278</v>
      </c>
    </row>
    <row r="77" spans="1:31" x14ac:dyDescent="0.3">
      <c r="A77" s="5">
        <v>12</v>
      </c>
      <c r="B77" s="5" t="s">
        <v>0</v>
      </c>
      <c r="C77">
        <v>2004</v>
      </c>
      <c r="D77" s="4">
        <v>115</v>
      </c>
      <c r="E77" s="4">
        <v>154</v>
      </c>
      <c r="F77" s="4">
        <f t="shared" si="25"/>
        <v>269</v>
      </c>
      <c r="G77" s="3">
        <f t="shared" si="23"/>
        <v>0.57249070631970267</v>
      </c>
      <c r="H77" s="113">
        <f t="shared" si="24"/>
        <v>1.3391304347826087</v>
      </c>
      <c r="I77" t="s">
        <v>435</v>
      </c>
      <c r="AB77" s="1">
        <v>480</v>
      </c>
      <c r="AC77" s="1">
        <v>53</v>
      </c>
      <c r="AD77" s="1">
        <v>4</v>
      </c>
      <c r="AE77" s="1">
        <v>1.3300667347949957</v>
      </c>
    </row>
    <row r="78" spans="1:31" x14ac:dyDescent="0.3">
      <c r="A78" s="5">
        <v>12</v>
      </c>
      <c r="B78" s="5" t="s">
        <v>0</v>
      </c>
      <c r="C78">
        <v>2005</v>
      </c>
      <c r="D78" s="4">
        <v>240</v>
      </c>
      <c r="E78" s="4">
        <v>93</v>
      </c>
      <c r="F78" s="4">
        <f t="shared" si="25"/>
        <v>333</v>
      </c>
      <c r="G78" s="3">
        <f t="shared" si="23"/>
        <v>0.2792792792792792</v>
      </c>
      <c r="H78" s="113">
        <f t="shared" si="24"/>
        <v>0.38750000000000001</v>
      </c>
      <c r="I78" s="283" t="s">
        <v>424</v>
      </c>
      <c r="AB78" s="1">
        <v>480</v>
      </c>
      <c r="AC78" s="1">
        <v>54</v>
      </c>
      <c r="AD78" s="1">
        <v>1</v>
      </c>
      <c r="AE78" s="1">
        <v>0.38782150000000004</v>
      </c>
    </row>
    <row r="79" spans="1:31" x14ac:dyDescent="0.3">
      <c r="A79" s="5">
        <v>12</v>
      </c>
      <c r="B79" s="5" t="s">
        <v>0</v>
      </c>
      <c r="C79">
        <v>2006</v>
      </c>
      <c r="D79" s="4">
        <v>110</v>
      </c>
      <c r="E79" s="4">
        <v>459</v>
      </c>
      <c r="F79" s="4">
        <f t="shared" si="25"/>
        <v>569</v>
      </c>
      <c r="G79" s="3">
        <f t="shared" si="23"/>
        <v>0.80667838312829532</v>
      </c>
      <c r="H79" s="113">
        <f t="shared" si="24"/>
        <v>4.1727272727272728</v>
      </c>
      <c r="AB79" s="1">
        <v>480</v>
      </c>
      <c r="AC79" s="1">
        <v>54</v>
      </c>
      <c r="AD79" s="1">
        <v>2</v>
      </c>
      <c r="AE79" s="1">
        <v>2.3416380297823596E-2</v>
      </c>
    </row>
    <row r="80" spans="1:31" ht="15" thickBot="1" x14ac:dyDescent="0.35">
      <c r="A80" s="5">
        <v>12</v>
      </c>
      <c r="B80" s="5" t="s">
        <v>0</v>
      </c>
      <c r="C80">
        <v>2007</v>
      </c>
      <c r="D80" s="4">
        <v>176</v>
      </c>
      <c r="E80" s="4">
        <v>201</v>
      </c>
      <c r="F80" s="4">
        <f t="shared" si="25"/>
        <v>377</v>
      </c>
      <c r="G80" s="3">
        <f t="shared" si="23"/>
        <v>0.53315649867374004</v>
      </c>
      <c r="H80" s="113">
        <f t="shared" si="24"/>
        <v>1.1420454545454546</v>
      </c>
      <c r="J80" s="3" t="s">
        <v>442</v>
      </c>
      <c r="AB80" s="1">
        <v>480</v>
      </c>
      <c r="AC80" s="1">
        <v>54</v>
      </c>
      <c r="AD80" s="1">
        <v>3</v>
      </c>
      <c r="AE80" s="1">
        <v>2.3416380297823596E-2</v>
      </c>
    </row>
    <row r="81" spans="1:31" x14ac:dyDescent="0.3">
      <c r="A81" s="5">
        <v>12</v>
      </c>
      <c r="B81" s="5" t="s">
        <v>0</v>
      </c>
      <c r="C81">
        <v>2008</v>
      </c>
      <c r="D81" s="4">
        <v>78</v>
      </c>
      <c r="E81" s="4">
        <v>394</v>
      </c>
      <c r="F81" s="4">
        <f t="shared" si="25"/>
        <v>472</v>
      </c>
      <c r="G81" s="3">
        <f t="shared" si="23"/>
        <v>0.8347457627118644</v>
      </c>
      <c r="H81" s="113">
        <f t="shared" si="24"/>
        <v>5.0512820512820511</v>
      </c>
      <c r="J81" s="338" t="s">
        <v>314</v>
      </c>
      <c r="K81" s="339" t="s">
        <v>443</v>
      </c>
      <c r="L81" s="340" t="s">
        <v>444</v>
      </c>
      <c r="M81" s="341" t="s">
        <v>379</v>
      </c>
      <c r="AB81" s="1">
        <v>480</v>
      </c>
      <c r="AC81" s="1">
        <v>54</v>
      </c>
      <c r="AD81" s="1">
        <v>4</v>
      </c>
      <c r="AE81" s="1">
        <v>0.38782150000000004</v>
      </c>
    </row>
    <row r="82" spans="1:31" ht="15" thickBot="1" x14ac:dyDescent="0.35">
      <c r="A82" s="5">
        <v>12</v>
      </c>
      <c r="B82" s="5" t="s">
        <v>0</v>
      </c>
      <c r="C82">
        <v>2009</v>
      </c>
      <c r="D82" s="4">
        <v>42</v>
      </c>
      <c r="E82" s="4">
        <v>13</v>
      </c>
      <c r="F82" s="4">
        <f t="shared" si="25"/>
        <v>55</v>
      </c>
      <c r="G82" s="3">
        <f t="shared" si="23"/>
        <v>0.23636363636363633</v>
      </c>
      <c r="H82" s="113">
        <f t="shared" si="24"/>
        <v>0.30952380952380953</v>
      </c>
      <c r="J82" s="342">
        <v>2012</v>
      </c>
      <c r="K82" s="343">
        <f>2566+1446</f>
        <v>4012</v>
      </c>
      <c r="L82" s="343">
        <f>1746+984</f>
        <v>2730</v>
      </c>
      <c r="M82" s="344">
        <f>L82/K82</f>
        <v>0.68045862412761715</v>
      </c>
      <c r="AB82" s="1">
        <v>480</v>
      </c>
      <c r="AC82" s="1">
        <v>56</v>
      </c>
      <c r="AD82" s="1">
        <v>1</v>
      </c>
      <c r="AE82" s="1">
        <v>3.5338034297780054</v>
      </c>
    </row>
    <row r="83" spans="1:31" x14ac:dyDescent="0.3">
      <c r="A83" s="5">
        <v>12</v>
      </c>
      <c r="B83" s="5" t="s">
        <v>0</v>
      </c>
      <c r="C83">
        <v>2010</v>
      </c>
      <c r="D83" s="4">
        <v>0</v>
      </c>
      <c r="E83" s="4">
        <v>4</v>
      </c>
      <c r="F83" s="4">
        <f t="shared" si="25"/>
        <v>4</v>
      </c>
      <c r="G83" s="3"/>
      <c r="H83" s="113"/>
      <c r="AB83" s="1">
        <v>480</v>
      </c>
      <c r="AC83" s="1">
        <v>56</v>
      </c>
      <c r="AD83" s="1">
        <v>2</v>
      </c>
      <c r="AE83" s="1">
        <v>1.2778037059558798</v>
      </c>
    </row>
    <row r="84" spans="1:31" x14ac:dyDescent="0.3">
      <c r="A84" s="281">
        <v>12</v>
      </c>
      <c r="B84" s="281" t="s">
        <v>0</v>
      </c>
      <c r="C84" s="218">
        <v>2011</v>
      </c>
      <c r="D84" s="306">
        <v>43</v>
      </c>
      <c r="E84" s="306">
        <v>59</v>
      </c>
      <c r="F84" s="306">
        <f t="shared" ref="F84:F129" si="26">E84+D84</f>
        <v>102</v>
      </c>
      <c r="G84" s="307">
        <f>1-1/(H84+1)</f>
        <v>0.57843137254901955</v>
      </c>
      <c r="H84" s="397">
        <f>E84/D84</f>
        <v>1.3720930232558139</v>
      </c>
      <c r="AB84" s="1">
        <v>480</v>
      </c>
      <c r="AC84" s="1">
        <v>56</v>
      </c>
      <c r="AD84" s="1">
        <v>3</v>
      </c>
      <c r="AE84" s="1">
        <v>1.2778037059558798</v>
      </c>
    </row>
    <row r="85" spans="1:31" x14ac:dyDescent="0.3">
      <c r="A85" s="301">
        <v>12</v>
      </c>
      <c r="B85" s="301" t="s">
        <v>0</v>
      </c>
      <c r="C85" s="292">
        <v>2012</v>
      </c>
      <c r="D85" s="320">
        <v>4012</v>
      </c>
      <c r="E85" s="320">
        <v>2730</v>
      </c>
      <c r="F85" s="320">
        <f t="shared" si="26"/>
        <v>6742</v>
      </c>
      <c r="G85" s="321">
        <f>1-1/(H85+1)</f>
        <v>0.40492435479086319</v>
      </c>
      <c r="H85" s="401">
        <f>M82</f>
        <v>0.68045862412761715</v>
      </c>
      <c r="AB85" s="1">
        <v>480</v>
      </c>
      <c r="AC85" s="1">
        <v>56</v>
      </c>
      <c r="AD85" s="1">
        <v>4</v>
      </c>
      <c r="AE85" s="1">
        <v>3.5338034297780054</v>
      </c>
    </row>
    <row r="86" spans="1:31" x14ac:dyDescent="0.3">
      <c r="A86" s="312">
        <v>12</v>
      </c>
      <c r="B86" s="312" t="s">
        <v>0</v>
      </c>
      <c r="C86" s="313">
        <v>2013</v>
      </c>
      <c r="D86" s="314"/>
      <c r="E86" s="314"/>
      <c r="F86" s="314">
        <f t="shared" si="26"/>
        <v>0</v>
      </c>
      <c r="G86" s="315"/>
      <c r="H86" s="402"/>
      <c r="AB86" s="1">
        <v>480</v>
      </c>
      <c r="AC86" s="1">
        <v>57</v>
      </c>
      <c r="AD86" s="1">
        <v>1</v>
      </c>
      <c r="AE86" s="1">
        <v>4.0100389999999999</v>
      </c>
    </row>
    <row r="87" spans="1:31" ht="15" thickBot="1" x14ac:dyDescent="0.35">
      <c r="A87" s="92">
        <v>12</v>
      </c>
      <c r="B87" s="92" t="s">
        <v>0</v>
      </c>
      <c r="C87" s="93">
        <v>2014</v>
      </c>
      <c r="D87" s="94"/>
      <c r="E87" s="94"/>
      <c r="F87" s="94">
        <f t="shared" si="26"/>
        <v>0</v>
      </c>
      <c r="G87" s="95"/>
      <c r="H87" s="400"/>
      <c r="I87" s="15" t="s">
        <v>37</v>
      </c>
      <c r="J87" s="85" t="s">
        <v>38</v>
      </c>
      <c r="K87" s="85" t="s">
        <v>39</v>
      </c>
      <c r="L87" s="83" t="s">
        <v>33</v>
      </c>
      <c r="M87" s="15" t="s">
        <v>34</v>
      </c>
      <c r="N87" s="15" t="s">
        <v>35</v>
      </c>
      <c r="O87" s="15" t="s">
        <v>36</v>
      </c>
      <c r="AB87" s="1">
        <v>480</v>
      </c>
      <c r="AC87" s="1">
        <v>57</v>
      </c>
      <c r="AD87" s="1">
        <v>2</v>
      </c>
      <c r="AE87" s="1">
        <v>0.2758990042572132</v>
      </c>
    </row>
    <row r="88" spans="1:31" x14ac:dyDescent="0.3">
      <c r="A88" s="89">
        <v>13</v>
      </c>
      <c r="B88" s="89" t="s">
        <v>0</v>
      </c>
      <c r="C88" s="38">
        <v>2003</v>
      </c>
      <c r="D88" s="90">
        <v>225</v>
      </c>
      <c r="E88" s="90">
        <v>135</v>
      </c>
      <c r="F88" s="90">
        <f t="shared" si="26"/>
        <v>360</v>
      </c>
      <c r="G88" s="91">
        <f>1-1/(H88+1)</f>
        <v>0.375</v>
      </c>
      <c r="H88" s="399">
        <f>E88/D88</f>
        <v>0.6</v>
      </c>
      <c r="I88" s="326">
        <f>COUNT(H88:H99)</f>
        <v>4</v>
      </c>
      <c r="J88" s="327">
        <f>MIN(H88:H99)</f>
        <v>0.5643564356435643</v>
      </c>
      <c r="K88" s="327">
        <f>MAX(H88:H99)</f>
        <v>3.2610441767068274</v>
      </c>
      <c r="L88" s="328">
        <f>AVERAGE(H88:H99)</f>
        <v>1.474207295944741</v>
      </c>
      <c r="M88" s="329">
        <f>SUM(E88:E99)/SUM(D88:D99)</f>
        <v>1.4457953394123606</v>
      </c>
      <c r="N88" s="329">
        <f>GEOMEAN(H88:H99)</f>
        <v>1.1290161381639627</v>
      </c>
      <c r="O88" s="329">
        <f>MEDIAN(H88:H99)</f>
        <v>1.0357142857142858</v>
      </c>
    </row>
    <row r="89" spans="1:31" x14ac:dyDescent="0.3">
      <c r="A89" s="89">
        <v>13</v>
      </c>
      <c r="B89" s="89" t="s">
        <v>0</v>
      </c>
      <c r="C89" s="38">
        <v>2004</v>
      </c>
      <c r="D89" s="90">
        <v>210</v>
      </c>
      <c r="E89" s="90">
        <v>309</v>
      </c>
      <c r="F89" s="90">
        <f>E89+D89</f>
        <v>519</v>
      </c>
      <c r="G89" s="91">
        <f>1-1/(H89+1)</f>
        <v>0.59537572254335269</v>
      </c>
      <c r="H89" s="399">
        <f>E89/D89</f>
        <v>1.4714285714285715</v>
      </c>
      <c r="I89" s="283" t="s">
        <v>436</v>
      </c>
    </row>
    <row r="90" spans="1:31" x14ac:dyDescent="0.3">
      <c r="A90" s="89">
        <v>13</v>
      </c>
      <c r="B90" s="89" t="s">
        <v>0</v>
      </c>
      <c r="C90" s="38">
        <v>2005</v>
      </c>
      <c r="D90" s="90">
        <v>303</v>
      </c>
      <c r="E90" s="90">
        <v>171</v>
      </c>
      <c r="F90" s="90">
        <f t="shared" si="26"/>
        <v>474</v>
      </c>
      <c r="G90" s="91">
        <f>1-1/(H90+1)</f>
        <v>0.36075949367088611</v>
      </c>
      <c r="H90" s="399">
        <f>E90/D90</f>
        <v>0.5643564356435643</v>
      </c>
      <c r="I90" s="283" t="s">
        <v>445</v>
      </c>
    </row>
    <row r="91" spans="1:31" x14ac:dyDescent="0.3">
      <c r="A91" s="312">
        <v>13</v>
      </c>
      <c r="B91" s="312" t="s">
        <v>0</v>
      </c>
      <c r="C91" s="313">
        <v>2006</v>
      </c>
      <c r="D91" s="314">
        <v>249</v>
      </c>
      <c r="E91" s="314">
        <v>812</v>
      </c>
      <c r="F91" s="314">
        <f t="shared" si="26"/>
        <v>1061</v>
      </c>
      <c r="G91" s="315">
        <f>1-1/(H91+1)</f>
        <v>0.76531573986804902</v>
      </c>
      <c r="H91" s="402">
        <f>E91/D91</f>
        <v>3.2610441767068274</v>
      </c>
    </row>
    <row r="92" spans="1:31" x14ac:dyDescent="0.3">
      <c r="A92" s="312">
        <v>13</v>
      </c>
      <c r="B92" s="312" t="s">
        <v>0</v>
      </c>
      <c r="C92" s="38">
        <v>2007</v>
      </c>
      <c r="D92" s="38"/>
      <c r="E92" s="38"/>
      <c r="F92" s="314">
        <f t="shared" si="26"/>
        <v>0</v>
      </c>
      <c r="G92" s="38"/>
      <c r="H92" s="399"/>
    </row>
    <row r="93" spans="1:31" x14ac:dyDescent="0.3">
      <c r="A93" s="312">
        <v>13</v>
      </c>
      <c r="B93" s="312" t="s">
        <v>0</v>
      </c>
      <c r="C93" s="313">
        <v>2008</v>
      </c>
      <c r="D93" s="38"/>
      <c r="E93" s="38"/>
      <c r="F93" s="314">
        <f t="shared" si="26"/>
        <v>0</v>
      </c>
      <c r="G93" s="38"/>
      <c r="H93" s="399"/>
    </row>
    <row r="94" spans="1:31" x14ac:dyDescent="0.3">
      <c r="A94" s="312">
        <v>13</v>
      </c>
      <c r="B94" s="312" t="s">
        <v>0</v>
      </c>
      <c r="C94" s="38">
        <v>2009</v>
      </c>
      <c r="D94" s="38"/>
      <c r="E94" s="38"/>
      <c r="F94" s="314">
        <f t="shared" si="26"/>
        <v>0</v>
      </c>
      <c r="G94" s="38"/>
      <c r="H94" s="399"/>
    </row>
    <row r="95" spans="1:31" x14ac:dyDescent="0.3">
      <c r="A95" s="312">
        <v>13</v>
      </c>
      <c r="B95" s="312" t="s">
        <v>0</v>
      </c>
      <c r="C95" s="313">
        <v>2010</v>
      </c>
      <c r="D95" s="38"/>
      <c r="E95" s="38"/>
      <c r="F95" s="314">
        <f t="shared" si="26"/>
        <v>0</v>
      </c>
      <c r="G95" s="38"/>
      <c r="H95" s="399"/>
    </row>
    <row r="96" spans="1:31" x14ac:dyDescent="0.3">
      <c r="A96" s="312">
        <v>13</v>
      </c>
      <c r="B96" s="312" t="s">
        <v>0</v>
      </c>
      <c r="C96" s="38">
        <v>2011</v>
      </c>
      <c r="D96" s="38"/>
      <c r="E96" s="38"/>
      <c r="F96" s="314">
        <f t="shared" si="26"/>
        <v>0</v>
      </c>
      <c r="G96" s="38"/>
      <c r="H96" s="399"/>
    </row>
    <row r="97" spans="1:15" x14ac:dyDescent="0.3">
      <c r="A97" s="312">
        <v>13</v>
      </c>
      <c r="B97" s="312" t="s">
        <v>0</v>
      </c>
      <c r="C97" s="313">
        <v>2012</v>
      </c>
      <c r="D97" s="38"/>
      <c r="E97" s="38"/>
      <c r="F97" s="314">
        <f t="shared" si="26"/>
        <v>0</v>
      </c>
      <c r="G97" s="38"/>
      <c r="H97" s="399"/>
    </row>
    <row r="98" spans="1:15" x14ac:dyDescent="0.3">
      <c r="A98" s="312">
        <v>13</v>
      </c>
      <c r="B98" s="312" t="s">
        <v>0</v>
      </c>
      <c r="C98" s="38">
        <v>2013</v>
      </c>
      <c r="D98" s="38"/>
      <c r="E98" s="38"/>
      <c r="F98" s="314">
        <f t="shared" si="26"/>
        <v>0</v>
      </c>
      <c r="G98" s="38"/>
      <c r="H98" s="399"/>
    </row>
    <row r="99" spans="1:15" ht="15" thickBot="1" x14ac:dyDescent="0.35">
      <c r="A99" s="92">
        <v>13</v>
      </c>
      <c r="B99" s="92" t="s">
        <v>0</v>
      </c>
      <c r="C99" s="93">
        <v>2014</v>
      </c>
      <c r="D99" s="94"/>
      <c r="E99" s="94"/>
      <c r="F99" s="94">
        <f t="shared" si="26"/>
        <v>0</v>
      </c>
      <c r="G99" s="95"/>
      <c r="H99" s="403"/>
      <c r="I99" s="15" t="s">
        <v>37</v>
      </c>
      <c r="J99" s="85" t="s">
        <v>38</v>
      </c>
      <c r="K99" s="85" t="s">
        <v>39</v>
      </c>
      <c r="L99" s="83" t="s">
        <v>33</v>
      </c>
      <c r="M99" s="15" t="s">
        <v>34</v>
      </c>
      <c r="N99" s="15" t="s">
        <v>35</v>
      </c>
      <c r="O99" s="15" t="s">
        <v>36</v>
      </c>
    </row>
    <row r="100" spans="1:15" x14ac:dyDescent="0.3">
      <c r="A100" t="s">
        <v>501</v>
      </c>
      <c r="B100">
        <v>3</v>
      </c>
      <c r="C100">
        <v>2003</v>
      </c>
      <c r="D100">
        <v>382</v>
      </c>
      <c r="E100">
        <v>151</v>
      </c>
      <c r="F100" s="405">
        <f t="shared" si="26"/>
        <v>533</v>
      </c>
      <c r="G100">
        <f>1-1/(H100+1)</f>
        <v>0.28330206378986877</v>
      </c>
      <c r="H100" s="113">
        <f>E100/D100</f>
        <v>0.39528795811518325</v>
      </c>
      <c r="I100" s="324">
        <f>COUNT(H104:H110)</f>
        <v>7</v>
      </c>
      <c r="J100" s="17">
        <f>MIN(H104:H110)</f>
        <v>0.14285714285714285</v>
      </c>
      <c r="K100" s="17">
        <f>MAX(H104:H110)</f>
        <v>3</v>
      </c>
      <c r="L100" s="325">
        <f>AVERAGE(H104:H110)</f>
        <v>1.0128523204153457</v>
      </c>
      <c r="M100" s="16">
        <f>SUM(E104:E110)/SUM(D104:D110)</f>
        <v>1.2392344497607655</v>
      </c>
      <c r="N100" s="16">
        <f>GEOMEAN(H104:H110)</f>
        <v>0.5998519865925479</v>
      </c>
      <c r="O100" s="16">
        <f>MEDIAN(H104:H110)</f>
        <v>0.72222222222222221</v>
      </c>
    </row>
    <row r="101" spans="1:15" x14ac:dyDescent="0.3">
      <c r="A101" s="283" t="s">
        <v>501</v>
      </c>
      <c r="B101" s="283">
        <v>3</v>
      </c>
      <c r="C101">
        <v>2004</v>
      </c>
      <c r="D101">
        <v>288</v>
      </c>
      <c r="E101">
        <v>237</v>
      </c>
      <c r="F101" s="405">
        <f t="shared" si="26"/>
        <v>525</v>
      </c>
      <c r="G101" s="283">
        <f t="shared" ref="G101:G129" si="27">1-1/(H101+1)</f>
        <v>0.4514285714285714</v>
      </c>
      <c r="H101" s="113">
        <f t="shared" ref="H101:H110" si="28">E101/D101</f>
        <v>0.82291666666666663</v>
      </c>
    </row>
    <row r="102" spans="1:15" x14ac:dyDescent="0.3">
      <c r="A102" s="283" t="s">
        <v>501</v>
      </c>
      <c r="B102" s="283">
        <v>3</v>
      </c>
      <c r="C102">
        <v>2005</v>
      </c>
      <c r="D102">
        <v>183</v>
      </c>
      <c r="E102">
        <v>103</v>
      </c>
      <c r="F102" s="405">
        <f t="shared" si="26"/>
        <v>286</v>
      </c>
      <c r="G102" s="283">
        <f t="shared" si="27"/>
        <v>0.3601398601398601</v>
      </c>
      <c r="H102" s="113">
        <f t="shared" si="28"/>
        <v>0.56284153005464477</v>
      </c>
    </row>
    <row r="103" spans="1:15" x14ac:dyDescent="0.3">
      <c r="A103" s="283" t="s">
        <v>501</v>
      </c>
      <c r="B103" s="283">
        <v>3</v>
      </c>
      <c r="C103">
        <v>2006</v>
      </c>
      <c r="D103">
        <v>146</v>
      </c>
      <c r="E103">
        <v>321</v>
      </c>
      <c r="F103" s="405">
        <f t="shared" si="26"/>
        <v>467</v>
      </c>
      <c r="G103" s="283">
        <f t="shared" si="27"/>
        <v>0.68736616702355469</v>
      </c>
      <c r="H103" s="113">
        <f t="shared" si="28"/>
        <v>2.1986301369863015</v>
      </c>
    </row>
    <row r="104" spans="1:15" s="283" customFormat="1" x14ac:dyDescent="0.3">
      <c r="A104" s="283" t="s">
        <v>501</v>
      </c>
      <c r="B104" s="283">
        <v>3</v>
      </c>
      <c r="C104" s="283">
        <v>2007</v>
      </c>
      <c r="D104" s="283">
        <v>102</v>
      </c>
      <c r="E104" s="283">
        <v>159</v>
      </c>
      <c r="F104" s="405">
        <f t="shared" si="26"/>
        <v>261</v>
      </c>
      <c r="G104" s="283">
        <f t="shared" si="27"/>
        <v>0.60919540229885061</v>
      </c>
      <c r="H104" s="113">
        <f t="shared" ref="H104:H106" si="29">E104/D104</f>
        <v>1.5588235294117647</v>
      </c>
      <c r="J104" s="3"/>
      <c r="K104" s="3"/>
      <c r="L104" s="113"/>
    </row>
    <row r="105" spans="1:15" s="283" customFormat="1" x14ac:dyDescent="0.3">
      <c r="A105" s="283" t="s">
        <v>501</v>
      </c>
      <c r="B105" s="283">
        <v>3</v>
      </c>
      <c r="C105" s="283">
        <v>2008</v>
      </c>
      <c r="D105" s="283">
        <v>20</v>
      </c>
      <c r="E105" s="283">
        <v>60</v>
      </c>
      <c r="F105" s="405">
        <f t="shared" si="26"/>
        <v>80</v>
      </c>
      <c r="G105" s="283">
        <f t="shared" si="27"/>
        <v>0.75</v>
      </c>
      <c r="H105" s="113">
        <f t="shared" si="29"/>
        <v>3</v>
      </c>
      <c r="J105" s="3"/>
      <c r="K105" s="3"/>
      <c r="L105" s="113"/>
    </row>
    <row r="106" spans="1:15" s="283" customFormat="1" x14ac:dyDescent="0.3">
      <c r="A106" s="283" t="s">
        <v>501</v>
      </c>
      <c r="B106" s="283">
        <v>3</v>
      </c>
      <c r="C106" s="283">
        <v>2009</v>
      </c>
      <c r="D106" s="283">
        <v>13</v>
      </c>
      <c r="E106" s="283">
        <v>16</v>
      </c>
      <c r="F106" s="405">
        <f t="shared" si="26"/>
        <v>29</v>
      </c>
      <c r="G106" s="283">
        <f t="shared" si="27"/>
        <v>0.55172413793103448</v>
      </c>
      <c r="H106" s="113">
        <f t="shared" si="29"/>
        <v>1.2307692307692308</v>
      </c>
      <c r="J106" s="3"/>
      <c r="K106" s="3"/>
      <c r="L106" s="113"/>
    </row>
    <row r="107" spans="1:15" x14ac:dyDescent="0.3">
      <c r="A107" s="283" t="s">
        <v>501</v>
      </c>
      <c r="B107" s="283">
        <v>3</v>
      </c>
      <c r="C107">
        <v>2010</v>
      </c>
      <c r="D107">
        <v>25</v>
      </c>
      <c r="E107">
        <v>5</v>
      </c>
      <c r="F107" s="405">
        <f t="shared" si="26"/>
        <v>30</v>
      </c>
      <c r="G107" s="283">
        <f t="shared" si="27"/>
        <v>0.16666666666666663</v>
      </c>
      <c r="H107" s="113">
        <f t="shared" si="28"/>
        <v>0.2</v>
      </c>
    </row>
    <row r="108" spans="1:15" x14ac:dyDescent="0.3">
      <c r="A108" s="283" t="s">
        <v>501</v>
      </c>
      <c r="B108" s="283">
        <v>3</v>
      </c>
      <c r="C108">
        <v>2011</v>
      </c>
      <c r="D108">
        <v>14</v>
      </c>
      <c r="E108">
        <v>2</v>
      </c>
      <c r="F108" s="405">
        <f t="shared" si="26"/>
        <v>16</v>
      </c>
      <c r="G108" s="283">
        <f t="shared" si="27"/>
        <v>0.125</v>
      </c>
      <c r="H108" s="113">
        <f t="shared" si="28"/>
        <v>0.14285714285714285</v>
      </c>
    </row>
    <row r="109" spans="1:15" x14ac:dyDescent="0.3">
      <c r="A109" s="283" t="s">
        <v>501</v>
      </c>
      <c r="B109" s="283">
        <v>3</v>
      </c>
      <c r="C109">
        <v>2012</v>
      </c>
      <c r="D109">
        <v>18</v>
      </c>
      <c r="E109">
        <v>13</v>
      </c>
      <c r="F109" s="405">
        <f t="shared" si="26"/>
        <v>31</v>
      </c>
      <c r="G109" s="283">
        <f t="shared" si="27"/>
        <v>0.41935483870967749</v>
      </c>
      <c r="H109" s="113">
        <f t="shared" si="28"/>
        <v>0.72222222222222221</v>
      </c>
    </row>
    <row r="110" spans="1:15" ht="15" thickBot="1" x14ac:dyDescent="0.35">
      <c r="A110" s="88" t="s">
        <v>501</v>
      </c>
      <c r="B110" s="88">
        <v>3</v>
      </c>
      <c r="C110" s="88">
        <v>2013</v>
      </c>
      <c r="D110" s="88">
        <v>17</v>
      </c>
      <c r="E110" s="88">
        <v>4</v>
      </c>
      <c r="F110" s="406">
        <f t="shared" si="26"/>
        <v>21</v>
      </c>
      <c r="G110" s="88">
        <f t="shared" si="27"/>
        <v>0.19047619047619047</v>
      </c>
      <c r="H110" s="404">
        <f t="shared" si="28"/>
        <v>0.23529411764705882</v>
      </c>
      <c r="I110" s="15" t="s">
        <v>37</v>
      </c>
      <c r="J110" s="85" t="s">
        <v>38</v>
      </c>
      <c r="K110" s="85" t="s">
        <v>39</v>
      </c>
      <c r="L110" s="83" t="s">
        <v>33</v>
      </c>
      <c r="M110" s="15" t="s">
        <v>34</v>
      </c>
      <c r="N110" s="15" t="s">
        <v>35</v>
      </c>
      <c r="O110" s="15" t="s">
        <v>36</v>
      </c>
    </row>
    <row r="111" spans="1:15" x14ac:dyDescent="0.3">
      <c r="A111" s="288" t="s">
        <v>502</v>
      </c>
      <c r="B111" s="288">
        <v>3</v>
      </c>
      <c r="C111">
        <v>2003</v>
      </c>
      <c r="D111">
        <v>1556</v>
      </c>
      <c r="E111">
        <v>1757</v>
      </c>
      <c r="F111" s="405">
        <f t="shared" si="26"/>
        <v>3313</v>
      </c>
      <c r="G111">
        <f t="shared" si="27"/>
        <v>0.5303350437669786</v>
      </c>
      <c r="H111" s="113">
        <f t="shared" ref="H111:H129" si="30">E111/D111</f>
        <v>1.1291773778920309</v>
      </c>
      <c r="I111" s="324">
        <f>COUNT(H115:H118)</f>
        <v>4</v>
      </c>
      <c r="J111" s="17">
        <f>MIN(H115:H118)</f>
        <v>1.1699716713881019</v>
      </c>
      <c r="K111" s="17">
        <f>MAX(H115:H118)</f>
        <v>2.6666666666666665</v>
      </c>
      <c r="L111" s="325">
        <f>AVERAGE(H115:H118)</f>
        <v>1.6939168827614468</v>
      </c>
      <c r="M111" s="16">
        <f>SUM(E115:E118)/SUM(D115:D118)</f>
        <v>1.4334889148191365</v>
      </c>
      <c r="N111" s="16">
        <f>GEOMEAN(H115:H118)</f>
        <v>1.6009583019393558</v>
      </c>
      <c r="O111" s="16">
        <f>MEDIAN(H115:H118)</f>
        <v>1.4695145964955099</v>
      </c>
    </row>
    <row r="112" spans="1:15" x14ac:dyDescent="0.3">
      <c r="A112" t="s">
        <v>502</v>
      </c>
      <c r="B112">
        <v>3</v>
      </c>
      <c r="C112">
        <v>2004</v>
      </c>
      <c r="D112">
        <v>1766</v>
      </c>
      <c r="E112">
        <v>1985</v>
      </c>
      <c r="F112" s="405">
        <f t="shared" si="26"/>
        <v>3751</v>
      </c>
      <c r="G112">
        <f t="shared" si="27"/>
        <v>0.52919221540922412</v>
      </c>
      <c r="H112" s="113">
        <f t="shared" si="30"/>
        <v>1.12400906002265</v>
      </c>
    </row>
    <row r="113" spans="1:15" x14ac:dyDescent="0.3">
      <c r="A113" t="s">
        <v>502</v>
      </c>
      <c r="B113">
        <v>3</v>
      </c>
      <c r="C113">
        <v>2005</v>
      </c>
      <c r="D113">
        <v>720</v>
      </c>
      <c r="E113">
        <v>1081</v>
      </c>
      <c r="F113" s="405">
        <f t="shared" si="26"/>
        <v>1801</v>
      </c>
      <c r="G113">
        <f t="shared" si="27"/>
        <v>0.60022209883398114</v>
      </c>
      <c r="H113" s="113">
        <f t="shared" si="30"/>
        <v>1.5013888888888889</v>
      </c>
    </row>
    <row r="114" spans="1:15" x14ac:dyDescent="0.3">
      <c r="A114" t="s">
        <v>502</v>
      </c>
      <c r="B114">
        <v>3</v>
      </c>
      <c r="C114">
        <v>2006</v>
      </c>
      <c r="D114">
        <v>1306</v>
      </c>
      <c r="E114">
        <v>1397</v>
      </c>
      <c r="F114" s="405">
        <f t="shared" si="26"/>
        <v>2703</v>
      </c>
      <c r="G114">
        <f t="shared" si="27"/>
        <v>0.51683314835368099</v>
      </c>
      <c r="H114" s="113">
        <f t="shared" si="30"/>
        <v>1.0696784073506891</v>
      </c>
    </row>
    <row r="115" spans="1:15" x14ac:dyDescent="0.3">
      <c r="A115" t="s">
        <v>502</v>
      </c>
      <c r="B115">
        <v>3</v>
      </c>
      <c r="C115">
        <v>2007</v>
      </c>
      <c r="D115">
        <v>1297</v>
      </c>
      <c r="E115">
        <v>2207</v>
      </c>
      <c r="F115" s="405">
        <f t="shared" si="26"/>
        <v>3504</v>
      </c>
      <c r="G115">
        <f t="shared" si="27"/>
        <v>0.62985159817351599</v>
      </c>
      <c r="H115" s="113">
        <f t="shared" si="30"/>
        <v>1.7016191210485736</v>
      </c>
    </row>
    <row r="116" spans="1:15" x14ac:dyDescent="0.3">
      <c r="A116" t="s">
        <v>502</v>
      </c>
      <c r="B116">
        <v>3</v>
      </c>
      <c r="C116">
        <v>2008</v>
      </c>
      <c r="D116">
        <v>973</v>
      </c>
      <c r="E116">
        <v>1204</v>
      </c>
      <c r="F116" s="405">
        <f t="shared" si="26"/>
        <v>2177</v>
      </c>
      <c r="G116">
        <f t="shared" si="27"/>
        <v>0.55305466237942125</v>
      </c>
      <c r="H116" s="113">
        <f t="shared" si="30"/>
        <v>1.2374100719424461</v>
      </c>
    </row>
    <row r="117" spans="1:15" x14ac:dyDescent="0.3">
      <c r="A117" t="s">
        <v>502</v>
      </c>
      <c r="B117">
        <v>3</v>
      </c>
      <c r="C117">
        <v>2009</v>
      </c>
      <c r="D117">
        <v>1059</v>
      </c>
      <c r="E117">
        <v>1239</v>
      </c>
      <c r="F117" s="405">
        <f t="shared" si="26"/>
        <v>2298</v>
      </c>
      <c r="G117">
        <f t="shared" si="27"/>
        <v>0.53916449086161877</v>
      </c>
      <c r="H117" s="113">
        <f t="shared" si="30"/>
        <v>1.1699716713881019</v>
      </c>
    </row>
    <row r="118" spans="1:15" ht="15" thickBot="1" x14ac:dyDescent="0.35">
      <c r="A118" s="88" t="s">
        <v>502</v>
      </c>
      <c r="B118" s="88">
        <v>3</v>
      </c>
      <c r="C118" s="88">
        <v>2010</v>
      </c>
      <c r="D118" s="88">
        <v>99</v>
      </c>
      <c r="E118" s="88">
        <v>264</v>
      </c>
      <c r="F118" s="406">
        <f t="shared" si="26"/>
        <v>363</v>
      </c>
      <c r="G118" s="88">
        <f t="shared" si="27"/>
        <v>0.72727272727272729</v>
      </c>
      <c r="H118" s="404">
        <f t="shared" si="30"/>
        <v>2.6666666666666665</v>
      </c>
      <c r="I118" s="15" t="s">
        <v>37</v>
      </c>
      <c r="J118" s="85" t="s">
        <v>38</v>
      </c>
      <c r="K118" s="85" t="s">
        <v>39</v>
      </c>
      <c r="L118" s="83" t="s">
        <v>33</v>
      </c>
      <c r="M118" s="15" t="s">
        <v>34</v>
      </c>
      <c r="N118" s="15" t="s">
        <v>35</v>
      </c>
      <c r="O118" s="15" t="s">
        <v>36</v>
      </c>
    </row>
    <row r="119" spans="1:15" x14ac:dyDescent="0.3">
      <c r="A119" s="288" t="s">
        <v>503</v>
      </c>
      <c r="B119" s="288">
        <v>3</v>
      </c>
      <c r="C119">
        <v>2003</v>
      </c>
      <c r="D119">
        <v>26</v>
      </c>
      <c r="E119">
        <v>42</v>
      </c>
      <c r="F119" s="405">
        <f t="shared" si="26"/>
        <v>68</v>
      </c>
      <c r="G119">
        <f t="shared" si="27"/>
        <v>0.61764705882352944</v>
      </c>
      <c r="H119" s="113">
        <f t="shared" si="30"/>
        <v>1.6153846153846154</v>
      </c>
      <c r="I119" s="324">
        <f>COUNT(H123:H129)</f>
        <v>6</v>
      </c>
      <c r="J119" s="17">
        <f>MIN(H123:H129)</f>
        <v>0.72727272727272729</v>
      </c>
      <c r="K119" s="17">
        <f>MAX(H123:H129)</f>
        <v>2.8333333333333335</v>
      </c>
      <c r="L119" s="325">
        <f>AVERAGE(H123:H129)</f>
        <v>1.8045033670033668</v>
      </c>
      <c r="M119" s="16">
        <f>SUM(E123:E129)/SUM(D123:D129)</f>
        <v>1.8711656441717792</v>
      </c>
      <c r="N119" s="16">
        <f>GEOMEAN(H123:H129)</f>
        <v>1.6530113997534732</v>
      </c>
      <c r="O119" s="16">
        <f>MEDIAN(H123:H129)</f>
        <v>1.8125</v>
      </c>
    </row>
    <row r="120" spans="1:15" x14ac:dyDescent="0.3">
      <c r="A120" s="288" t="s">
        <v>503</v>
      </c>
      <c r="B120" s="288">
        <v>3</v>
      </c>
      <c r="C120">
        <v>2004</v>
      </c>
      <c r="D120">
        <v>69</v>
      </c>
      <c r="E120">
        <v>56</v>
      </c>
      <c r="F120" s="405">
        <f t="shared" si="26"/>
        <v>125</v>
      </c>
      <c r="G120">
        <f t="shared" si="27"/>
        <v>0.44800000000000006</v>
      </c>
      <c r="H120" s="113">
        <f t="shared" si="30"/>
        <v>0.81159420289855078</v>
      </c>
    </row>
    <row r="121" spans="1:15" x14ac:dyDescent="0.3">
      <c r="A121" s="288" t="s">
        <v>503</v>
      </c>
      <c r="B121" s="288">
        <v>3</v>
      </c>
      <c r="C121">
        <v>2005</v>
      </c>
      <c r="D121">
        <v>84</v>
      </c>
      <c r="E121">
        <v>75</v>
      </c>
      <c r="F121" s="405">
        <f t="shared" si="26"/>
        <v>159</v>
      </c>
      <c r="G121">
        <f t="shared" si="27"/>
        <v>0.47169811320754718</v>
      </c>
      <c r="H121" s="113">
        <f t="shared" si="30"/>
        <v>0.8928571428571429</v>
      </c>
    </row>
    <row r="122" spans="1:15" x14ac:dyDescent="0.3">
      <c r="A122" s="288" t="s">
        <v>503</v>
      </c>
      <c r="B122" s="288">
        <v>3</v>
      </c>
      <c r="C122">
        <v>2006</v>
      </c>
      <c r="D122">
        <v>62</v>
      </c>
      <c r="E122">
        <v>115</v>
      </c>
      <c r="F122" s="405">
        <f t="shared" si="26"/>
        <v>177</v>
      </c>
      <c r="G122">
        <f t="shared" si="27"/>
        <v>0.64971751412429368</v>
      </c>
      <c r="H122" s="113">
        <f t="shared" si="30"/>
        <v>1.8548387096774193</v>
      </c>
    </row>
    <row r="123" spans="1:15" x14ac:dyDescent="0.3">
      <c r="A123" s="288" t="s">
        <v>503</v>
      </c>
      <c r="B123" s="288">
        <v>3</v>
      </c>
      <c r="C123">
        <v>2007</v>
      </c>
      <c r="D123">
        <v>66</v>
      </c>
      <c r="E123">
        <v>90</v>
      </c>
      <c r="F123" s="405">
        <f t="shared" si="26"/>
        <v>156</v>
      </c>
      <c r="G123">
        <f t="shared" si="27"/>
        <v>0.57692307692307687</v>
      </c>
      <c r="H123" s="113">
        <f t="shared" si="30"/>
        <v>1.3636363636363635</v>
      </c>
    </row>
    <row r="124" spans="1:15" x14ac:dyDescent="0.3">
      <c r="A124" s="288" t="s">
        <v>503</v>
      </c>
      <c r="B124" s="288">
        <v>3</v>
      </c>
      <c r="C124">
        <v>2008</v>
      </c>
      <c r="D124">
        <v>16</v>
      </c>
      <c r="E124">
        <v>34</v>
      </c>
      <c r="F124" s="405">
        <f t="shared" si="26"/>
        <v>50</v>
      </c>
      <c r="G124">
        <f t="shared" si="27"/>
        <v>0.67999999999999994</v>
      </c>
      <c r="H124" s="113">
        <f t="shared" si="30"/>
        <v>2.125</v>
      </c>
    </row>
    <row r="125" spans="1:15" x14ac:dyDescent="0.3">
      <c r="A125" s="288" t="s">
        <v>503</v>
      </c>
      <c r="B125" s="288">
        <v>3</v>
      </c>
      <c r="C125">
        <v>2009</v>
      </c>
      <c r="E125">
        <v>8</v>
      </c>
      <c r="F125" s="405">
        <f t="shared" si="26"/>
        <v>8</v>
      </c>
      <c r="H125" s="113"/>
    </row>
    <row r="126" spans="1:15" x14ac:dyDescent="0.3">
      <c r="A126" s="288" t="s">
        <v>503</v>
      </c>
      <c r="B126" s="288">
        <v>3</v>
      </c>
      <c r="C126">
        <v>2010</v>
      </c>
      <c r="D126">
        <v>10</v>
      </c>
      <c r="E126">
        <v>15</v>
      </c>
      <c r="F126" s="405">
        <f t="shared" si="26"/>
        <v>25</v>
      </c>
      <c r="G126">
        <f t="shared" si="27"/>
        <v>0.6</v>
      </c>
      <c r="H126" s="113">
        <f t="shared" si="30"/>
        <v>1.5</v>
      </c>
    </row>
    <row r="127" spans="1:15" x14ac:dyDescent="0.3">
      <c r="A127" s="288" t="s">
        <v>503</v>
      </c>
      <c r="B127" s="288">
        <v>3</v>
      </c>
      <c r="C127">
        <v>2011</v>
      </c>
      <c r="D127">
        <v>11</v>
      </c>
      <c r="E127">
        <v>8</v>
      </c>
      <c r="F127" s="405">
        <f t="shared" si="26"/>
        <v>19</v>
      </c>
      <c r="G127">
        <f t="shared" si="27"/>
        <v>0.42105263157894735</v>
      </c>
      <c r="H127" s="113">
        <f t="shared" si="30"/>
        <v>0.72727272727272729</v>
      </c>
    </row>
    <row r="128" spans="1:15" x14ac:dyDescent="0.3">
      <c r="A128" s="288" t="s">
        <v>503</v>
      </c>
      <c r="B128" s="288">
        <v>3</v>
      </c>
      <c r="C128">
        <v>2012</v>
      </c>
      <c r="D128">
        <v>24</v>
      </c>
      <c r="E128">
        <v>68</v>
      </c>
      <c r="F128" s="405">
        <f t="shared" si="26"/>
        <v>92</v>
      </c>
      <c r="G128">
        <f t="shared" si="27"/>
        <v>0.73913043478260865</v>
      </c>
      <c r="H128" s="113">
        <f t="shared" si="30"/>
        <v>2.8333333333333335</v>
      </c>
    </row>
    <row r="129" spans="1:8" ht="15" thickBot="1" x14ac:dyDescent="0.35">
      <c r="A129" s="407" t="s">
        <v>503</v>
      </c>
      <c r="B129" s="407">
        <v>3</v>
      </c>
      <c r="C129" s="88">
        <v>2013</v>
      </c>
      <c r="D129" s="88">
        <v>36</v>
      </c>
      <c r="E129" s="88">
        <v>82</v>
      </c>
      <c r="F129" s="406">
        <f t="shared" si="26"/>
        <v>118</v>
      </c>
      <c r="G129" s="88">
        <f t="shared" si="27"/>
        <v>0.69491525423728806</v>
      </c>
      <c r="H129" s="404">
        <f t="shared" si="30"/>
        <v>2.2777777777777777</v>
      </c>
    </row>
  </sheetData>
  <conditionalFormatting sqref="V3:V53 F3:F67 F71:F83 F87:F90">
    <cfRule type="cellIs" dxfId="14" priority="16" operator="lessThan">
      <formula>20</formula>
    </cfRule>
  </conditionalFormatting>
  <conditionalFormatting sqref="F84">
    <cfRule type="cellIs" dxfId="13" priority="14" operator="lessThan">
      <formula>20</formula>
    </cfRule>
  </conditionalFormatting>
  <conditionalFormatting sqref="F85">
    <cfRule type="cellIs" dxfId="12" priority="13" operator="lessThan">
      <formula>20</formula>
    </cfRule>
  </conditionalFormatting>
  <conditionalFormatting sqref="F86">
    <cfRule type="cellIs" dxfId="11" priority="12" operator="lessThan">
      <formula>20</formula>
    </cfRule>
  </conditionalFormatting>
  <conditionalFormatting sqref="F70">
    <cfRule type="cellIs" dxfId="10" priority="11" operator="lessThan">
      <formula>20</formula>
    </cfRule>
  </conditionalFormatting>
  <conditionalFormatting sqref="F91">
    <cfRule type="cellIs" dxfId="9" priority="10" operator="lessThan">
      <formula>20</formula>
    </cfRule>
  </conditionalFormatting>
  <conditionalFormatting sqref="F92">
    <cfRule type="cellIs" dxfId="8" priority="9" operator="lessThan">
      <formula>20</formula>
    </cfRule>
  </conditionalFormatting>
  <conditionalFormatting sqref="F93">
    <cfRule type="cellIs" dxfId="7" priority="8" operator="lessThan">
      <formula>20</formula>
    </cfRule>
  </conditionalFormatting>
  <conditionalFormatting sqref="F94">
    <cfRule type="cellIs" dxfId="6" priority="7" operator="lessThan">
      <formula>20</formula>
    </cfRule>
  </conditionalFormatting>
  <conditionalFormatting sqref="F95">
    <cfRule type="cellIs" dxfId="5" priority="6" operator="lessThan">
      <formula>20</formula>
    </cfRule>
  </conditionalFormatting>
  <conditionalFormatting sqref="F96">
    <cfRule type="cellIs" dxfId="4" priority="5" operator="lessThan">
      <formula>20</formula>
    </cfRule>
  </conditionalFormatting>
  <conditionalFormatting sqref="F97">
    <cfRule type="cellIs" dxfId="3" priority="4" operator="lessThan">
      <formula>20</formula>
    </cfRule>
  </conditionalFormatting>
  <conditionalFormatting sqref="F98">
    <cfRule type="cellIs" dxfId="2" priority="3" operator="lessThan">
      <formula>20</formula>
    </cfRule>
  </conditionalFormatting>
  <conditionalFormatting sqref="F99">
    <cfRule type="cellIs" dxfId="1" priority="2" operator="lessThan">
      <formula>20</formula>
    </cfRule>
  </conditionalFormatting>
  <conditionalFormatting sqref="F100:F129">
    <cfRule type="cellIs" dxfId="0" priority="1" operator="lessThan">
      <formula>20</formula>
    </cfRule>
  </conditionalFormatting>
  <pageMargins left="0.7" right="0.7" top="0.75" bottom="0.75" header="0.3" footer="0.3"/>
  <pageSetup orientation="portrait"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E74"/>
  <sheetViews>
    <sheetView topLeftCell="A40" workbookViewId="0">
      <selection activeCell="H8" sqref="H8"/>
    </sheetView>
  </sheetViews>
  <sheetFormatPr defaultRowHeight="14.4" x14ac:dyDescent="0.3"/>
  <cols>
    <col min="1" max="1" width="9.44140625" bestFit="1" customWidth="1"/>
    <col min="2" max="2" width="15.33203125" bestFit="1" customWidth="1"/>
    <col min="3" max="3" width="9.33203125" bestFit="1" customWidth="1"/>
    <col min="4" max="4" width="12.6640625" bestFit="1" customWidth="1"/>
    <col min="5" max="5" width="23.109375" bestFit="1" customWidth="1"/>
  </cols>
  <sheetData>
    <row r="1" spans="1:5" x14ac:dyDescent="0.3">
      <c r="A1" s="33" t="s">
        <v>50</v>
      </c>
      <c r="B1" s="33" t="s">
        <v>51</v>
      </c>
      <c r="C1" s="33" t="s">
        <v>7</v>
      </c>
      <c r="D1" s="33" t="s">
        <v>49</v>
      </c>
      <c r="E1" s="33" t="s">
        <v>52</v>
      </c>
    </row>
    <row r="2" spans="1:5" x14ac:dyDescent="0.3">
      <c r="A2" s="381" t="s">
        <v>53</v>
      </c>
      <c r="B2" s="382">
        <v>1</v>
      </c>
      <c r="C2" s="382">
        <v>1</v>
      </c>
      <c r="D2" s="381" t="s">
        <v>54</v>
      </c>
      <c r="E2" s="381" t="s">
        <v>55</v>
      </c>
    </row>
    <row r="3" spans="1:5" x14ac:dyDescent="0.3">
      <c r="A3" s="34" t="s">
        <v>53</v>
      </c>
      <c r="B3" s="35">
        <v>1</v>
      </c>
      <c r="C3" s="35">
        <v>2</v>
      </c>
      <c r="D3" s="34" t="s">
        <v>56</v>
      </c>
      <c r="E3" s="34" t="s">
        <v>57</v>
      </c>
    </row>
    <row r="4" spans="1:5" x14ac:dyDescent="0.3">
      <c r="A4" s="381" t="s">
        <v>53</v>
      </c>
      <c r="B4" s="382">
        <v>1</v>
      </c>
      <c r="C4" s="382">
        <v>3</v>
      </c>
      <c r="D4" s="381" t="s">
        <v>58</v>
      </c>
      <c r="E4" s="381" t="s">
        <v>59</v>
      </c>
    </row>
    <row r="5" spans="1:5" x14ac:dyDescent="0.3">
      <c r="A5" s="34" t="s">
        <v>53</v>
      </c>
      <c r="B5" s="35">
        <v>1</v>
      </c>
      <c r="C5" s="35">
        <v>4</v>
      </c>
      <c r="D5" s="34" t="s">
        <v>60</v>
      </c>
      <c r="E5" s="34" t="s">
        <v>61</v>
      </c>
    </row>
    <row r="6" spans="1:5" x14ac:dyDescent="0.3">
      <c r="A6" s="34" t="s">
        <v>53</v>
      </c>
      <c r="B6" s="35">
        <v>1</v>
      </c>
      <c r="C6" s="35">
        <v>5</v>
      </c>
      <c r="D6" s="34" t="s">
        <v>62</v>
      </c>
      <c r="E6" s="34" t="s">
        <v>63</v>
      </c>
    </row>
    <row r="7" spans="1:5" x14ac:dyDescent="0.3">
      <c r="A7" s="34" t="s">
        <v>53</v>
      </c>
      <c r="B7" s="35">
        <v>1</v>
      </c>
      <c r="C7" s="35">
        <v>6</v>
      </c>
      <c r="D7" s="34" t="s">
        <v>64</v>
      </c>
      <c r="E7" s="34" t="s">
        <v>65</v>
      </c>
    </row>
    <row r="8" spans="1:5" x14ac:dyDescent="0.3">
      <c r="A8" s="34" t="s">
        <v>53</v>
      </c>
      <c r="B8" s="35">
        <v>1</v>
      </c>
      <c r="C8" s="35">
        <v>7</v>
      </c>
      <c r="D8" s="34" t="s">
        <v>66</v>
      </c>
      <c r="E8" s="34" t="s">
        <v>66</v>
      </c>
    </row>
    <row r="9" spans="1:5" x14ac:dyDescent="0.3">
      <c r="A9" s="381" t="s">
        <v>53</v>
      </c>
      <c r="B9" s="382">
        <v>1</v>
      </c>
      <c r="C9" s="382">
        <v>8</v>
      </c>
      <c r="D9" s="381" t="s">
        <v>67</v>
      </c>
      <c r="E9" s="381" t="s">
        <v>68</v>
      </c>
    </row>
    <row r="10" spans="1:5" x14ac:dyDescent="0.3">
      <c r="A10" s="381" t="s">
        <v>53</v>
      </c>
      <c r="B10" s="382">
        <v>1</v>
      </c>
      <c r="C10" s="382">
        <v>9</v>
      </c>
      <c r="D10" s="381" t="s">
        <v>69</v>
      </c>
      <c r="E10" s="381" t="s">
        <v>70</v>
      </c>
    </row>
    <row r="11" spans="1:5" x14ac:dyDescent="0.3">
      <c r="A11" s="381" t="s">
        <v>53</v>
      </c>
      <c r="B11" s="382">
        <v>1</v>
      </c>
      <c r="C11" s="382">
        <v>10</v>
      </c>
      <c r="D11" s="381" t="s">
        <v>71</v>
      </c>
      <c r="E11" s="381" t="s">
        <v>72</v>
      </c>
    </row>
    <row r="12" spans="1:5" x14ac:dyDescent="0.3">
      <c r="A12" s="381" t="s">
        <v>53</v>
      </c>
      <c r="B12" s="382">
        <v>1</v>
      </c>
      <c r="C12" s="382">
        <v>11</v>
      </c>
      <c r="D12" s="381" t="s">
        <v>73</v>
      </c>
      <c r="E12" s="381" t="s">
        <v>74</v>
      </c>
    </row>
    <row r="13" spans="1:5" x14ac:dyDescent="0.3">
      <c r="A13" s="381" t="s">
        <v>53</v>
      </c>
      <c r="B13" s="382">
        <v>1</v>
      </c>
      <c r="C13" s="382">
        <v>12</v>
      </c>
      <c r="D13" s="381" t="s">
        <v>75</v>
      </c>
      <c r="E13" s="381" t="s">
        <v>76</v>
      </c>
    </row>
    <row r="14" spans="1:5" x14ac:dyDescent="0.3">
      <c r="A14" s="381" t="s">
        <v>53</v>
      </c>
      <c r="B14" s="382">
        <v>1</v>
      </c>
      <c r="C14" s="382">
        <v>13</v>
      </c>
      <c r="D14" s="381" t="s">
        <v>77</v>
      </c>
      <c r="E14" s="381" t="s">
        <v>78</v>
      </c>
    </row>
    <row r="15" spans="1:5" x14ac:dyDescent="0.3">
      <c r="A15" s="381" t="s">
        <v>53</v>
      </c>
      <c r="B15" s="382">
        <v>1</v>
      </c>
      <c r="C15" s="382">
        <v>14</v>
      </c>
      <c r="D15" s="381" t="s">
        <v>79</v>
      </c>
      <c r="E15" s="381" t="s">
        <v>80</v>
      </c>
    </row>
    <row r="16" spans="1:5" x14ac:dyDescent="0.3">
      <c r="A16" s="381" t="s">
        <v>53</v>
      </c>
      <c r="B16" s="382">
        <v>1</v>
      </c>
      <c r="C16" s="382">
        <v>15</v>
      </c>
      <c r="D16" s="381" t="s">
        <v>81</v>
      </c>
      <c r="E16" s="381" t="s">
        <v>82</v>
      </c>
    </row>
    <row r="17" spans="1:5" x14ac:dyDescent="0.3">
      <c r="A17" s="381" t="s">
        <v>53</v>
      </c>
      <c r="B17" s="382">
        <v>1</v>
      </c>
      <c r="C17" s="382">
        <v>16</v>
      </c>
      <c r="D17" s="381" t="s">
        <v>83</v>
      </c>
      <c r="E17" s="381" t="s">
        <v>84</v>
      </c>
    </row>
    <row r="18" spans="1:5" x14ac:dyDescent="0.3">
      <c r="A18" s="381" t="s">
        <v>53</v>
      </c>
      <c r="B18" s="382">
        <v>1</v>
      </c>
      <c r="C18" s="382">
        <v>17</v>
      </c>
      <c r="D18" s="381" t="s">
        <v>85</v>
      </c>
      <c r="E18" s="381" t="s">
        <v>86</v>
      </c>
    </row>
    <row r="19" spans="1:5" x14ac:dyDescent="0.3">
      <c r="A19" s="381" t="s">
        <v>53</v>
      </c>
      <c r="B19" s="382">
        <v>1</v>
      </c>
      <c r="C19" s="382">
        <v>18</v>
      </c>
      <c r="D19" s="381" t="s">
        <v>87</v>
      </c>
      <c r="E19" s="381" t="s">
        <v>88</v>
      </c>
    </row>
    <row r="20" spans="1:5" x14ac:dyDescent="0.3">
      <c r="A20" s="34" t="s">
        <v>53</v>
      </c>
      <c r="B20" s="35">
        <v>1</v>
      </c>
      <c r="C20" s="35">
        <v>19</v>
      </c>
      <c r="D20" s="34" t="s">
        <v>89</v>
      </c>
      <c r="E20" s="34" t="s">
        <v>90</v>
      </c>
    </row>
    <row r="21" spans="1:5" x14ac:dyDescent="0.3">
      <c r="A21" s="381" t="s">
        <v>53</v>
      </c>
      <c r="B21" s="382">
        <v>1</v>
      </c>
      <c r="C21" s="382">
        <v>20</v>
      </c>
      <c r="D21" s="381" t="s">
        <v>91</v>
      </c>
      <c r="E21" s="381" t="s">
        <v>92</v>
      </c>
    </row>
    <row r="22" spans="1:5" x14ac:dyDescent="0.3">
      <c r="A22" s="381" t="s">
        <v>53</v>
      </c>
      <c r="B22" s="382">
        <v>1</v>
      </c>
      <c r="C22" s="382">
        <v>21</v>
      </c>
      <c r="D22" s="381" t="s">
        <v>93</v>
      </c>
      <c r="E22" s="381" t="s">
        <v>94</v>
      </c>
    </row>
    <row r="23" spans="1:5" x14ac:dyDescent="0.3">
      <c r="A23" s="381" t="s">
        <v>53</v>
      </c>
      <c r="B23" s="382">
        <v>1</v>
      </c>
      <c r="C23" s="382">
        <v>22</v>
      </c>
      <c r="D23" s="381" t="s">
        <v>95</v>
      </c>
      <c r="E23" s="381" t="s">
        <v>96</v>
      </c>
    </row>
    <row r="24" spans="1:5" x14ac:dyDescent="0.3">
      <c r="A24" s="34" t="s">
        <v>53</v>
      </c>
      <c r="B24" s="35">
        <v>1</v>
      </c>
      <c r="C24" s="35">
        <v>23</v>
      </c>
      <c r="D24" s="34" t="s">
        <v>97</v>
      </c>
      <c r="E24" s="34" t="s">
        <v>98</v>
      </c>
    </row>
    <row r="25" spans="1:5" x14ac:dyDescent="0.3">
      <c r="A25" s="34" t="s">
        <v>53</v>
      </c>
      <c r="B25" s="35">
        <v>1</v>
      </c>
      <c r="C25" s="35">
        <v>24</v>
      </c>
      <c r="D25" s="34" t="s">
        <v>99</v>
      </c>
      <c r="E25" s="34" t="s">
        <v>100</v>
      </c>
    </row>
    <row r="26" spans="1:5" x14ac:dyDescent="0.3">
      <c r="A26" s="34" t="s">
        <v>53</v>
      </c>
      <c r="B26" s="35">
        <v>1</v>
      </c>
      <c r="C26" s="35">
        <v>25</v>
      </c>
      <c r="D26" s="34" t="s">
        <v>101</v>
      </c>
      <c r="E26" s="34" t="s">
        <v>102</v>
      </c>
    </row>
    <row r="27" spans="1:5" x14ac:dyDescent="0.3">
      <c r="A27" s="381" t="s">
        <v>53</v>
      </c>
      <c r="B27" s="382">
        <v>1</v>
      </c>
      <c r="C27" s="382">
        <v>26</v>
      </c>
      <c r="D27" s="381" t="s">
        <v>103</v>
      </c>
      <c r="E27" s="381" t="s">
        <v>104</v>
      </c>
    </row>
    <row r="28" spans="1:5" x14ac:dyDescent="0.3">
      <c r="A28" s="381" t="s">
        <v>53</v>
      </c>
      <c r="B28" s="382">
        <v>1</v>
      </c>
      <c r="C28" s="382">
        <v>27</v>
      </c>
      <c r="D28" s="381" t="s">
        <v>105</v>
      </c>
      <c r="E28" s="381" t="s">
        <v>106</v>
      </c>
    </row>
    <row r="29" spans="1:5" x14ac:dyDescent="0.3">
      <c r="A29" s="34" t="s">
        <v>53</v>
      </c>
      <c r="B29" s="35">
        <v>1</v>
      </c>
      <c r="C29" s="35">
        <v>28</v>
      </c>
      <c r="D29" s="34" t="s">
        <v>107</v>
      </c>
      <c r="E29" s="34" t="s">
        <v>108</v>
      </c>
    </row>
    <row r="30" spans="1:5" x14ac:dyDescent="0.3">
      <c r="A30" s="34" t="s">
        <v>53</v>
      </c>
      <c r="B30" s="35">
        <v>1</v>
      </c>
      <c r="C30" s="35">
        <v>29</v>
      </c>
      <c r="D30" s="34" t="s">
        <v>109</v>
      </c>
      <c r="E30" s="34" t="s">
        <v>110</v>
      </c>
    </row>
    <row r="31" spans="1:5" x14ac:dyDescent="0.3">
      <c r="A31" s="381" t="s">
        <v>53</v>
      </c>
      <c r="B31" s="382">
        <v>1</v>
      </c>
      <c r="C31" s="382">
        <v>30</v>
      </c>
      <c r="D31" s="381" t="s">
        <v>111</v>
      </c>
      <c r="E31" s="381" t="s">
        <v>112</v>
      </c>
    </row>
    <row r="32" spans="1:5" x14ac:dyDescent="0.3">
      <c r="A32" s="381" t="s">
        <v>53</v>
      </c>
      <c r="B32" s="382">
        <v>1</v>
      </c>
      <c r="C32" s="382">
        <v>31</v>
      </c>
      <c r="D32" s="381" t="s">
        <v>113</v>
      </c>
      <c r="E32" s="381" t="s">
        <v>114</v>
      </c>
    </row>
    <row r="33" spans="1:5" x14ac:dyDescent="0.3">
      <c r="A33" s="381" t="s">
        <v>53</v>
      </c>
      <c r="B33" s="382">
        <v>1</v>
      </c>
      <c r="C33" s="382">
        <v>32</v>
      </c>
      <c r="D33" s="381" t="s">
        <v>115</v>
      </c>
      <c r="E33" s="381" t="s">
        <v>115</v>
      </c>
    </row>
    <row r="34" spans="1:5" x14ac:dyDescent="0.3">
      <c r="A34" s="381" t="s">
        <v>53</v>
      </c>
      <c r="B34" s="382">
        <v>1</v>
      </c>
      <c r="C34" s="382">
        <v>33</v>
      </c>
      <c r="D34" s="381" t="s">
        <v>116</v>
      </c>
      <c r="E34" s="381" t="s">
        <v>116</v>
      </c>
    </row>
    <row r="35" spans="1:5" x14ac:dyDescent="0.3">
      <c r="A35" s="381" t="s">
        <v>53</v>
      </c>
      <c r="B35" s="382">
        <v>1</v>
      </c>
      <c r="C35" s="382">
        <v>34</v>
      </c>
      <c r="D35" s="381" t="s">
        <v>117</v>
      </c>
      <c r="E35" s="381" t="s">
        <v>118</v>
      </c>
    </row>
    <row r="36" spans="1:5" x14ac:dyDescent="0.3">
      <c r="A36" s="381" t="s">
        <v>53</v>
      </c>
      <c r="B36" s="382">
        <v>1</v>
      </c>
      <c r="C36" s="382">
        <v>35</v>
      </c>
      <c r="D36" s="381" t="s">
        <v>119</v>
      </c>
      <c r="E36" s="381" t="s">
        <v>120</v>
      </c>
    </row>
    <row r="37" spans="1:5" x14ac:dyDescent="0.3">
      <c r="A37" s="381" t="s">
        <v>53</v>
      </c>
      <c r="B37" s="382">
        <v>1</v>
      </c>
      <c r="C37" s="382">
        <v>36</v>
      </c>
      <c r="D37" s="381" t="s">
        <v>121</v>
      </c>
      <c r="E37" s="381" t="s">
        <v>122</v>
      </c>
    </row>
    <row r="38" spans="1:5" x14ac:dyDescent="0.3">
      <c r="A38" s="34" t="s">
        <v>53</v>
      </c>
      <c r="B38" s="35">
        <v>1</v>
      </c>
      <c r="C38" s="35">
        <v>37</v>
      </c>
      <c r="D38" s="34" t="s">
        <v>123</v>
      </c>
      <c r="E38" s="34" t="s">
        <v>124</v>
      </c>
    </row>
    <row r="39" spans="1:5" x14ac:dyDescent="0.3">
      <c r="A39" s="34" t="s">
        <v>53</v>
      </c>
      <c r="B39" s="35">
        <v>1</v>
      </c>
      <c r="C39" s="35">
        <v>38</v>
      </c>
      <c r="D39" s="34" t="s">
        <v>125</v>
      </c>
      <c r="E39" s="34" t="s">
        <v>126</v>
      </c>
    </row>
    <row r="40" spans="1:5" x14ac:dyDescent="0.3">
      <c r="A40" s="34" t="s">
        <v>53</v>
      </c>
      <c r="B40" s="35">
        <v>1</v>
      </c>
      <c r="C40" s="35">
        <v>39</v>
      </c>
      <c r="D40" s="34" t="s">
        <v>127</v>
      </c>
      <c r="E40" s="34" t="s">
        <v>128</v>
      </c>
    </row>
    <row r="41" spans="1:5" x14ac:dyDescent="0.3">
      <c r="A41" s="34" t="s">
        <v>53</v>
      </c>
      <c r="B41" s="35">
        <v>1</v>
      </c>
      <c r="C41" s="35">
        <v>40</v>
      </c>
      <c r="D41" s="34" t="s">
        <v>129</v>
      </c>
      <c r="E41" s="34" t="s">
        <v>130</v>
      </c>
    </row>
    <row r="42" spans="1:5" x14ac:dyDescent="0.3">
      <c r="A42" s="381" t="s">
        <v>53</v>
      </c>
      <c r="B42" s="382">
        <v>1</v>
      </c>
      <c r="C42" s="382">
        <v>41</v>
      </c>
      <c r="D42" s="381" t="s">
        <v>131</v>
      </c>
      <c r="E42" s="381" t="s">
        <v>132</v>
      </c>
    </row>
    <row r="43" spans="1:5" x14ac:dyDescent="0.3">
      <c r="A43" s="381" t="s">
        <v>53</v>
      </c>
      <c r="B43" s="382">
        <v>1</v>
      </c>
      <c r="C43" s="382">
        <v>42</v>
      </c>
      <c r="D43" s="381" t="s">
        <v>133</v>
      </c>
      <c r="E43" s="381" t="s">
        <v>134</v>
      </c>
    </row>
    <row r="44" spans="1:5" x14ac:dyDescent="0.3">
      <c r="A44" s="34" t="s">
        <v>53</v>
      </c>
      <c r="B44" s="35">
        <v>1</v>
      </c>
      <c r="C44" s="35">
        <v>43</v>
      </c>
      <c r="D44" s="34" t="s">
        <v>135</v>
      </c>
      <c r="E44" s="34" t="s">
        <v>135</v>
      </c>
    </row>
    <row r="45" spans="1:5" x14ac:dyDescent="0.3">
      <c r="A45" s="34" t="s">
        <v>53</v>
      </c>
      <c r="B45" s="35">
        <v>1</v>
      </c>
      <c r="C45" s="35">
        <v>44</v>
      </c>
      <c r="D45" s="34" t="s">
        <v>136</v>
      </c>
      <c r="E45" s="34" t="s">
        <v>136</v>
      </c>
    </row>
    <row r="46" spans="1:5" x14ac:dyDescent="0.3">
      <c r="A46" s="381" t="s">
        <v>53</v>
      </c>
      <c r="B46" s="382">
        <v>1</v>
      </c>
      <c r="C46" s="382">
        <v>45</v>
      </c>
      <c r="D46" s="381" t="s">
        <v>137</v>
      </c>
      <c r="E46" s="381" t="s">
        <v>138</v>
      </c>
    </row>
    <row r="47" spans="1:5" x14ac:dyDescent="0.3">
      <c r="A47" s="34" t="s">
        <v>53</v>
      </c>
      <c r="B47" s="35">
        <v>1</v>
      </c>
      <c r="C47" s="35">
        <v>46</v>
      </c>
      <c r="D47" s="34" t="s">
        <v>139</v>
      </c>
      <c r="E47" s="34" t="s">
        <v>140</v>
      </c>
    </row>
    <row r="48" spans="1:5" x14ac:dyDescent="0.3">
      <c r="A48" s="34" t="s">
        <v>53</v>
      </c>
      <c r="B48" s="35">
        <v>1</v>
      </c>
      <c r="C48" s="35">
        <v>47</v>
      </c>
      <c r="D48" s="34" t="s">
        <v>141</v>
      </c>
      <c r="E48" s="34" t="s">
        <v>142</v>
      </c>
    </row>
    <row r="49" spans="1:5" x14ac:dyDescent="0.3">
      <c r="A49" s="34" t="s">
        <v>53</v>
      </c>
      <c r="B49" s="35">
        <v>1</v>
      </c>
      <c r="C49" s="35">
        <v>48</v>
      </c>
      <c r="D49" s="34" t="s">
        <v>143</v>
      </c>
      <c r="E49" s="34" t="s">
        <v>144</v>
      </c>
    </row>
    <row r="50" spans="1:5" x14ac:dyDescent="0.3">
      <c r="A50" s="34" t="s">
        <v>53</v>
      </c>
      <c r="B50" s="35">
        <v>1</v>
      </c>
      <c r="C50" s="35">
        <v>49</v>
      </c>
      <c r="D50" s="34" t="s">
        <v>145</v>
      </c>
      <c r="E50" s="34" t="s">
        <v>146</v>
      </c>
    </row>
    <row r="51" spans="1:5" x14ac:dyDescent="0.3">
      <c r="A51" s="34" t="s">
        <v>53</v>
      </c>
      <c r="B51" s="35">
        <v>1</v>
      </c>
      <c r="C51" s="35">
        <v>50</v>
      </c>
      <c r="D51" s="34" t="s">
        <v>147</v>
      </c>
      <c r="E51" s="34" t="s">
        <v>148</v>
      </c>
    </row>
    <row r="52" spans="1:5" x14ac:dyDescent="0.3">
      <c r="A52" s="34" t="s">
        <v>53</v>
      </c>
      <c r="B52" s="35">
        <v>1</v>
      </c>
      <c r="C52" s="35">
        <v>51</v>
      </c>
      <c r="D52" s="34" t="s">
        <v>149</v>
      </c>
      <c r="E52" s="34" t="s">
        <v>150</v>
      </c>
    </row>
    <row r="53" spans="1:5" x14ac:dyDescent="0.3">
      <c r="A53" s="34" t="s">
        <v>53</v>
      </c>
      <c r="B53" s="35">
        <v>1</v>
      </c>
      <c r="C53" s="35">
        <v>52</v>
      </c>
      <c r="D53" s="34" t="s">
        <v>151</v>
      </c>
      <c r="E53" s="34" t="s">
        <v>152</v>
      </c>
    </row>
    <row r="54" spans="1:5" x14ac:dyDescent="0.3">
      <c r="A54" s="381" t="s">
        <v>53</v>
      </c>
      <c r="B54" s="382">
        <v>1</v>
      </c>
      <c r="C54" s="382">
        <v>53</v>
      </c>
      <c r="D54" s="381" t="s">
        <v>153</v>
      </c>
      <c r="E54" s="381" t="s">
        <v>154</v>
      </c>
    </row>
    <row r="55" spans="1:5" x14ac:dyDescent="0.3">
      <c r="A55" s="381" t="s">
        <v>53</v>
      </c>
      <c r="B55" s="382">
        <v>1</v>
      </c>
      <c r="C55" s="382">
        <v>54</v>
      </c>
      <c r="D55" s="381" t="s">
        <v>155</v>
      </c>
      <c r="E55" s="381" t="s">
        <v>156</v>
      </c>
    </row>
    <row r="56" spans="1:5" x14ac:dyDescent="0.3">
      <c r="A56" s="34" t="s">
        <v>53</v>
      </c>
      <c r="B56" s="35">
        <v>1</v>
      </c>
      <c r="C56" s="35">
        <v>55</v>
      </c>
      <c r="D56" s="34" t="s">
        <v>157</v>
      </c>
      <c r="E56" s="34" t="s">
        <v>158</v>
      </c>
    </row>
    <row r="57" spans="1:5" x14ac:dyDescent="0.3">
      <c r="A57" s="381" t="s">
        <v>53</v>
      </c>
      <c r="B57" s="382">
        <v>1</v>
      </c>
      <c r="C57" s="382">
        <v>56</v>
      </c>
      <c r="D57" s="381" t="s">
        <v>159</v>
      </c>
      <c r="E57" s="381" t="s">
        <v>160</v>
      </c>
    </row>
    <row r="58" spans="1:5" x14ac:dyDescent="0.3">
      <c r="A58" s="381" t="s">
        <v>53</v>
      </c>
      <c r="B58" s="382">
        <v>1</v>
      </c>
      <c r="C58" s="382">
        <v>57</v>
      </c>
      <c r="D58" s="381" t="s">
        <v>161</v>
      </c>
      <c r="E58" s="381" t="s">
        <v>162</v>
      </c>
    </row>
    <row r="59" spans="1:5" x14ac:dyDescent="0.3">
      <c r="A59" s="34" t="s">
        <v>53</v>
      </c>
      <c r="B59" s="35">
        <v>1</v>
      </c>
      <c r="C59" s="35">
        <v>58</v>
      </c>
      <c r="D59" s="34" t="s">
        <v>163</v>
      </c>
      <c r="E59" s="34" t="s">
        <v>164</v>
      </c>
    </row>
    <row r="60" spans="1:5" x14ac:dyDescent="0.3">
      <c r="A60" s="34" t="s">
        <v>53</v>
      </c>
      <c r="B60" s="35">
        <v>1</v>
      </c>
      <c r="C60" s="35">
        <v>59</v>
      </c>
      <c r="D60" s="34" t="s">
        <v>165</v>
      </c>
      <c r="E60" s="34" t="s">
        <v>166</v>
      </c>
    </row>
    <row r="61" spans="1:5" x14ac:dyDescent="0.3">
      <c r="A61" s="34" t="s">
        <v>53</v>
      </c>
      <c r="B61" s="35">
        <v>1</v>
      </c>
      <c r="C61" s="35">
        <v>60</v>
      </c>
      <c r="D61" s="34" t="s">
        <v>167</v>
      </c>
      <c r="E61" s="34" t="s">
        <v>168</v>
      </c>
    </row>
    <row r="62" spans="1:5" x14ac:dyDescent="0.3">
      <c r="A62" s="34" t="s">
        <v>53</v>
      </c>
      <c r="B62" s="35">
        <v>1</v>
      </c>
      <c r="C62" s="35">
        <v>61</v>
      </c>
      <c r="D62" s="34" t="s">
        <v>169</v>
      </c>
      <c r="E62" s="34" t="s">
        <v>170</v>
      </c>
    </row>
    <row r="63" spans="1:5" x14ac:dyDescent="0.3">
      <c r="A63" s="34" t="s">
        <v>53</v>
      </c>
      <c r="B63" s="35">
        <v>1</v>
      </c>
      <c r="C63" s="35">
        <v>62</v>
      </c>
      <c r="D63" s="34" t="s">
        <v>171</v>
      </c>
      <c r="E63" s="34" t="s">
        <v>172</v>
      </c>
    </row>
    <row r="64" spans="1:5" x14ac:dyDescent="0.3">
      <c r="A64" s="34" t="s">
        <v>53</v>
      </c>
      <c r="B64" s="35">
        <v>1</v>
      </c>
      <c r="C64" s="35">
        <v>63</v>
      </c>
      <c r="D64" s="34" t="s">
        <v>173</v>
      </c>
      <c r="E64" s="34" t="s">
        <v>174</v>
      </c>
    </row>
    <row r="65" spans="1:5" x14ac:dyDescent="0.3">
      <c r="A65" s="381" t="s">
        <v>53</v>
      </c>
      <c r="B65" s="382">
        <v>1</v>
      </c>
      <c r="C65" s="382">
        <v>64</v>
      </c>
      <c r="D65" s="381" t="s">
        <v>175</v>
      </c>
      <c r="E65" s="381" t="s">
        <v>176</v>
      </c>
    </row>
    <row r="66" spans="1:5" x14ac:dyDescent="0.3">
      <c r="A66" s="34" t="s">
        <v>53</v>
      </c>
      <c r="B66" s="35">
        <v>1</v>
      </c>
      <c r="C66" s="35">
        <v>65</v>
      </c>
      <c r="D66" s="34" t="s">
        <v>177</v>
      </c>
      <c r="E66" s="34" t="s">
        <v>178</v>
      </c>
    </row>
    <row r="67" spans="1:5" x14ac:dyDescent="0.3">
      <c r="A67" s="34" t="s">
        <v>53</v>
      </c>
      <c r="B67" s="35">
        <v>1</v>
      </c>
      <c r="C67" s="35">
        <v>66</v>
      </c>
      <c r="D67" s="34" t="s">
        <v>179</v>
      </c>
      <c r="E67" s="34" t="s">
        <v>180</v>
      </c>
    </row>
    <row r="68" spans="1:5" x14ac:dyDescent="0.3">
      <c r="A68" s="381" t="s">
        <v>53</v>
      </c>
      <c r="B68" s="382">
        <v>1</v>
      </c>
      <c r="C68" s="382">
        <v>67</v>
      </c>
      <c r="D68" s="381" t="s">
        <v>181</v>
      </c>
      <c r="E68" s="381" t="s">
        <v>182</v>
      </c>
    </row>
    <row r="69" spans="1:5" x14ac:dyDescent="0.3">
      <c r="A69" s="34" t="s">
        <v>53</v>
      </c>
      <c r="B69" s="35">
        <v>1</v>
      </c>
      <c r="C69" s="35">
        <v>68</v>
      </c>
      <c r="D69" s="34" t="s">
        <v>183</v>
      </c>
      <c r="E69" s="34" t="s">
        <v>183</v>
      </c>
    </row>
    <row r="70" spans="1:5" x14ac:dyDescent="0.3">
      <c r="A70" s="34" t="s">
        <v>53</v>
      </c>
      <c r="B70" s="35">
        <v>1</v>
      </c>
      <c r="C70" s="35">
        <v>69</v>
      </c>
      <c r="D70" s="34" t="s">
        <v>184</v>
      </c>
      <c r="E70" s="34" t="s">
        <v>184</v>
      </c>
    </row>
    <row r="71" spans="1:5" x14ac:dyDescent="0.3">
      <c r="A71" s="34" t="s">
        <v>53</v>
      </c>
      <c r="B71" s="35">
        <v>1</v>
      </c>
      <c r="C71" s="35">
        <v>70</v>
      </c>
      <c r="D71" s="34" t="s">
        <v>185</v>
      </c>
      <c r="E71" s="34" t="s">
        <v>186</v>
      </c>
    </row>
    <row r="72" spans="1:5" x14ac:dyDescent="0.3">
      <c r="A72" s="34" t="s">
        <v>53</v>
      </c>
      <c r="B72" s="35">
        <v>1</v>
      </c>
      <c r="C72" s="35">
        <v>71</v>
      </c>
      <c r="D72" s="34" t="s">
        <v>187</v>
      </c>
      <c r="E72" s="34" t="s">
        <v>188</v>
      </c>
    </row>
    <row r="73" spans="1:5" x14ac:dyDescent="0.3">
      <c r="A73" s="34" t="s">
        <v>53</v>
      </c>
      <c r="B73" s="35">
        <v>1</v>
      </c>
      <c r="C73" s="35">
        <v>72</v>
      </c>
      <c r="D73" s="34" t="s">
        <v>189</v>
      </c>
      <c r="E73" s="34" t="s">
        <v>190</v>
      </c>
    </row>
    <row r="74" spans="1:5" x14ac:dyDescent="0.3">
      <c r="A74" s="34" t="s">
        <v>53</v>
      </c>
      <c r="B74" s="35">
        <v>1</v>
      </c>
      <c r="C74" s="35">
        <v>73</v>
      </c>
      <c r="D74" s="34" t="s">
        <v>191</v>
      </c>
      <c r="E74" s="34" t="s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S34"/>
  <sheetViews>
    <sheetView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23.109375" bestFit="1" customWidth="1"/>
    <col min="4" max="7" width="8.6640625" customWidth="1"/>
    <col min="10" max="10" width="32.44140625" bestFit="1" customWidth="1"/>
    <col min="12" max="14" width="13.6640625" customWidth="1"/>
  </cols>
  <sheetData>
    <row r="2" spans="1:19" x14ac:dyDescent="0.3">
      <c r="A2" s="10" t="s">
        <v>7</v>
      </c>
      <c r="B2" s="36" t="s">
        <v>49</v>
      </c>
      <c r="C2" s="36" t="s">
        <v>52</v>
      </c>
      <c r="D2" s="31">
        <v>1</v>
      </c>
      <c r="E2" s="31">
        <v>2</v>
      </c>
      <c r="F2" s="31">
        <v>3</v>
      </c>
      <c r="G2" s="31">
        <v>4</v>
      </c>
      <c r="I2" s="38" t="s">
        <v>193</v>
      </c>
      <c r="J2" s="38"/>
      <c r="K2" s="38"/>
    </row>
    <row r="3" spans="1:19" x14ac:dyDescent="0.3">
      <c r="A3" s="9">
        <v>1</v>
      </c>
      <c r="B3" s="9" t="str">
        <f>VLOOKUP(A3,tblFishery!C$2:E$74,2,FALSE)</f>
        <v>SEAK Troll</v>
      </c>
      <c r="C3" s="9" t="str">
        <f>VLOOKUP(A3,tblFishery!C$2:E$74,3,FALSE)</f>
        <v>SE Alaska Troll</v>
      </c>
      <c r="D3" s="32">
        <v>0.314</v>
      </c>
      <c r="E3" s="32">
        <v>0.314</v>
      </c>
      <c r="F3" s="32">
        <v>0.314</v>
      </c>
      <c r="G3" s="32">
        <v>0.314</v>
      </c>
    </row>
    <row r="4" spans="1:19" x14ac:dyDescent="0.3">
      <c r="A4" s="9">
        <v>3</v>
      </c>
      <c r="B4" s="9" t="str">
        <f>VLOOKUP(A4,tblFishery!C$2:E$74,2,FALSE)</f>
        <v>SEAK Sport</v>
      </c>
      <c r="C4" s="9" t="str">
        <f>VLOOKUP(A4,tblFishery!C$2:E$74,3,FALSE)</f>
        <v>SE Alaska Sport</v>
      </c>
      <c r="D4" s="32">
        <v>0.57799999999999996</v>
      </c>
      <c r="E4" s="32">
        <v>0.57799999999999996</v>
      </c>
      <c r="F4" s="32">
        <v>0.57799999999999996</v>
      </c>
      <c r="G4" s="32">
        <v>0.57799999999999996</v>
      </c>
      <c r="I4" s="41"/>
      <c r="J4" s="41"/>
      <c r="K4" s="42"/>
      <c r="L4" s="43" t="s">
        <v>213</v>
      </c>
      <c r="M4" s="43" t="s">
        <v>214</v>
      </c>
      <c r="N4" s="44" t="s">
        <v>215</v>
      </c>
      <c r="O4" s="45"/>
      <c r="P4" s="46"/>
      <c r="Q4" s="47"/>
      <c r="R4" s="42"/>
      <c r="S4" s="41"/>
    </row>
    <row r="5" spans="1:19" ht="27.6" x14ac:dyDescent="0.3">
      <c r="A5" s="9">
        <v>8</v>
      </c>
      <c r="B5" s="9" t="str">
        <f>VLOOKUP(A5,tblFishery!C$2:E$74,2,FALSE)</f>
        <v>BCOutSport</v>
      </c>
      <c r="C5" s="9" t="str">
        <f>VLOOKUP(A5,tblFishery!C$2:E$74,3,FALSE)</f>
        <v>BC Outside Sport</v>
      </c>
      <c r="D5" s="32">
        <v>1E-3</v>
      </c>
      <c r="E5" s="32">
        <v>1E-3</v>
      </c>
      <c r="F5" s="32">
        <v>1E-3</v>
      </c>
      <c r="G5" s="32">
        <v>1E-3</v>
      </c>
      <c r="I5" s="48" t="s">
        <v>216</v>
      </c>
      <c r="J5" s="49" t="s">
        <v>194</v>
      </c>
      <c r="K5" s="49" t="s">
        <v>217</v>
      </c>
      <c r="L5" s="50" t="s">
        <v>218</v>
      </c>
      <c r="M5" s="50" t="s">
        <v>218</v>
      </c>
      <c r="N5" s="50" t="s">
        <v>218</v>
      </c>
      <c r="O5" s="50" t="s">
        <v>219</v>
      </c>
      <c r="P5" s="50" t="s">
        <v>220</v>
      </c>
      <c r="Q5" s="50" t="s">
        <v>221</v>
      </c>
      <c r="R5" s="49" t="s">
        <v>199</v>
      </c>
      <c r="S5" s="49" t="s">
        <v>200</v>
      </c>
    </row>
    <row r="6" spans="1:19" x14ac:dyDescent="0.3">
      <c r="A6" s="9">
        <v>9</v>
      </c>
      <c r="B6" s="9" t="str">
        <f>VLOOKUP(A6,tblFishery!C$2:E$74,2,FALSE)</f>
        <v>N/C BC Trl</v>
      </c>
      <c r="C6" s="9" t="str">
        <f>VLOOKUP(A6,tblFishery!C$2:E$74,3,FALSE)</f>
        <v>BC No/Cent Troll</v>
      </c>
      <c r="D6" s="32">
        <v>0.111</v>
      </c>
      <c r="E6" s="32">
        <v>0.111</v>
      </c>
      <c r="F6" s="32">
        <v>0.111</v>
      </c>
      <c r="G6" s="32">
        <v>0.111</v>
      </c>
      <c r="I6" s="51">
        <v>1</v>
      </c>
      <c r="J6" s="52" t="s">
        <v>222</v>
      </c>
      <c r="K6" s="53">
        <v>1</v>
      </c>
      <c r="L6" s="54" t="s">
        <v>223</v>
      </c>
      <c r="M6" s="54" t="s">
        <v>223</v>
      </c>
      <c r="N6" s="54" t="s">
        <v>223</v>
      </c>
      <c r="O6" s="55"/>
      <c r="P6" s="53" t="s">
        <v>201</v>
      </c>
      <c r="Q6" s="55"/>
      <c r="R6" s="56"/>
      <c r="S6" s="57" t="s">
        <v>210</v>
      </c>
    </row>
    <row r="7" spans="1:19" x14ac:dyDescent="0.3">
      <c r="A7" s="9">
        <v>10</v>
      </c>
      <c r="B7" s="9" t="str">
        <f>VLOOKUP(A7,tblFishery!C$2:E$74,2,FALSE)</f>
        <v>WCVI Troll</v>
      </c>
      <c r="C7" s="9" t="str">
        <f>VLOOKUP(A7,tblFishery!C$2:E$74,3,FALSE)</f>
        <v>BC WCVI Troll</v>
      </c>
      <c r="D7" s="32">
        <v>0.105</v>
      </c>
      <c r="E7" s="32">
        <v>0.105</v>
      </c>
      <c r="F7" s="32">
        <v>0.105</v>
      </c>
      <c r="G7" s="32">
        <v>0.105</v>
      </c>
      <c r="I7" s="51">
        <v>3</v>
      </c>
      <c r="J7" s="52" t="s">
        <v>224</v>
      </c>
      <c r="K7" s="53">
        <v>3</v>
      </c>
      <c r="L7" s="54" t="s">
        <v>225</v>
      </c>
      <c r="M7" s="54" t="s">
        <v>225</v>
      </c>
      <c r="N7" s="54" t="s">
        <v>225</v>
      </c>
      <c r="O7" s="55"/>
      <c r="P7" s="53" t="s">
        <v>202</v>
      </c>
      <c r="Q7" s="55"/>
      <c r="R7" s="56"/>
      <c r="S7" s="57" t="s">
        <v>210</v>
      </c>
    </row>
    <row r="8" spans="1:19" x14ac:dyDescent="0.3">
      <c r="A8" s="9">
        <v>11</v>
      </c>
      <c r="B8" s="9" t="str">
        <f>VLOOKUP(A8,tblFishery!C$2:E$74,2,FALSE)</f>
        <v>WCVI Sport</v>
      </c>
      <c r="C8" s="9" t="str">
        <f>VLOOKUP(A8,tblFishery!C$2:E$74,3,FALSE)</f>
        <v>BC WCVI Sport</v>
      </c>
      <c r="D8" s="32">
        <v>0.2</v>
      </c>
      <c r="E8" s="32">
        <v>0.2</v>
      </c>
      <c r="F8" s="32">
        <v>0.2</v>
      </c>
      <c r="G8" s="32">
        <v>0.2</v>
      </c>
      <c r="I8" s="51">
        <v>8</v>
      </c>
      <c r="J8" s="52" t="s">
        <v>67</v>
      </c>
      <c r="K8" s="53">
        <v>8</v>
      </c>
      <c r="L8" s="58" t="s">
        <v>226</v>
      </c>
      <c r="M8" s="58" t="s">
        <v>226</v>
      </c>
      <c r="N8" s="58" t="s">
        <v>226</v>
      </c>
      <c r="O8" s="55"/>
      <c r="P8" s="53" t="s">
        <v>201</v>
      </c>
      <c r="Q8" s="55"/>
      <c r="R8" s="53" t="s">
        <v>227</v>
      </c>
      <c r="S8" s="57" t="s">
        <v>228</v>
      </c>
    </row>
    <row r="9" spans="1:19" x14ac:dyDescent="0.3">
      <c r="A9" s="9">
        <v>13</v>
      </c>
      <c r="B9" s="9" t="str">
        <f>VLOOKUP(A9,tblFishery!C$2:E$74,2,FALSE)</f>
        <v>N GS Sport</v>
      </c>
      <c r="C9" s="9" t="str">
        <f>VLOOKUP(A9,tblFishery!C$2:E$74,3,FALSE)</f>
        <v>BC N Georgia Strait Sport</v>
      </c>
      <c r="D9" s="32">
        <v>0.61199999999999999</v>
      </c>
      <c r="E9" s="32">
        <v>0.61199999999999999</v>
      </c>
      <c r="F9" s="32">
        <v>0.61199999999999999</v>
      </c>
      <c r="G9" s="32">
        <v>0.61199999999999999</v>
      </c>
      <c r="I9" s="51">
        <v>9</v>
      </c>
      <c r="J9" s="52" t="s">
        <v>229</v>
      </c>
      <c r="K9" s="53">
        <v>9</v>
      </c>
      <c r="L9" s="54" t="s">
        <v>230</v>
      </c>
      <c r="M9" s="54" t="s">
        <v>230</v>
      </c>
      <c r="N9" s="54" t="s">
        <v>230</v>
      </c>
      <c r="O9" s="55"/>
      <c r="P9" s="59" t="s">
        <v>201</v>
      </c>
      <c r="Q9" s="55"/>
      <c r="R9" s="53" t="s">
        <v>227</v>
      </c>
      <c r="S9" s="57" t="s">
        <v>231</v>
      </c>
    </row>
    <row r="10" spans="1:19" x14ac:dyDescent="0.3">
      <c r="A10" s="9">
        <v>14</v>
      </c>
      <c r="B10" s="9" t="str">
        <f>VLOOKUP(A10,tblFishery!C$2:E$74,2,FALSE)</f>
        <v>S GS Sport</v>
      </c>
      <c r="C10" s="9" t="str">
        <f>VLOOKUP(A10,tblFishery!C$2:E$74,3,FALSE)</f>
        <v>BC S Georgia Strait Sport</v>
      </c>
      <c r="D10" s="32">
        <v>1.0780000000000001</v>
      </c>
      <c r="E10" s="32">
        <v>1.0780000000000001</v>
      </c>
      <c r="F10" s="32">
        <v>1.0780000000000001</v>
      </c>
      <c r="G10" s="32">
        <v>1.0780000000000001</v>
      </c>
      <c r="I10" s="51">
        <v>10</v>
      </c>
      <c r="J10" s="52" t="s">
        <v>71</v>
      </c>
      <c r="K10" s="53">
        <v>10</v>
      </c>
      <c r="L10" s="54" t="s">
        <v>232</v>
      </c>
      <c r="M10" s="54" t="s">
        <v>232</v>
      </c>
      <c r="N10" s="54" t="s">
        <v>232</v>
      </c>
      <c r="O10" s="55"/>
      <c r="P10" s="59" t="s">
        <v>201</v>
      </c>
      <c r="Q10" s="55"/>
      <c r="R10" s="53" t="s">
        <v>227</v>
      </c>
      <c r="S10" s="57" t="s">
        <v>231</v>
      </c>
    </row>
    <row r="11" spans="1:19" x14ac:dyDescent="0.3">
      <c r="A11" s="9">
        <v>15</v>
      </c>
      <c r="B11" s="9" t="str">
        <f>VLOOKUP(A11,tblFishery!C$2:E$74,2,FALSE)</f>
        <v>BC JDF Spt</v>
      </c>
      <c r="C11" s="9" t="str">
        <f>VLOOKUP(A11,tblFishery!C$2:E$74,3,FALSE)</f>
        <v>BC JDF Sport</v>
      </c>
      <c r="D11" s="32">
        <v>0.442</v>
      </c>
      <c r="E11" s="32">
        <v>0.442</v>
      </c>
      <c r="F11" s="32">
        <v>0.442</v>
      </c>
      <c r="G11" s="32">
        <v>0.442</v>
      </c>
      <c r="I11" s="51">
        <v>11</v>
      </c>
      <c r="J11" s="52" t="s">
        <v>73</v>
      </c>
      <c r="K11" s="53">
        <v>11</v>
      </c>
      <c r="L11" s="54" t="s">
        <v>233</v>
      </c>
      <c r="M11" s="54" t="s">
        <v>233</v>
      </c>
      <c r="N11" s="54" t="s">
        <v>233</v>
      </c>
      <c r="O11" s="55"/>
      <c r="P11" s="59" t="s">
        <v>201</v>
      </c>
      <c r="Q11" s="55"/>
      <c r="R11" s="53" t="s">
        <v>227</v>
      </c>
      <c r="S11" s="57"/>
    </row>
    <row r="12" spans="1:19" x14ac:dyDescent="0.3">
      <c r="A12" s="9">
        <v>16</v>
      </c>
      <c r="B12" s="9" t="str">
        <f>VLOOKUP(A12,tblFishery!C$2:E$74,2,FALSE)</f>
        <v>NT 3:4 Trl</v>
      </c>
      <c r="C12" s="9" t="str">
        <f>VLOOKUP(A12,tblFishery!C$2:E$74,3,FALSE)</f>
        <v>NT Area 3:4:4B Troll</v>
      </c>
      <c r="D12" s="37"/>
      <c r="E12" s="32">
        <v>0.93700000000000006</v>
      </c>
      <c r="F12" s="32">
        <v>0.48199999999999998</v>
      </c>
      <c r="G12" s="37"/>
      <c r="I12" s="51">
        <v>12</v>
      </c>
      <c r="J12" s="52" t="s">
        <v>234</v>
      </c>
      <c r="K12" s="53">
        <v>12</v>
      </c>
      <c r="L12" s="54">
        <v>0.34</v>
      </c>
      <c r="M12" s="54">
        <v>0.34</v>
      </c>
      <c r="N12" s="54">
        <v>0.34</v>
      </c>
      <c r="O12" s="55"/>
      <c r="P12" s="59"/>
      <c r="Q12" s="55"/>
      <c r="R12" s="53"/>
      <c r="S12" s="57" t="s">
        <v>235</v>
      </c>
    </row>
    <row r="13" spans="1:19" x14ac:dyDescent="0.3">
      <c r="A13" s="9">
        <v>17</v>
      </c>
      <c r="B13" s="9" t="str">
        <f>VLOOKUP(A13,tblFishery!C$2:E$74,2,FALSE)</f>
        <v>Tr 3:4 Trl</v>
      </c>
      <c r="C13" s="9" t="str">
        <f>VLOOKUP(A13,tblFishery!C$2:E$74,3,FALSE)</f>
        <v>Tr Area 3:4:4B Troll</v>
      </c>
      <c r="D13" s="32">
        <v>0.93700000000000006</v>
      </c>
      <c r="E13" s="32">
        <v>0.93700000000000006</v>
      </c>
      <c r="F13" s="32">
        <v>0.48199999999999998</v>
      </c>
      <c r="G13" s="32">
        <v>0.93700000000000006</v>
      </c>
      <c r="I13" s="51">
        <v>13</v>
      </c>
      <c r="J13" s="52" t="s">
        <v>236</v>
      </c>
      <c r="K13" s="53">
        <v>13</v>
      </c>
      <c r="L13" s="54" t="s">
        <v>237</v>
      </c>
      <c r="M13" s="54" t="s">
        <v>237</v>
      </c>
      <c r="N13" s="54" t="s">
        <v>237</v>
      </c>
      <c r="O13" s="55"/>
      <c r="P13" s="59" t="s">
        <v>201</v>
      </c>
      <c r="Q13" s="55"/>
      <c r="R13" s="53" t="s">
        <v>227</v>
      </c>
      <c r="S13" s="57" t="s">
        <v>210</v>
      </c>
    </row>
    <row r="14" spans="1:19" x14ac:dyDescent="0.3">
      <c r="A14" s="9">
        <v>18</v>
      </c>
      <c r="B14" s="9" t="str">
        <f>VLOOKUP(A14,tblFishery!C$2:E$74,2,FALSE)</f>
        <v>Ar 3:4 Spt</v>
      </c>
      <c r="C14" s="9" t="str">
        <f>VLOOKUP(A14,tblFishery!C$2:E$74,3,FALSE)</f>
        <v>NT Area 3:4 Sport</v>
      </c>
      <c r="D14" s="37"/>
      <c r="E14" s="32">
        <v>1.113</v>
      </c>
      <c r="F14" s="32">
        <v>1.113</v>
      </c>
      <c r="G14" s="37"/>
      <c r="I14" s="51">
        <v>14</v>
      </c>
      <c r="J14" s="52" t="s">
        <v>238</v>
      </c>
      <c r="K14" s="53">
        <v>14</v>
      </c>
      <c r="L14" s="54" t="s">
        <v>239</v>
      </c>
      <c r="M14" s="54" t="s">
        <v>239</v>
      </c>
      <c r="N14" s="54" t="s">
        <v>239</v>
      </c>
      <c r="O14" s="55"/>
      <c r="P14" s="59" t="s">
        <v>201</v>
      </c>
      <c r="Q14" s="55"/>
      <c r="R14" s="53" t="s">
        <v>227</v>
      </c>
      <c r="S14" s="57" t="s">
        <v>210</v>
      </c>
    </row>
    <row r="15" spans="1:19" x14ac:dyDescent="0.3">
      <c r="A15" s="9">
        <v>20</v>
      </c>
      <c r="B15" s="9" t="str">
        <f>VLOOKUP(A15,tblFishery!C$2:E$74,2,FALSE)</f>
        <v>NT 2 Troll</v>
      </c>
      <c r="C15" s="9" t="str">
        <f>VLOOKUP(A15,tblFishery!C$2:E$74,3,FALSE)</f>
        <v>NT Area 2 Troll</v>
      </c>
      <c r="D15" s="37"/>
      <c r="E15" s="32">
        <v>1.147</v>
      </c>
      <c r="F15" s="32">
        <v>1.2</v>
      </c>
      <c r="G15" s="37"/>
      <c r="I15" s="51">
        <v>15</v>
      </c>
      <c r="J15" s="52" t="s">
        <v>82</v>
      </c>
      <c r="K15" s="53">
        <v>15</v>
      </c>
      <c r="L15" s="54" t="s">
        <v>240</v>
      </c>
      <c r="M15" s="54" t="s">
        <v>240</v>
      </c>
      <c r="N15" s="54" t="s">
        <v>240</v>
      </c>
      <c r="O15" s="55"/>
      <c r="P15" s="53" t="s">
        <v>201</v>
      </c>
      <c r="Q15" s="55"/>
      <c r="R15" s="53" t="s">
        <v>227</v>
      </c>
      <c r="S15" s="57" t="s">
        <v>210</v>
      </c>
    </row>
    <row r="16" spans="1:19" x14ac:dyDescent="0.3">
      <c r="A16" s="9">
        <v>21</v>
      </c>
      <c r="B16" s="9" t="str">
        <f>VLOOKUP(A16,tblFishery!C$2:E$74,2,FALSE)</f>
        <v>Tr 2 Troll</v>
      </c>
      <c r="C16" s="9" t="str">
        <f>VLOOKUP(A16,tblFishery!C$2:E$74,3,FALSE)</f>
        <v>Tr Area 2 Troll</v>
      </c>
      <c r="D16" s="37"/>
      <c r="E16" s="32">
        <v>1.147</v>
      </c>
      <c r="F16" s="32">
        <v>1.2</v>
      </c>
      <c r="G16" s="37"/>
      <c r="I16" s="51">
        <v>16</v>
      </c>
      <c r="J16" s="52" t="s">
        <v>241</v>
      </c>
      <c r="K16" s="53">
        <v>16</v>
      </c>
      <c r="L16" s="58" t="s">
        <v>226</v>
      </c>
      <c r="M16" s="54" t="s">
        <v>242</v>
      </c>
      <c r="N16" s="54" t="s">
        <v>243</v>
      </c>
      <c r="O16" s="57" t="s">
        <v>204</v>
      </c>
      <c r="P16" s="53" t="s">
        <v>205</v>
      </c>
      <c r="Q16" s="57" t="s">
        <v>206</v>
      </c>
      <c r="R16" s="56" t="s">
        <v>244</v>
      </c>
      <c r="S16" s="57" t="s">
        <v>210</v>
      </c>
    </row>
    <row r="17" spans="1:19" x14ac:dyDescent="0.3">
      <c r="A17" s="9">
        <v>22</v>
      </c>
      <c r="B17" s="9" t="str">
        <f>VLOOKUP(A17,tblFishery!C$2:E$74,2,FALSE)</f>
        <v>Ar 2 Sport</v>
      </c>
      <c r="C17" s="9" t="str">
        <f>VLOOKUP(A17,tblFishery!C$2:E$74,3,FALSE)</f>
        <v>NT Area 2 Sport</v>
      </c>
      <c r="D17" s="37"/>
      <c r="E17" s="32">
        <v>0.66300000000000003</v>
      </c>
      <c r="F17" s="32">
        <v>0.66300000000000003</v>
      </c>
      <c r="G17" s="37"/>
      <c r="I17" s="51">
        <v>17</v>
      </c>
      <c r="J17" s="52" t="s">
        <v>245</v>
      </c>
      <c r="K17" s="53">
        <v>17</v>
      </c>
      <c r="L17" s="54" t="s">
        <v>242</v>
      </c>
      <c r="M17" s="54" t="s">
        <v>242</v>
      </c>
      <c r="N17" s="54" t="s">
        <v>243</v>
      </c>
      <c r="O17" s="57" t="s">
        <v>204</v>
      </c>
      <c r="P17" s="53" t="s">
        <v>207</v>
      </c>
      <c r="Q17" s="57" t="s">
        <v>206</v>
      </c>
      <c r="R17" s="56" t="s">
        <v>244</v>
      </c>
      <c r="S17" s="55" t="s">
        <v>246</v>
      </c>
    </row>
    <row r="18" spans="1:19" x14ac:dyDescent="0.3">
      <c r="A18" s="9">
        <v>26</v>
      </c>
      <c r="B18" s="9" t="str">
        <f>VLOOKUP(A18,tblFishery!C$2:E$74,2,FALSE)</f>
        <v>NT 1 Troll</v>
      </c>
      <c r="C18" s="9" t="str">
        <f>VLOOKUP(A18,tblFishery!C$2:E$74,3,FALSE)</f>
        <v>Area 1 Troll</v>
      </c>
      <c r="D18" s="37"/>
      <c r="E18" s="32">
        <v>4.4749999999999996</v>
      </c>
      <c r="F18" s="32">
        <v>4.6820000000000004</v>
      </c>
      <c r="G18" s="37"/>
      <c r="I18" s="51">
        <v>18</v>
      </c>
      <c r="J18" s="52" t="s">
        <v>247</v>
      </c>
      <c r="K18" s="53">
        <v>18</v>
      </c>
      <c r="L18" s="58" t="s">
        <v>226</v>
      </c>
      <c r="M18" s="54" t="s">
        <v>248</v>
      </c>
      <c r="N18" s="54" t="s">
        <v>248</v>
      </c>
      <c r="O18" s="55" t="s">
        <v>249</v>
      </c>
      <c r="P18" s="53" t="s">
        <v>208</v>
      </c>
      <c r="Q18" s="60">
        <f>165/7</f>
        <v>23.571428571428573</v>
      </c>
      <c r="R18" s="56" t="s">
        <v>244</v>
      </c>
      <c r="S18" s="57" t="s">
        <v>250</v>
      </c>
    </row>
    <row r="19" spans="1:19" x14ac:dyDescent="0.3">
      <c r="A19" s="9">
        <v>27</v>
      </c>
      <c r="B19" s="9" t="str">
        <f>VLOOKUP(A19,tblFishery!C$2:E$74,2,FALSE)</f>
        <v>Ar 1 Sport</v>
      </c>
      <c r="C19" s="9" t="str">
        <f>VLOOKUP(A19,tblFishery!C$2:E$74,3,FALSE)</f>
        <v>Area 1 Sport</v>
      </c>
      <c r="D19" s="37"/>
      <c r="E19" s="32">
        <v>2.5870000000000002</v>
      </c>
      <c r="F19" s="32">
        <v>2.5870000000000002</v>
      </c>
      <c r="G19" s="37"/>
      <c r="I19" s="51">
        <v>20</v>
      </c>
      <c r="J19" s="52" t="s">
        <v>251</v>
      </c>
      <c r="K19" s="53">
        <v>20</v>
      </c>
      <c r="L19" s="58" t="s">
        <v>226</v>
      </c>
      <c r="M19" s="54" t="s">
        <v>252</v>
      </c>
      <c r="N19" s="54" t="s">
        <v>253</v>
      </c>
      <c r="O19" s="57" t="s">
        <v>204</v>
      </c>
      <c r="P19" s="53" t="s">
        <v>207</v>
      </c>
      <c r="Q19" s="57" t="s">
        <v>209</v>
      </c>
      <c r="R19" s="56" t="s">
        <v>244</v>
      </c>
      <c r="S19" s="57" t="s">
        <v>210</v>
      </c>
    </row>
    <row r="20" spans="1:19" x14ac:dyDescent="0.3">
      <c r="A20" s="9">
        <v>30</v>
      </c>
      <c r="B20" s="9" t="str">
        <f>VLOOKUP(A20,tblFishery!C$2:E$74,2,FALSE)</f>
        <v>Cen OR Trl</v>
      </c>
      <c r="C20" s="9" t="str">
        <f>VLOOKUP(A20,tblFishery!C$2:E$74,3,FALSE)</f>
        <v>Central OR Troll</v>
      </c>
      <c r="D20" s="63">
        <v>0.47399999999999998</v>
      </c>
      <c r="E20" s="65">
        <v>1.0860000000000001</v>
      </c>
      <c r="F20" s="65">
        <v>1.0860000000000001</v>
      </c>
      <c r="G20" s="63">
        <v>0.47399999999999998</v>
      </c>
      <c r="I20" s="51">
        <v>21</v>
      </c>
      <c r="J20" s="52" t="s">
        <v>254</v>
      </c>
      <c r="K20" s="53">
        <v>21</v>
      </c>
      <c r="L20" s="58" t="s">
        <v>226</v>
      </c>
      <c r="M20" s="54" t="s">
        <v>252</v>
      </c>
      <c r="N20" s="54" t="s">
        <v>253</v>
      </c>
      <c r="O20" s="57" t="s">
        <v>204</v>
      </c>
      <c r="P20" s="53" t="s">
        <v>207</v>
      </c>
      <c r="Q20" s="57" t="s">
        <v>209</v>
      </c>
      <c r="R20" s="56" t="s">
        <v>244</v>
      </c>
      <c r="S20" s="57" t="s">
        <v>210</v>
      </c>
    </row>
    <row r="21" spans="1:19" x14ac:dyDescent="0.3">
      <c r="A21" s="9">
        <v>31</v>
      </c>
      <c r="B21" s="9" t="str">
        <f>VLOOKUP(A21,tblFishery!C$2:E$74,2,FALSE)</f>
        <v>Cen OR Spt</v>
      </c>
      <c r="C21" s="9" t="str">
        <f>VLOOKUP(A21,tblFishery!C$2:E$74,3,FALSE)</f>
        <v>Central OR Sport</v>
      </c>
      <c r="D21" s="63">
        <v>0.92</v>
      </c>
      <c r="E21" s="65">
        <v>0.58299999999999996</v>
      </c>
      <c r="F21" s="65">
        <v>0.68899999999999995</v>
      </c>
      <c r="G21" s="63">
        <v>0.92</v>
      </c>
      <c r="I21" s="51">
        <v>22</v>
      </c>
      <c r="J21" s="52" t="s">
        <v>255</v>
      </c>
      <c r="K21" s="53">
        <v>22</v>
      </c>
      <c r="L21" s="58" t="s">
        <v>226</v>
      </c>
      <c r="M21" s="54" t="s">
        <v>256</v>
      </c>
      <c r="N21" s="54" t="s">
        <v>256</v>
      </c>
      <c r="O21" s="55" t="s">
        <v>249</v>
      </c>
      <c r="P21" s="53" t="s">
        <v>208</v>
      </c>
      <c r="Q21" s="60">
        <f>1234/7</f>
        <v>176.28571428571428</v>
      </c>
      <c r="R21" s="56" t="s">
        <v>244</v>
      </c>
      <c r="S21" s="57" t="s">
        <v>210</v>
      </c>
    </row>
    <row r="22" spans="1:19" x14ac:dyDescent="0.3">
      <c r="A22" s="9">
        <v>32</v>
      </c>
      <c r="B22" s="9" t="str">
        <f>VLOOKUP(A22,tblFishery!C$2:E$74,2,FALSE)</f>
        <v>KMZ Troll</v>
      </c>
      <c r="C22" s="9" t="str">
        <f>VLOOKUP(A22,tblFishery!C$2:E$74,3,FALSE)</f>
        <v>KMZ Troll</v>
      </c>
      <c r="D22" s="37"/>
      <c r="E22" s="32">
        <v>1.0860000000000001</v>
      </c>
      <c r="F22" s="32">
        <v>1.0860000000000001</v>
      </c>
      <c r="G22" s="37"/>
      <c r="I22" s="51">
        <v>26</v>
      </c>
      <c r="J22" s="52" t="s">
        <v>257</v>
      </c>
      <c r="K22" s="53">
        <v>26</v>
      </c>
      <c r="L22" s="58" t="s">
        <v>226</v>
      </c>
      <c r="M22" s="58" t="s">
        <v>226</v>
      </c>
      <c r="N22" s="58" t="s">
        <v>226</v>
      </c>
      <c r="O22" s="57"/>
      <c r="P22" s="53"/>
      <c r="Q22" s="57"/>
      <c r="R22" s="61"/>
      <c r="S22" s="55" t="s">
        <v>258</v>
      </c>
    </row>
    <row r="23" spans="1:19" x14ac:dyDescent="0.3">
      <c r="A23" s="9">
        <v>33</v>
      </c>
      <c r="B23" s="9" t="str">
        <f>VLOOKUP(A23,tblFishery!C$2:E$74,2,FALSE)</f>
        <v>KMZ Sport</v>
      </c>
      <c r="C23" s="9" t="str">
        <f>VLOOKUP(A23,tblFishery!C$2:E$74,3,FALSE)</f>
        <v>KMZ Sport</v>
      </c>
      <c r="D23" s="37"/>
      <c r="E23" s="32">
        <v>0.58299999999999996</v>
      </c>
      <c r="F23" s="32">
        <v>0.68899999999999995</v>
      </c>
      <c r="G23" s="37"/>
      <c r="I23" s="51">
        <v>27</v>
      </c>
      <c r="J23" s="52" t="s">
        <v>259</v>
      </c>
      <c r="K23" s="53">
        <v>27</v>
      </c>
      <c r="L23" s="58" t="s">
        <v>226</v>
      </c>
      <c r="M23" s="54" t="s">
        <v>260</v>
      </c>
      <c r="N23" s="54" t="s">
        <v>260</v>
      </c>
      <c r="O23" s="55" t="s">
        <v>249</v>
      </c>
      <c r="P23" s="53" t="s">
        <v>208</v>
      </c>
      <c r="Q23" s="57">
        <f>777/7</f>
        <v>111</v>
      </c>
      <c r="R23" s="56" t="s">
        <v>244</v>
      </c>
      <c r="S23" s="57" t="s">
        <v>210</v>
      </c>
    </row>
    <row r="24" spans="1:19" x14ac:dyDescent="0.3">
      <c r="A24" s="9">
        <v>34</v>
      </c>
      <c r="B24" s="9" t="str">
        <f>VLOOKUP(A24,tblFishery!C$2:E$74,2,FALSE)</f>
        <v>So Cal Trl</v>
      </c>
      <c r="C24" s="9" t="str">
        <f>VLOOKUP(A24,tblFishery!C$2:E$74,3,FALSE)</f>
        <v>So Calif. Troll</v>
      </c>
      <c r="D24" s="64">
        <v>0.47399999999999998</v>
      </c>
      <c r="E24" s="32">
        <v>0.36799999999999999</v>
      </c>
      <c r="F24" s="32">
        <v>0.6</v>
      </c>
      <c r="G24" s="64">
        <v>0.47399999999999998</v>
      </c>
      <c r="I24" s="51">
        <v>30</v>
      </c>
      <c r="J24" s="52" t="s">
        <v>261</v>
      </c>
      <c r="K24" s="53">
        <v>30</v>
      </c>
      <c r="L24" s="62" t="s">
        <v>262</v>
      </c>
      <c r="M24" s="54" t="s">
        <v>263</v>
      </c>
      <c r="N24" s="54" t="s">
        <v>263</v>
      </c>
      <c r="O24" s="55"/>
      <c r="P24" s="53" t="s">
        <v>211</v>
      </c>
      <c r="Q24" s="55"/>
      <c r="R24" s="56"/>
      <c r="S24" s="57" t="s">
        <v>264</v>
      </c>
    </row>
    <row r="25" spans="1:19" x14ac:dyDescent="0.3">
      <c r="A25" s="9">
        <v>35</v>
      </c>
      <c r="B25" s="9" t="str">
        <f>VLOOKUP(A25,tblFishery!C$2:E$74,2,FALSE)</f>
        <v>So Cal Spt</v>
      </c>
      <c r="C25" s="9" t="str">
        <f>VLOOKUP(A25,tblFishery!C$2:E$74,3,FALSE)</f>
        <v>So Calif. Sport</v>
      </c>
      <c r="D25" s="64">
        <v>0.92</v>
      </c>
      <c r="E25" s="32">
        <v>0.61</v>
      </c>
      <c r="F25" s="32">
        <v>0.495</v>
      </c>
      <c r="G25" s="64">
        <v>0.92</v>
      </c>
      <c r="I25" s="51">
        <v>31</v>
      </c>
      <c r="J25" s="52" t="s">
        <v>265</v>
      </c>
      <c r="K25" s="53">
        <v>31</v>
      </c>
      <c r="L25" s="62" t="s">
        <v>266</v>
      </c>
      <c r="M25" s="54" t="s">
        <v>267</v>
      </c>
      <c r="N25" s="54" t="s">
        <v>268</v>
      </c>
      <c r="O25" s="55"/>
      <c r="P25" s="53" t="s">
        <v>212</v>
      </c>
      <c r="Q25" s="55"/>
      <c r="R25" s="56"/>
      <c r="S25" s="57" t="s">
        <v>264</v>
      </c>
    </row>
    <row r="26" spans="1:19" x14ac:dyDescent="0.3">
      <c r="A26" s="66">
        <v>36</v>
      </c>
      <c r="B26" s="67" t="str">
        <f>VLOOKUP(A26,tblFishery!C$2:E$74,2,FALSE)</f>
        <v>Ar 7 Sport</v>
      </c>
      <c r="C26" s="67" t="str">
        <f>VLOOKUP(A26,tblFishery!C$2:E$74,3,FALSE)</f>
        <v>NT Area 7 Sport</v>
      </c>
      <c r="D26" s="68">
        <v>0.24199999999999999</v>
      </c>
      <c r="E26" s="69"/>
      <c r="F26" s="68">
        <v>0.6</v>
      </c>
      <c r="G26" s="70">
        <v>0.24199999999999999</v>
      </c>
      <c r="I26" s="51">
        <v>32</v>
      </c>
      <c r="J26" s="52" t="s">
        <v>269</v>
      </c>
      <c r="K26" s="53">
        <v>32</v>
      </c>
      <c r="L26" s="58" t="s">
        <v>226</v>
      </c>
      <c r="M26" s="54" t="s">
        <v>263</v>
      </c>
      <c r="N26" s="54" t="s">
        <v>263</v>
      </c>
      <c r="O26" s="55"/>
      <c r="P26" s="53" t="s">
        <v>211</v>
      </c>
      <c r="Q26" s="55"/>
      <c r="R26" s="56"/>
      <c r="S26" s="57" t="s">
        <v>210</v>
      </c>
    </row>
    <row r="27" spans="1:19" x14ac:dyDescent="0.3">
      <c r="A27" s="71">
        <v>42</v>
      </c>
      <c r="B27" s="72" t="str">
        <f>VLOOKUP(A27,tblFishery!C$2:E$74,2,FALSE)</f>
        <v>Ar 5 Sport</v>
      </c>
      <c r="C27" s="72" t="str">
        <f>VLOOKUP(A27,tblFishery!C$2:E$74,3,FALSE)</f>
        <v>NT Area 5 Sport</v>
      </c>
      <c r="D27" s="86">
        <v>1.92</v>
      </c>
      <c r="E27" s="74"/>
      <c r="F27" s="73">
        <v>0.77400000000000002</v>
      </c>
      <c r="G27" s="75">
        <v>1.92</v>
      </c>
      <c r="I27" s="51">
        <v>33</v>
      </c>
      <c r="J27" s="52" t="s">
        <v>270</v>
      </c>
      <c r="K27" s="53">
        <v>33</v>
      </c>
      <c r="L27" s="58" t="s">
        <v>226</v>
      </c>
      <c r="M27" s="54" t="s">
        <v>267</v>
      </c>
      <c r="N27" s="54" t="s">
        <v>268</v>
      </c>
      <c r="O27" s="55"/>
      <c r="P27" s="53" t="s">
        <v>212</v>
      </c>
      <c r="Q27" s="55"/>
      <c r="R27" s="56"/>
      <c r="S27" s="57" t="s">
        <v>210</v>
      </c>
    </row>
    <row r="28" spans="1:19" x14ac:dyDescent="0.3">
      <c r="A28" s="71">
        <v>45</v>
      </c>
      <c r="B28" s="72" t="str">
        <f>VLOOKUP(A28,tblFishery!C$2:E$74,2,FALSE)</f>
        <v>Ar 8-1 Spt</v>
      </c>
      <c r="C28" s="72" t="str">
        <f>VLOOKUP(A28,tblFishery!C$2:E$74,3,FALSE)</f>
        <v>NT Area 8-1 Sport</v>
      </c>
      <c r="D28" s="73">
        <v>3.6480000000000001</v>
      </c>
      <c r="E28" s="74"/>
      <c r="F28" s="74"/>
      <c r="G28" s="75">
        <v>3.6480000000000001</v>
      </c>
      <c r="I28" s="51">
        <v>34</v>
      </c>
      <c r="J28" s="52" t="s">
        <v>271</v>
      </c>
      <c r="K28" s="53">
        <v>34</v>
      </c>
      <c r="L28" s="54" t="s">
        <v>262</v>
      </c>
      <c r="M28" s="54" t="s">
        <v>272</v>
      </c>
      <c r="N28" s="54" t="s">
        <v>273</v>
      </c>
      <c r="O28" s="55"/>
      <c r="P28" s="53" t="s">
        <v>211</v>
      </c>
      <c r="Q28" s="55"/>
      <c r="R28" s="56"/>
      <c r="S28" s="57" t="s">
        <v>210</v>
      </c>
    </row>
    <row r="29" spans="1:19" x14ac:dyDescent="0.3">
      <c r="A29" s="71">
        <v>53</v>
      </c>
      <c r="B29" s="72" t="str">
        <f>VLOOKUP(A29,tblFishery!C$2:E$74,2,FALSE)</f>
        <v>Ar 9 Sport</v>
      </c>
      <c r="C29" s="72" t="str">
        <f>VLOOKUP(A29,tblFishery!C$2:E$74,3,FALSE)</f>
        <v>NT Area 9 Sport</v>
      </c>
      <c r="D29" s="73">
        <v>2.5169999999999999</v>
      </c>
      <c r="E29" s="74"/>
      <c r="F29" s="73">
        <v>0.94599999999999995</v>
      </c>
      <c r="G29" s="75">
        <v>2.5169999999999999</v>
      </c>
      <c r="I29" s="51">
        <v>35</v>
      </c>
      <c r="J29" s="52" t="s">
        <v>274</v>
      </c>
      <c r="K29" s="53">
        <v>35</v>
      </c>
      <c r="L29" s="54" t="s">
        <v>266</v>
      </c>
      <c r="M29" s="54" t="s">
        <v>275</v>
      </c>
      <c r="N29" s="54" t="s">
        <v>276</v>
      </c>
      <c r="O29" s="55"/>
      <c r="P29" s="53" t="s">
        <v>212</v>
      </c>
      <c r="Q29" s="55"/>
      <c r="R29" s="56"/>
      <c r="S29" s="57" t="s">
        <v>210</v>
      </c>
    </row>
    <row r="30" spans="1:19" x14ac:dyDescent="0.3">
      <c r="A30" s="71">
        <v>54</v>
      </c>
      <c r="B30" s="72" t="str">
        <f>VLOOKUP(A30,tblFishery!C$2:E$74,2,FALSE)</f>
        <v>Ar 6 Sport</v>
      </c>
      <c r="C30" s="72" t="str">
        <f>VLOOKUP(A30,tblFishery!C$2:E$74,3,FALSE)</f>
        <v>NT Area 6 Sport</v>
      </c>
      <c r="D30" s="86">
        <v>0.64300000000000002</v>
      </c>
      <c r="E30" s="74"/>
      <c r="F30" s="73">
        <v>3.4000000000000002E-2</v>
      </c>
      <c r="G30" s="75">
        <v>1.0580000000000001</v>
      </c>
    </row>
    <row r="31" spans="1:19" x14ac:dyDescent="0.3">
      <c r="A31" s="71">
        <v>56</v>
      </c>
      <c r="B31" s="72" t="str">
        <f>VLOOKUP(A31,tblFishery!C$2:E$74,2,FALSE)</f>
        <v>A 10 Sport</v>
      </c>
      <c r="C31" s="72" t="str">
        <f>VLOOKUP(A31,tblFishery!C$2:E$74,3,FALSE)</f>
        <v>NT Area 10 Sport</v>
      </c>
      <c r="D31" s="73">
        <v>6.1040000000000001</v>
      </c>
      <c r="E31" s="74"/>
      <c r="F31" s="73">
        <v>1.2230000000000001</v>
      </c>
      <c r="G31" s="75">
        <v>6.1040000000000001</v>
      </c>
    </row>
    <row r="32" spans="1:19" x14ac:dyDescent="0.3">
      <c r="A32" s="71">
        <v>57</v>
      </c>
      <c r="B32" s="72" t="str">
        <f>VLOOKUP(A32,tblFishery!C$2:E$74,2,FALSE)</f>
        <v>A 11 Sport</v>
      </c>
      <c r="C32" s="72" t="str">
        <f>VLOOKUP(A32,tblFishery!C$2:E$74,3,FALSE)</f>
        <v>NT Area 11 Sport</v>
      </c>
      <c r="D32" s="73">
        <v>1.9630000000000001</v>
      </c>
      <c r="E32" s="74"/>
      <c r="F32" s="73">
        <v>0.64</v>
      </c>
      <c r="G32" s="75">
        <v>1.9630000000000001</v>
      </c>
    </row>
    <row r="33" spans="1:7" x14ac:dyDescent="0.3">
      <c r="A33" s="71">
        <v>64</v>
      </c>
      <c r="B33" s="72" t="str">
        <f>VLOOKUP(A33,tblFishery!C$2:E$74,2,FALSE)</f>
        <v>A 12 Sport</v>
      </c>
      <c r="C33" s="72" t="str">
        <f>VLOOKUP(A33,tblFishery!C$2:E$74,3,FALSE)</f>
        <v>NT Area 12 Sport</v>
      </c>
      <c r="D33" s="73">
        <v>3.3130000000000002</v>
      </c>
      <c r="E33" s="74"/>
      <c r="F33" s="73">
        <v>1.696</v>
      </c>
      <c r="G33" s="75">
        <v>3.3130000000000002</v>
      </c>
    </row>
    <row r="34" spans="1:7" x14ac:dyDescent="0.3">
      <c r="A34" s="76">
        <v>67</v>
      </c>
      <c r="B34" s="77" t="str">
        <f>VLOOKUP(A34,tblFishery!C$2:E$74,2,FALSE)</f>
        <v>A 13 Sport</v>
      </c>
      <c r="C34" s="77" t="str">
        <f>VLOOKUP(A34,tblFishery!C$2:E$74,3,FALSE)</f>
        <v>NT Area 13 Sport</v>
      </c>
      <c r="D34" s="78">
        <v>8.3930000000000007</v>
      </c>
      <c r="E34" s="79"/>
      <c r="F34" s="78">
        <v>1.474</v>
      </c>
      <c r="G34" s="80">
        <v>8.3930000000000007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94"/>
  <sheetViews>
    <sheetView topLeftCell="U1" workbookViewId="0">
      <selection activeCell="H3" sqref="H3"/>
    </sheetView>
  </sheetViews>
  <sheetFormatPr defaultRowHeight="14.4" x14ac:dyDescent="0.3"/>
  <cols>
    <col min="10" max="10" width="12" bestFit="1" customWidth="1"/>
    <col min="27" max="27" width="12" style="101" bestFit="1" customWidth="1"/>
  </cols>
  <sheetData>
    <row r="1" spans="1:33" ht="15" thickBot="1" x14ac:dyDescent="0.35">
      <c r="S1" t="s">
        <v>295</v>
      </c>
    </row>
    <row r="2" spans="1:33" ht="15" thickBot="1" x14ac:dyDescent="0.35">
      <c r="B2" s="99" t="s">
        <v>290</v>
      </c>
      <c r="C2" s="99" t="s">
        <v>7</v>
      </c>
      <c r="D2" s="99" t="s">
        <v>45</v>
      </c>
      <c r="E2" s="99" t="s">
        <v>6</v>
      </c>
      <c r="F2" s="99" t="s">
        <v>46</v>
      </c>
      <c r="G2" s="99" t="s">
        <v>296</v>
      </c>
      <c r="H2" s="99" t="s">
        <v>297</v>
      </c>
      <c r="I2" s="99" t="s">
        <v>298</v>
      </c>
      <c r="J2" s="108" t="s">
        <v>299</v>
      </c>
      <c r="M2" s="23" t="s">
        <v>7</v>
      </c>
      <c r="N2" s="23" t="s">
        <v>45</v>
      </c>
      <c r="O2" s="23" t="s">
        <v>6</v>
      </c>
      <c r="P2" s="24" t="s">
        <v>46</v>
      </c>
      <c r="Q2" s="102"/>
      <c r="S2" s="99" t="s">
        <v>290</v>
      </c>
      <c r="T2" s="99" t="s">
        <v>7</v>
      </c>
      <c r="U2" s="99" t="s">
        <v>6</v>
      </c>
      <c r="V2" s="99" t="s">
        <v>291</v>
      </c>
      <c r="W2" s="99" t="s">
        <v>292</v>
      </c>
      <c r="X2" s="99" t="s">
        <v>293</v>
      </c>
      <c r="Y2" s="99" t="s">
        <v>294</v>
      </c>
      <c r="Z2" s="103" t="s">
        <v>300</v>
      </c>
      <c r="AA2" s="104" t="s">
        <v>301</v>
      </c>
      <c r="AD2" s="99" t="s">
        <v>302</v>
      </c>
      <c r="AE2" s="99" t="s">
        <v>7</v>
      </c>
      <c r="AF2" s="99" t="s">
        <v>6</v>
      </c>
      <c r="AG2" s="99" t="s">
        <v>303</v>
      </c>
    </row>
    <row r="3" spans="1:33" x14ac:dyDescent="0.3">
      <c r="A3" s="105" t="str">
        <f>"f"&amp;C3&amp;"t"&amp;E3</f>
        <v>f1t1</v>
      </c>
      <c r="B3" s="109">
        <v>191</v>
      </c>
      <c r="C3" s="109">
        <v>1</v>
      </c>
      <c r="D3" s="109">
        <v>2</v>
      </c>
      <c r="E3" s="109">
        <v>1</v>
      </c>
      <c r="F3" s="109">
        <v>0.314</v>
      </c>
      <c r="G3" s="109">
        <v>0.328278147490427</v>
      </c>
      <c r="H3" s="110">
        <v>41675.480023148149</v>
      </c>
      <c r="I3" s="111" t="s">
        <v>304</v>
      </c>
      <c r="J3" s="106">
        <f t="shared" ref="J3:J66" si="0">F3-VLOOKUP(A3,L$3:P$100,5,FALSE)</f>
        <v>0</v>
      </c>
      <c r="L3" s="105" t="str">
        <f t="shared" ref="L3:L66" si="1">"f"&amp;M3&amp;"t"&amp;O3</f>
        <v>f1t1</v>
      </c>
      <c r="M3" s="25">
        <v>1</v>
      </c>
      <c r="N3" s="26"/>
      <c r="O3" s="25">
        <v>1</v>
      </c>
      <c r="P3" s="27">
        <v>0.314</v>
      </c>
      <c r="Q3" s="27"/>
      <c r="R3" s="105" t="str">
        <f>"f"&amp;T3&amp;"t"&amp;U3</f>
        <v>f1t1</v>
      </c>
      <c r="S3" s="100">
        <v>191</v>
      </c>
      <c r="T3" s="100">
        <v>1</v>
      </c>
      <c r="U3" s="100">
        <v>1</v>
      </c>
      <c r="V3" s="100">
        <v>0</v>
      </c>
      <c r="W3" s="100">
        <v>0</v>
      </c>
      <c r="X3" s="100">
        <v>4144.7822580000011</v>
      </c>
      <c r="Y3" s="100">
        <v>331.87271699999985</v>
      </c>
      <c r="Z3" s="112">
        <f>((Y3+W3)/VLOOKUP(R3,AC$3:AG$294,5,FALSE))/(X3+V3)</f>
        <v>0.3140000015156687</v>
      </c>
      <c r="AA3" s="107">
        <f>Z3-VLOOKUP(R3,L$3:P$100,5,FALSE)</f>
        <v>1.5156687016570913E-9</v>
      </c>
      <c r="AC3" s="105" t="str">
        <f>"f"&amp;AE3&amp;"t"&amp;AF3</f>
        <v>f1t1</v>
      </c>
      <c r="AD3" s="100">
        <v>18</v>
      </c>
      <c r="AE3" s="100">
        <v>1</v>
      </c>
      <c r="AF3" s="100">
        <v>1</v>
      </c>
      <c r="AG3" s="100">
        <v>0.255</v>
      </c>
    </row>
    <row r="4" spans="1:33" x14ac:dyDescent="0.3">
      <c r="A4" s="105" t="str">
        <f t="shared" ref="A4:A67" si="2">"f"&amp;C4&amp;"t"&amp;E4</f>
        <v>f1t2</v>
      </c>
      <c r="B4" s="109">
        <v>191</v>
      </c>
      <c r="C4" s="109">
        <v>1</v>
      </c>
      <c r="D4" s="109">
        <v>2</v>
      </c>
      <c r="E4" s="109">
        <v>2</v>
      </c>
      <c r="F4" s="109">
        <v>0.314</v>
      </c>
      <c r="G4" s="109">
        <v>0.25651462815597198</v>
      </c>
      <c r="H4" s="110">
        <v>41675.480023148149</v>
      </c>
      <c r="I4" s="111" t="s">
        <v>304</v>
      </c>
      <c r="J4" s="106">
        <f t="shared" si="0"/>
        <v>0</v>
      </c>
      <c r="L4" s="105" t="str">
        <f t="shared" si="1"/>
        <v>f1t2</v>
      </c>
      <c r="M4" s="25">
        <v>1</v>
      </c>
      <c r="N4" s="26"/>
      <c r="O4" s="25">
        <v>2</v>
      </c>
      <c r="P4" s="27">
        <v>0.314</v>
      </c>
      <c r="Q4" s="27"/>
      <c r="R4" s="105" t="str">
        <f t="shared" ref="R4:R67" si="3">"f"&amp;T4&amp;"t"&amp;U4</f>
        <v>f1t2</v>
      </c>
      <c r="S4" s="100">
        <v>191</v>
      </c>
      <c r="T4" s="100">
        <v>1</v>
      </c>
      <c r="U4" s="100">
        <v>2</v>
      </c>
      <c r="V4" s="100">
        <v>0</v>
      </c>
      <c r="W4" s="100">
        <v>0</v>
      </c>
      <c r="X4" s="100">
        <v>32027.394851000008</v>
      </c>
      <c r="Y4" s="100">
        <v>2564.4335069999993</v>
      </c>
      <c r="Z4" s="112">
        <f t="shared" ref="Z4:Z67" si="4">((Y4+W4)/VLOOKUP(R4,AC$3:AG$294,5,FALSE))/(X4+V4)</f>
        <v>0.31400000015678103</v>
      </c>
      <c r="AA4" s="107">
        <f t="shared" ref="AA4:AA67" si="5">Z4-VLOOKUP(R4,L$3:P$100,5,FALSE)</f>
        <v>1.5678103260086118E-10</v>
      </c>
      <c r="AC4" s="105" t="str">
        <f t="shared" ref="AC4:AC67" si="6">"f"&amp;AE4&amp;"t"&amp;AF4</f>
        <v>f1t2</v>
      </c>
      <c r="AD4" s="100">
        <v>18</v>
      </c>
      <c r="AE4" s="100">
        <v>1</v>
      </c>
      <c r="AF4" s="100">
        <v>2</v>
      </c>
      <c r="AG4" s="100">
        <v>0.255</v>
      </c>
    </row>
    <row r="5" spans="1:33" x14ac:dyDescent="0.3">
      <c r="A5" s="105" t="str">
        <f t="shared" si="2"/>
        <v>f1t3</v>
      </c>
      <c r="B5" s="109">
        <v>191</v>
      </c>
      <c r="C5" s="109">
        <v>1</v>
      </c>
      <c r="D5" s="109">
        <v>2</v>
      </c>
      <c r="E5" s="109">
        <v>3</v>
      </c>
      <c r="F5" s="109">
        <v>0.314</v>
      </c>
      <c r="G5" s="109">
        <v>0.31788561974294499</v>
      </c>
      <c r="H5" s="110">
        <v>41675.480023148149</v>
      </c>
      <c r="I5" s="111" t="s">
        <v>304</v>
      </c>
      <c r="J5" s="106">
        <f t="shared" si="0"/>
        <v>0</v>
      </c>
      <c r="L5" s="105" t="str">
        <f t="shared" si="1"/>
        <v>f1t3</v>
      </c>
      <c r="M5" s="25">
        <v>1</v>
      </c>
      <c r="N5" s="26"/>
      <c r="O5" s="25">
        <v>3</v>
      </c>
      <c r="P5" s="27">
        <v>0.314</v>
      </c>
      <c r="Q5" s="27"/>
      <c r="R5" s="105" t="str">
        <f t="shared" si="3"/>
        <v>f1t3</v>
      </c>
      <c r="S5" s="100">
        <v>191</v>
      </c>
      <c r="T5" s="100">
        <v>1</v>
      </c>
      <c r="U5" s="100">
        <v>3</v>
      </c>
      <c r="V5" s="100">
        <v>0</v>
      </c>
      <c r="W5" s="100">
        <v>0</v>
      </c>
      <c r="X5" s="100">
        <v>45028.38181899998</v>
      </c>
      <c r="Y5" s="100">
        <v>3605.4225359999991</v>
      </c>
      <c r="Z5" s="112">
        <f t="shared" si="4"/>
        <v>0.31400000032682396</v>
      </c>
      <c r="AA5" s="107">
        <f t="shared" si="5"/>
        <v>3.2682395678662601E-10</v>
      </c>
      <c r="AC5" s="105" t="str">
        <f t="shared" si="6"/>
        <v>f1t3</v>
      </c>
      <c r="AD5" s="100">
        <v>18</v>
      </c>
      <c r="AE5" s="100">
        <v>1</v>
      </c>
      <c r="AF5" s="100">
        <v>3</v>
      </c>
      <c r="AG5" s="100">
        <v>0.255</v>
      </c>
    </row>
    <row r="6" spans="1:33" x14ac:dyDescent="0.3">
      <c r="A6" s="105" t="str">
        <f t="shared" si="2"/>
        <v>f1t4</v>
      </c>
      <c r="B6" s="109">
        <v>191</v>
      </c>
      <c r="C6" s="109">
        <v>1</v>
      </c>
      <c r="D6" s="109">
        <v>2</v>
      </c>
      <c r="E6" s="109">
        <v>4</v>
      </c>
      <c r="F6" s="109">
        <v>0.314</v>
      </c>
      <c r="G6" s="109">
        <v>0.372871176850885</v>
      </c>
      <c r="H6" s="110">
        <v>41675.480023148149</v>
      </c>
      <c r="I6" s="111" t="s">
        <v>304</v>
      </c>
      <c r="J6" s="106">
        <f t="shared" si="0"/>
        <v>0</v>
      </c>
      <c r="L6" s="105" t="str">
        <f t="shared" si="1"/>
        <v>f1t4</v>
      </c>
      <c r="M6" s="25">
        <v>1</v>
      </c>
      <c r="N6" s="26"/>
      <c r="O6" s="25">
        <v>4</v>
      </c>
      <c r="P6" s="27">
        <v>0.314</v>
      </c>
      <c r="Q6" s="27"/>
      <c r="R6" s="105" t="str">
        <f t="shared" si="3"/>
        <v>f1t4</v>
      </c>
      <c r="S6" s="100">
        <v>191</v>
      </c>
      <c r="T6" s="100">
        <v>1</v>
      </c>
      <c r="U6" s="100">
        <v>4</v>
      </c>
      <c r="V6" s="100">
        <v>0</v>
      </c>
      <c r="W6" s="100">
        <v>0</v>
      </c>
      <c r="X6" s="100">
        <v>4125.9911019999981</v>
      </c>
      <c r="Y6" s="100">
        <v>330.36810500000013</v>
      </c>
      <c r="Z6" s="112">
        <f t="shared" si="4"/>
        <v>0.31399999758856301</v>
      </c>
      <c r="AA6" s="107">
        <f t="shared" si="5"/>
        <v>-2.4114369945316128E-9</v>
      </c>
      <c r="AC6" s="105" t="str">
        <f t="shared" si="6"/>
        <v>f1t4</v>
      </c>
      <c r="AD6" s="100">
        <v>18</v>
      </c>
      <c r="AE6" s="100">
        <v>1</v>
      </c>
      <c r="AF6" s="100">
        <v>4</v>
      </c>
      <c r="AG6" s="100">
        <v>0.255</v>
      </c>
    </row>
    <row r="7" spans="1:33" x14ac:dyDescent="0.3">
      <c r="A7" s="105" t="str">
        <f t="shared" si="2"/>
        <v>f1t1</v>
      </c>
      <c r="B7" s="109">
        <v>191</v>
      </c>
      <c r="C7" s="109">
        <v>1</v>
      </c>
      <c r="D7" s="109">
        <v>3</v>
      </c>
      <c r="E7" s="109">
        <v>1</v>
      </c>
      <c r="F7" s="109">
        <v>0.314</v>
      </c>
      <c r="G7" s="109">
        <v>0.328278147490427</v>
      </c>
      <c r="H7" s="110">
        <v>41675.480023148149</v>
      </c>
      <c r="I7" s="111" t="s">
        <v>304</v>
      </c>
      <c r="J7" s="106">
        <f t="shared" si="0"/>
        <v>0</v>
      </c>
      <c r="L7" s="105" t="str">
        <f t="shared" si="1"/>
        <v>f3t1</v>
      </c>
      <c r="M7" s="25">
        <v>3</v>
      </c>
      <c r="N7" s="26"/>
      <c r="O7" s="25">
        <v>1</v>
      </c>
      <c r="P7" s="27">
        <v>0.57799999999999996</v>
      </c>
      <c r="Q7" s="27"/>
      <c r="R7" s="105" t="str">
        <f t="shared" si="3"/>
        <v>f2t2</v>
      </c>
      <c r="S7" s="100">
        <v>191</v>
      </c>
      <c r="T7" s="100">
        <v>2</v>
      </c>
      <c r="U7" s="100">
        <v>2</v>
      </c>
      <c r="V7" s="100">
        <v>0</v>
      </c>
      <c r="W7" s="100">
        <v>0</v>
      </c>
      <c r="X7" s="100">
        <v>70.247919999999993</v>
      </c>
      <c r="Y7" s="100">
        <v>0</v>
      </c>
      <c r="Z7" s="112">
        <f t="shared" si="4"/>
        <v>0</v>
      </c>
      <c r="AA7" s="107" t="e">
        <f t="shared" si="5"/>
        <v>#N/A</v>
      </c>
      <c r="AC7" s="105" t="str">
        <f t="shared" si="6"/>
        <v>f2t1</v>
      </c>
      <c r="AD7" s="100">
        <v>18</v>
      </c>
      <c r="AE7" s="100">
        <v>2</v>
      </c>
      <c r="AF7" s="100">
        <v>1</v>
      </c>
      <c r="AG7" s="100">
        <v>0.3</v>
      </c>
    </row>
    <row r="8" spans="1:33" x14ac:dyDescent="0.3">
      <c r="A8" s="105" t="str">
        <f t="shared" si="2"/>
        <v>f1t2</v>
      </c>
      <c r="B8" s="109">
        <v>191</v>
      </c>
      <c r="C8" s="109">
        <v>1</v>
      </c>
      <c r="D8" s="109">
        <v>3</v>
      </c>
      <c r="E8" s="109">
        <v>2</v>
      </c>
      <c r="F8" s="109">
        <v>0.314</v>
      </c>
      <c r="G8" s="109">
        <v>0.25651462815597198</v>
      </c>
      <c r="H8" s="110">
        <v>41675.480023148149</v>
      </c>
      <c r="I8" s="111" t="s">
        <v>304</v>
      </c>
      <c r="J8" s="106">
        <f t="shared" si="0"/>
        <v>0</v>
      </c>
      <c r="L8" s="105" t="str">
        <f t="shared" si="1"/>
        <v>f3t2</v>
      </c>
      <c r="M8" s="25">
        <v>3</v>
      </c>
      <c r="N8" s="26"/>
      <c r="O8" s="25">
        <v>2</v>
      </c>
      <c r="P8" s="27">
        <v>0.57799999999999996</v>
      </c>
      <c r="Q8" s="27"/>
      <c r="R8" s="105" t="str">
        <f t="shared" si="3"/>
        <v>f2t3</v>
      </c>
      <c r="S8" s="100">
        <v>191</v>
      </c>
      <c r="T8" s="100">
        <v>2</v>
      </c>
      <c r="U8" s="100">
        <v>3</v>
      </c>
      <c r="V8" s="100">
        <v>0</v>
      </c>
      <c r="W8" s="100">
        <v>0</v>
      </c>
      <c r="X8" s="100">
        <v>2652.964148</v>
      </c>
      <c r="Y8" s="100">
        <v>0</v>
      </c>
      <c r="Z8" s="112">
        <f t="shared" si="4"/>
        <v>0</v>
      </c>
      <c r="AA8" s="107" t="e">
        <f t="shared" si="5"/>
        <v>#N/A</v>
      </c>
      <c r="AC8" s="105" t="str">
        <f t="shared" si="6"/>
        <v>f2t2</v>
      </c>
      <c r="AD8" s="100">
        <v>18</v>
      </c>
      <c r="AE8" s="100">
        <v>2</v>
      </c>
      <c r="AF8" s="100">
        <v>2</v>
      </c>
      <c r="AG8" s="100">
        <v>0.3</v>
      </c>
    </row>
    <row r="9" spans="1:33" x14ac:dyDescent="0.3">
      <c r="A9" s="105" t="str">
        <f t="shared" si="2"/>
        <v>f1t3</v>
      </c>
      <c r="B9" s="109">
        <v>191</v>
      </c>
      <c r="C9" s="109">
        <v>1</v>
      </c>
      <c r="D9" s="109">
        <v>3</v>
      </c>
      <c r="E9" s="109">
        <v>3</v>
      </c>
      <c r="F9" s="109">
        <v>0.314</v>
      </c>
      <c r="G9" s="109">
        <v>0.31788561974294499</v>
      </c>
      <c r="H9" s="110">
        <v>41675.480023148149</v>
      </c>
      <c r="I9" s="111" t="s">
        <v>304</v>
      </c>
      <c r="J9" s="106">
        <f t="shared" si="0"/>
        <v>0</v>
      </c>
      <c r="L9" s="105" t="str">
        <f t="shared" si="1"/>
        <v>f3t3</v>
      </c>
      <c r="M9" s="25">
        <v>3</v>
      </c>
      <c r="N9" s="26"/>
      <c r="O9" s="25">
        <v>3</v>
      </c>
      <c r="P9" s="27">
        <v>0.57799999999999996</v>
      </c>
      <c r="Q9" s="27"/>
      <c r="R9" s="105" t="str">
        <f t="shared" si="3"/>
        <v>f3t1</v>
      </c>
      <c r="S9" s="100">
        <v>191</v>
      </c>
      <c r="T9" s="100">
        <v>3</v>
      </c>
      <c r="U9" s="100">
        <v>1</v>
      </c>
      <c r="V9" s="100">
        <v>0</v>
      </c>
      <c r="W9" s="100">
        <v>0</v>
      </c>
      <c r="X9" s="100">
        <v>49.889170999999997</v>
      </c>
      <c r="Y9" s="100">
        <v>3.5468199999999994</v>
      </c>
      <c r="Z9" s="112">
        <f t="shared" si="4"/>
        <v>0.57799988216580289</v>
      </c>
      <c r="AA9" s="107">
        <f t="shared" si="5"/>
        <v>-1.1783419706645759E-7</v>
      </c>
      <c r="AC9" s="105" t="str">
        <f t="shared" si="6"/>
        <v>f2t3</v>
      </c>
      <c r="AD9" s="100">
        <v>18</v>
      </c>
      <c r="AE9" s="100">
        <v>2</v>
      </c>
      <c r="AF9" s="100">
        <v>3</v>
      </c>
      <c r="AG9" s="100">
        <v>0.3</v>
      </c>
    </row>
    <row r="10" spans="1:33" x14ac:dyDescent="0.3">
      <c r="A10" s="105" t="str">
        <f t="shared" si="2"/>
        <v>f1t4</v>
      </c>
      <c r="B10" s="109">
        <v>191</v>
      </c>
      <c r="C10" s="109">
        <v>1</v>
      </c>
      <c r="D10" s="109">
        <v>3</v>
      </c>
      <c r="E10" s="109">
        <v>4</v>
      </c>
      <c r="F10" s="109">
        <v>0.314</v>
      </c>
      <c r="G10" s="109">
        <v>0.372871176850885</v>
      </c>
      <c r="H10" s="110">
        <v>41675.480023148149</v>
      </c>
      <c r="I10" s="111" t="s">
        <v>304</v>
      </c>
      <c r="J10" s="106">
        <f t="shared" si="0"/>
        <v>0</v>
      </c>
      <c r="L10" s="105" t="str">
        <f t="shared" si="1"/>
        <v>f3t4</v>
      </c>
      <c r="M10" s="25">
        <v>3</v>
      </c>
      <c r="N10" s="26"/>
      <c r="O10" s="25">
        <v>4</v>
      </c>
      <c r="P10" s="27">
        <v>0.57799999999999996</v>
      </c>
      <c r="Q10" s="27"/>
      <c r="R10" s="105" t="str">
        <f t="shared" si="3"/>
        <v>f3t2</v>
      </c>
      <c r="S10" s="100">
        <v>191</v>
      </c>
      <c r="T10" s="100">
        <v>3</v>
      </c>
      <c r="U10" s="100">
        <v>2</v>
      </c>
      <c r="V10" s="100">
        <v>0</v>
      </c>
      <c r="W10" s="100">
        <v>0</v>
      </c>
      <c r="X10" s="100">
        <v>3386.8760009999996</v>
      </c>
      <c r="Y10" s="100">
        <v>240.78656200000006</v>
      </c>
      <c r="Z10" s="112">
        <f t="shared" si="4"/>
        <v>0.57799999900358112</v>
      </c>
      <c r="AA10" s="107">
        <f t="shared" si="5"/>
        <v>-9.9641883632983763E-10</v>
      </c>
      <c r="AC10" s="105" t="str">
        <f t="shared" si="6"/>
        <v>f2t4</v>
      </c>
      <c r="AD10" s="100">
        <v>18</v>
      </c>
      <c r="AE10" s="100">
        <v>2</v>
      </c>
      <c r="AF10" s="100">
        <v>4</v>
      </c>
      <c r="AG10" s="100">
        <v>0.3</v>
      </c>
    </row>
    <row r="11" spans="1:33" x14ac:dyDescent="0.3">
      <c r="A11" s="105" t="str">
        <f t="shared" si="2"/>
        <v>f1t1</v>
      </c>
      <c r="B11" s="109">
        <v>191</v>
      </c>
      <c r="C11" s="109">
        <v>1</v>
      </c>
      <c r="D11" s="109">
        <v>4</v>
      </c>
      <c r="E11" s="109">
        <v>1</v>
      </c>
      <c r="F11" s="109">
        <v>0.314</v>
      </c>
      <c r="G11" s="109">
        <v>0.328278147490427</v>
      </c>
      <c r="H11" s="110">
        <v>41675.480023148149</v>
      </c>
      <c r="I11" s="111" t="s">
        <v>304</v>
      </c>
      <c r="J11" s="106">
        <f t="shared" si="0"/>
        <v>0</v>
      </c>
      <c r="L11" s="105" t="str">
        <f t="shared" si="1"/>
        <v>f8t1</v>
      </c>
      <c r="M11" s="25">
        <v>8</v>
      </c>
      <c r="N11" s="26"/>
      <c r="O11" s="25">
        <v>1</v>
      </c>
      <c r="P11" s="27">
        <v>1E-3</v>
      </c>
      <c r="Q11" s="27"/>
      <c r="R11" s="105" t="str">
        <f t="shared" si="3"/>
        <v>f3t3</v>
      </c>
      <c r="S11" s="100">
        <v>191</v>
      </c>
      <c r="T11" s="100">
        <v>3</v>
      </c>
      <c r="U11" s="100">
        <v>3</v>
      </c>
      <c r="V11" s="100">
        <v>0</v>
      </c>
      <c r="W11" s="100">
        <v>0</v>
      </c>
      <c r="X11" s="100">
        <v>5076.9191769999989</v>
      </c>
      <c r="Y11" s="100">
        <v>360.938492</v>
      </c>
      <c r="Z11" s="112">
        <f t="shared" si="4"/>
        <v>0.57800000004862129</v>
      </c>
      <c r="AA11" s="107">
        <f t="shared" si="5"/>
        <v>4.8621329185039031E-11</v>
      </c>
      <c r="AC11" s="105" t="str">
        <f t="shared" si="6"/>
        <v>f3t1</v>
      </c>
      <c r="AD11" s="100">
        <v>18</v>
      </c>
      <c r="AE11" s="100">
        <v>3</v>
      </c>
      <c r="AF11" s="100">
        <v>1</v>
      </c>
      <c r="AG11" s="100">
        <v>0.123</v>
      </c>
    </row>
    <row r="12" spans="1:33" x14ac:dyDescent="0.3">
      <c r="A12" s="105" t="str">
        <f t="shared" si="2"/>
        <v>f1t2</v>
      </c>
      <c r="B12" s="109">
        <v>191</v>
      </c>
      <c r="C12" s="109">
        <v>1</v>
      </c>
      <c r="D12" s="109">
        <v>4</v>
      </c>
      <c r="E12" s="109">
        <v>2</v>
      </c>
      <c r="F12" s="109">
        <v>0.314</v>
      </c>
      <c r="G12" s="109">
        <v>0.25651462815597198</v>
      </c>
      <c r="H12" s="110">
        <v>41675.480023148149</v>
      </c>
      <c r="I12" s="111" t="s">
        <v>304</v>
      </c>
      <c r="J12" s="106">
        <f t="shared" si="0"/>
        <v>0</v>
      </c>
      <c r="L12" s="105" t="str">
        <f t="shared" si="1"/>
        <v>f8t2</v>
      </c>
      <c r="M12" s="25">
        <v>8</v>
      </c>
      <c r="N12" s="26"/>
      <c r="O12" s="25">
        <v>2</v>
      </c>
      <c r="P12" s="27">
        <v>1E-3</v>
      </c>
      <c r="Q12" s="27"/>
      <c r="R12" s="105" t="str">
        <f t="shared" si="3"/>
        <v>f3t4</v>
      </c>
      <c r="S12" s="100">
        <v>191</v>
      </c>
      <c r="T12" s="100">
        <v>3</v>
      </c>
      <c r="U12" s="100">
        <v>4</v>
      </c>
      <c r="V12" s="100">
        <v>0</v>
      </c>
      <c r="W12" s="100">
        <v>0</v>
      </c>
      <c r="X12" s="100">
        <v>44.841298999999992</v>
      </c>
      <c r="Y12" s="100">
        <v>3.1879479999999996</v>
      </c>
      <c r="Z12" s="112">
        <f t="shared" si="4"/>
        <v>0.57800012490191754</v>
      </c>
      <c r="AA12" s="107">
        <f t="shared" si="5"/>
        <v>1.2490191758640634E-7</v>
      </c>
      <c r="AC12" s="105" t="str">
        <f t="shared" si="6"/>
        <v>f3t2</v>
      </c>
      <c r="AD12" s="100">
        <v>18</v>
      </c>
      <c r="AE12" s="100">
        <v>3</v>
      </c>
      <c r="AF12" s="100">
        <v>2</v>
      </c>
      <c r="AG12" s="100">
        <v>0.123</v>
      </c>
    </row>
    <row r="13" spans="1:33" x14ac:dyDescent="0.3">
      <c r="A13" s="105" t="str">
        <f t="shared" si="2"/>
        <v>f1t3</v>
      </c>
      <c r="B13" s="109">
        <v>191</v>
      </c>
      <c r="C13" s="109">
        <v>1</v>
      </c>
      <c r="D13" s="109">
        <v>4</v>
      </c>
      <c r="E13" s="109">
        <v>3</v>
      </c>
      <c r="F13" s="109">
        <v>0.314</v>
      </c>
      <c r="G13" s="109">
        <v>0.31788561974294499</v>
      </c>
      <c r="H13" s="110">
        <v>41675.480023148149</v>
      </c>
      <c r="I13" s="111" t="s">
        <v>304</v>
      </c>
      <c r="J13" s="106">
        <f t="shared" si="0"/>
        <v>0</v>
      </c>
      <c r="L13" s="105" t="str">
        <f t="shared" si="1"/>
        <v>f8t3</v>
      </c>
      <c r="M13" s="25">
        <v>8</v>
      </c>
      <c r="N13" s="26"/>
      <c r="O13" s="25">
        <v>3</v>
      </c>
      <c r="P13" s="27">
        <v>1E-3</v>
      </c>
      <c r="Q13" s="27"/>
      <c r="R13" s="105" t="str">
        <f t="shared" si="3"/>
        <v>f4t3</v>
      </c>
      <c r="S13" s="100">
        <v>191</v>
      </c>
      <c r="T13" s="100">
        <v>4</v>
      </c>
      <c r="U13" s="100">
        <v>3</v>
      </c>
      <c r="V13" s="100">
        <v>0</v>
      </c>
      <c r="W13" s="100">
        <v>0</v>
      </c>
      <c r="X13" s="100">
        <v>2509.7209010000001</v>
      </c>
      <c r="Y13" s="100">
        <v>0</v>
      </c>
      <c r="Z13" s="112">
        <f t="shared" si="4"/>
        <v>0</v>
      </c>
      <c r="AA13" s="107" t="e">
        <f t="shared" si="5"/>
        <v>#N/A</v>
      </c>
      <c r="AC13" s="105" t="str">
        <f t="shared" si="6"/>
        <v>f3t3</v>
      </c>
      <c r="AD13" s="100">
        <v>18</v>
      </c>
      <c r="AE13" s="100">
        <v>3</v>
      </c>
      <c r="AF13" s="100">
        <v>3</v>
      </c>
      <c r="AG13" s="100">
        <v>0.123</v>
      </c>
    </row>
    <row r="14" spans="1:33" x14ac:dyDescent="0.3">
      <c r="A14" s="105" t="str">
        <f t="shared" si="2"/>
        <v>f1t4</v>
      </c>
      <c r="B14" s="109">
        <v>191</v>
      </c>
      <c r="C14" s="109">
        <v>1</v>
      </c>
      <c r="D14" s="109">
        <v>4</v>
      </c>
      <c r="E14" s="109">
        <v>4</v>
      </c>
      <c r="F14" s="109">
        <v>0.314</v>
      </c>
      <c r="G14" s="109">
        <v>0.372871176850885</v>
      </c>
      <c r="H14" s="110">
        <v>41675.480023148149</v>
      </c>
      <c r="I14" s="111" t="s">
        <v>304</v>
      </c>
      <c r="J14" s="106">
        <f t="shared" si="0"/>
        <v>0</v>
      </c>
      <c r="L14" s="105" t="str">
        <f t="shared" si="1"/>
        <v>f8t4</v>
      </c>
      <c r="M14" s="25">
        <v>8</v>
      </c>
      <c r="N14" s="26"/>
      <c r="O14" s="25">
        <v>4</v>
      </c>
      <c r="P14" s="27">
        <v>1E-3</v>
      </c>
      <c r="Q14" s="27"/>
      <c r="R14" s="105" t="str">
        <f t="shared" si="3"/>
        <v>f7t3</v>
      </c>
      <c r="S14" s="100">
        <v>191</v>
      </c>
      <c r="T14" s="100">
        <v>7</v>
      </c>
      <c r="U14" s="100">
        <v>3</v>
      </c>
      <c r="V14" s="100">
        <v>0</v>
      </c>
      <c r="W14" s="100">
        <v>0</v>
      </c>
      <c r="X14" s="100">
        <v>215.61249799999993</v>
      </c>
      <c r="Y14" s="100">
        <v>0</v>
      </c>
      <c r="Z14" s="112">
        <f t="shared" si="4"/>
        <v>0</v>
      </c>
      <c r="AA14" s="107" t="e">
        <f t="shared" si="5"/>
        <v>#N/A</v>
      </c>
      <c r="AC14" s="105" t="str">
        <f t="shared" si="6"/>
        <v>f3t4</v>
      </c>
      <c r="AD14" s="100">
        <v>18</v>
      </c>
      <c r="AE14" s="100">
        <v>3</v>
      </c>
      <c r="AF14" s="100">
        <v>4</v>
      </c>
      <c r="AG14" s="100">
        <v>0.123</v>
      </c>
    </row>
    <row r="15" spans="1:33" x14ac:dyDescent="0.3">
      <c r="A15" s="105" t="str">
        <f t="shared" si="2"/>
        <v>f1t1</v>
      </c>
      <c r="B15" s="109">
        <v>191</v>
      </c>
      <c r="C15" s="109">
        <v>1</v>
      </c>
      <c r="D15" s="109">
        <v>5</v>
      </c>
      <c r="E15" s="109">
        <v>1</v>
      </c>
      <c r="F15" s="109">
        <v>0.314</v>
      </c>
      <c r="G15" s="109">
        <v>0.328278147490427</v>
      </c>
      <c r="H15" s="110">
        <v>41675.480023148149</v>
      </c>
      <c r="I15" s="111" t="s">
        <v>304</v>
      </c>
      <c r="J15" s="106">
        <f t="shared" si="0"/>
        <v>0</v>
      </c>
      <c r="L15" s="105" t="str">
        <f t="shared" si="1"/>
        <v>f9t1</v>
      </c>
      <c r="M15" s="25">
        <v>9</v>
      </c>
      <c r="N15" s="26"/>
      <c r="O15" s="25">
        <v>1</v>
      </c>
      <c r="P15" s="27">
        <v>0.111</v>
      </c>
      <c r="Q15" s="27"/>
      <c r="R15" s="105" t="str">
        <f t="shared" si="3"/>
        <v>f8t2</v>
      </c>
      <c r="S15" s="100">
        <v>191</v>
      </c>
      <c r="T15" s="100">
        <v>8</v>
      </c>
      <c r="U15" s="100">
        <v>2</v>
      </c>
      <c r="V15" s="100">
        <v>0</v>
      </c>
      <c r="W15" s="100">
        <v>0</v>
      </c>
      <c r="X15" s="100">
        <v>7127.0902679999999</v>
      </c>
      <c r="Y15" s="100">
        <v>0.87663300000000022</v>
      </c>
      <c r="Z15" s="112">
        <f t="shared" si="4"/>
        <v>1.0000010232753252E-3</v>
      </c>
      <c r="AA15" s="107">
        <f t="shared" si="5"/>
        <v>1.0232753251508686E-9</v>
      </c>
      <c r="AC15" s="105" t="str">
        <f t="shared" si="6"/>
        <v>f4t1</v>
      </c>
      <c r="AD15" s="100">
        <v>18</v>
      </c>
      <c r="AE15" s="100">
        <v>4</v>
      </c>
      <c r="AF15" s="100">
        <v>1</v>
      </c>
      <c r="AG15" s="100">
        <v>0.3</v>
      </c>
    </row>
    <row r="16" spans="1:33" x14ac:dyDescent="0.3">
      <c r="A16" s="105" t="str">
        <f t="shared" si="2"/>
        <v>f1t2</v>
      </c>
      <c r="B16" s="109">
        <v>191</v>
      </c>
      <c r="C16" s="109">
        <v>1</v>
      </c>
      <c r="D16" s="109">
        <v>5</v>
      </c>
      <c r="E16" s="109">
        <v>2</v>
      </c>
      <c r="F16" s="109">
        <v>0.314</v>
      </c>
      <c r="G16" s="109">
        <v>0.25651462815597198</v>
      </c>
      <c r="H16" s="110">
        <v>41675.480023148149</v>
      </c>
      <c r="I16" s="111" t="s">
        <v>304</v>
      </c>
      <c r="J16" s="106">
        <f t="shared" si="0"/>
        <v>0</v>
      </c>
      <c r="L16" s="105" t="str">
        <f t="shared" si="1"/>
        <v>f9t2</v>
      </c>
      <c r="M16" s="25">
        <v>9</v>
      </c>
      <c r="N16" s="26"/>
      <c r="O16" s="25">
        <v>2</v>
      </c>
      <c r="P16" s="27">
        <v>0.111</v>
      </c>
      <c r="Q16" s="27"/>
      <c r="R16" s="105" t="str">
        <f t="shared" si="3"/>
        <v>f8t3</v>
      </c>
      <c r="S16" s="100">
        <v>191</v>
      </c>
      <c r="T16" s="100">
        <v>8</v>
      </c>
      <c r="U16" s="100">
        <v>3</v>
      </c>
      <c r="V16" s="100">
        <v>0</v>
      </c>
      <c r="W16" s="100">
        <v>0</v>
      </c>
      <c r="X16" s="100">
        <v>24645.610582000005</v>
      </c>
      <c r="Y16" s="100">
        <v>3.0314100000000002</v>
      </c>
      <c r="Z16" s="112">
        <f t="shared" si="4"/>
        <v>9.9999996648886258E-4</v>
      </c>
      <c r="AA16" s="107">
        <f t="shared" si="5"/>
        <v>-3.3511137441377681E-11</v>
      </c>
      <c r="AC16" s="105" t="str">
        <f t="shared" si="6"/>
        <v>f4t2</v>
      </c>
      <c r="AD16" s="100">
        <v>18</v>
      </c>
      <c r="AE16" s="100">
        <v>4</v>
      </c>
      <c r="AF16" s="100">
        <v>2</v>
      </c>
      <c r="AG16" s="100">
        <v>0.3</v>
      </c>
    </row>
    <row r="17" spans="1:33" x14ac:dyDescent="0.3">
      <c r="A17" s="105" t="str">
        <f t="shared" si="2"/>
        <v>f1t3</v>
      </c>
      <c r="B17" s="109">
        <v>191</v>
      </c>
      <c r="C17" s="109">
        <v>1</v>
      </c>
      <c r="D17" s="109">
        <v>5</v>
      </c>
      <c r="E17" s="109">
        <v>3</v>
      </c>
      <c r="F17" s="109">
        <v>0.314</v>
      </c>
      <c r="G17" s="109">
        <v>0.31788561974294499</v>
      </c>
      <c r="H17" s="110">
        <v>41675.480023148149</v>
      </c>
      <c r="I17" s="111" t="s">
        <v>304</v>
      </c>
      <c r="J17" s="106">
        <f t="shared" si="0"/>
        <v>0</v>
      </c>
      <c r="L17" s="105" t="str">
        <f t="shared" si="1"/>
        <v>f9t3</v>
      </c>
      <c r="M17" s="25">
        <v>9</v>
      </c>
      <c r="N17" s="26"/>
      <c r="O17" s="25">
        <v>3</v>
      </c>
      <c r="P17" s="27">
        <v>0.111</v>
      </c>
      <c r="Q17" s="27"/>
      <c r="R17" s="105" t="str">
        <f t="shared" si="3"/>
        <v>f9t1</v>
      </c>
      <c r="S17" s="100">
        <v>191</v>
      </c>
      <c r="T17" s="100">
        <v>9</v>
      </c>
      <c r="U17" s="100">
        <v>1</v>
      </c>
      <c r="V17" s="100">
        <v>0</v>
      </c>
      <c r="W17" s="100">
        <v>0</v>
      </c>
      <c r="X17" s="100">
        <v>124.47437000000001</v>
      </c>
      <c r="Y17" s="100">
        <v>3.5232470000000013</v>
      </c>
      <c r="Z17" s="112">
        <f t="shared" si="4"/>
        <v>0.11099999865000953</v>
      </c>
      <c r="AA17" s="107">
        <f t="shared" si="5"/>
        <v>-1.3499904666369744E-9</v>
      </c>
      <c r="AC17" s="105" t="str">
        <f t="shared" si="6"/>
        <v>f4t3</v>
      </c>
      <c r="AD17" s="100">
        <v>18</v>
      </c>
      <c r="AE17" s="100">
        <v>4</v>
      </c>
      <c r="AF17" s="100">
        <v>3</v>
      </c>
      <c r="AG17" s="100">
        <v>0.3</v>
      </c>
    </row>
    <row r="18" spans="1:33" x14ac:dyDescent="0.3">
      <c r="A18" s="105" t="str">
        <f t="shared" si="2"/>
        <v>f1t4</v>
      </c>
      <c r="B18" s="109">
        <v>191</v>
      </c>
      <c r="C18" s="109">
        <v>1</v>
      </c>
      <c r="D18" s="109">
        <v>5</v>
      </c>
      <c r="E18" s="109">
        <v>4</v>
      </c>
      <c r="F18" s="109">
        <v>0.314</v>
      </c>
      <c r="G18" s="109">
        <v>0.372871176850885</v>
      </c>
      <c r="H18" s="110">
        <v>41675.480023148149</v>
      </c>
      <c r="I18" s="111" t="s">
        <v>304</v>
      </c>
      <c r="J18" s="106">
        <f t="shared" si="0"/>
        <v>0</v>
      </c>
      <c r="L18" s="105" t="str">
        <f t="shared" si="1"/>
        <v>f9t4</v>
      </c>
      <c r="M18" s="25">
        <v>9</v>
      </c>
      <c r="N18" s="26"/>
      <c r="O18" s="25">
        <v>4</v>
      </c>
      <c r="P18" s="27">
        <v>0.111</v>
      </c>
      <c r="Q18" s="27"/>
      <c r="R18" s="105" t="str">
        <f t="shared" si="3"/>
        <v>f9t2</v>
      </c>
      <c r="S18" s="100">
        <v>191</v>
      </c>
      <c r="T18" s="100">
        <v>9</v>
      </c>
      <c r="U18" s="100">
        <v>2</v>
      </c>
      <c r="V18" s="100">
        <v>0</v>
      </c>
      <c r="W18" s="100">
        <v>0</v>
      </c>
      <c r="X18" s="100">
        <v>23211.653145</v>
      </c>
      <c r="Y18" s="100">
        <v>657.00584299999991</v>
      </c>
      <c r="Z18" s="112">
        <f t="shared" si="4"/>
        <v>0.11100000012346314</v>
      </c>
      <c r="AA18" s="107">
        <f t="shared" si="5"/>
        <v>1.2346314248734558E-10</v>
      </c>
      <c r="AC18" s="105" t="str">
        <f t="shared" si="6"/>
        <v>f4t4</v>
      </c>
      <c r="AD18" s="100">
        <v>18</v>
      </c>
      <c r="AE18" s="100">
        <v>4</v>
      </c>
      <c r="AF18" s="100">
        <v>4</v>
      </c>
      <c r="AG18" s="100">
        <v>0.3</v>
      </c>
    </row>
    <row r="19" spans="1:33" x14ac:dyDescent="0.3">
      <c r="A19" s="105" t="str">
        <f t="shared" si="2"/>
        <v>f3t1</v>
      </c>
      <c r="B19" s="109">
        <v>191</v>
      </c>
      <c r="C19" s="109">
        <v>3</v>
      </c>
      <c r="D19" s="109">
        <v>2</v>
      </c>
      <c r="E19" s="109">
        <v>1</v>
      </c>
      <c r="F19" s="109">
        <v>0.57799999999999996</v>
      </c>
      <c r="G19" s="109">
        <v>0.124685400146123</v>
      </c>
      <c r="H19" s="110">
        <v>41675.480023148149</v>
      </c>
      <c r="I19" s="111" t="s">
        <v>304</v>
      </c>
      <c r="J19" s="106">
        <f t="shared" si="0"/>
        <v>0</v>
      </c>
      <c r="L19" s="105" t="str">
        <f t="shared" si="1"/>
        <v>f10t1</v>
      </c>
      <c r="M19" s="25">
        <v>10</v>
      </c>
      <c r="N19" s="26"/>
      <c r="O19" s="25">
        <v>1</v>
      </c>
      <c r="P19" s="27">
        <v>0.105</v>
      </c>
      <c r="Q19" s="27"/>
      <c r="R19" s="105" t="str">
        <f t="shared" si="3"/>
        <v>f9t3</v>
      </c>
      <c r="S19" s="100">
        <v>191</v>
      </c>
      <c r="T19" s="100">
        <v>9</v>
      </c>
      <c r="U19" s="100">
        <v>3</v>
      </c>
      <c r="V19" s="100">
        <v>0</v>
      </c>
      <c r="W19" s="100">
        <v>0</v>
      </c>
      <c r="X19" s="100">
        <v>44789.920978000002</v>
      </c>
      <c r="Y19" s="100">
        <v>1267.7787169999997</v>
      </c>
      <c r="Z19" s="112">
        <f t="shared" si="4"/>
        <v>0.111000000325503</v>
      </c>
      <c r="AA19" s="107">
        <f t="shared" si="5"/>
        <v>3.2550299955413919E-10</v>
      </c>
      <c r="AC19" s="105" t="str">
        <f t="shared" si="6"/>
        <v>f5t1</v>
      </c>
      <c r="AD19" s="100">
        <v>18</v>
      </c>
      <c r="AE19" s="100">
        <v>5</v>
      </c>
      <c r="AF19" s="100">
        <v>1</v>
      </c>
      <c r="AG19" s="100">
        <v>0.3</v>
      </c>
    </row>
    <row r="20" spans="1:33" x14ac:dyDescent="0.3">
      <c r="A20" s="105" t="str">
        <f t="shared" si="2"/>
        <v>f3t2</v>
      </c>
      <c r="B20" s="109">
        <v>191</v>
      </c>
      <c r="C20" s="109">
        <v>3</v>
      </c>
      <c r="D20" s="109">
        <v>2</v>
      </c>
      <c r="E20" s="109">
        <v>2</v>
      </c>
      <c r="F20" s="109">
        <v>0.57799999999999996</v>
      </c>
      <c r="G20" s="109">
        <v>0.206752480551218</v>
      </c>
      <c r="H20" s="110">
        <v>41675.480023148149</v>
      </c>
      <c r="I20" s="111" t="s">
        <v>304</v>
      </c>
      <c r="J20" s="106">
        <f t="shared" si="0"/>
        <v>0</v>
      </c>
      <c r="L20" s="105" t="str">
        <f t="shared" si="1"/>
        <v>f10t2</v>
      </c>
      <c r="M20" s="25">
        <v>10</v>
      </c>
      <c r="N20" s="26"/>
      <c r="O20" s="25">
        <v>2</v>
      </c>
      <c r="P20" s="27">
        <v>0.105</v>
      </c>
      <c r="Q20" s="27"/>
      <c r="R20" s="105" t="str">
        <f t="shared" si="3"/>
        <v>f9t4</v>
      </c>
      <c r="S20" s="100">
        <v>191</v>
      </c>
      <c r="T20" s="100">
        <v>9</v>
      </c>
      <c r="U20" s="100">
        <v>4</v>
      </c>
      <c r="V20" s="100">
        <v>0</v>
      </c>
      <c r="W20" s="100">
        <v>0</v>
      </c>
      <c r="X20" s="100">
        <v>124.602</v>
      </c>
      <c r="Y20" s="100">
        <v>3.5268569999999997</v>
      </c>
      <c r="Z20" s="112">
        <f t="shared" si="4"/>
        <v>0.11099991785610087</v>
      </c>
      <c r="AA20" s="107">
        <f t="shared" si="5"/>
        <v>-8.2143899127196107E-8</v>
      </c>
      <c r="AC20" s="105" t="str">
        <f t="shared" si="6"/>
        <v>f5t2</v>
      </c>
      <c r="AD20" s="100">
        <v>18</v>
      </c>
      <c r="AE20" s="100">
        <v>5</v>
      </c>
      <c r="AF20" s="100">
        <v>2</v>
      </c>
      <c r="AG20" s="100">
        <v>0.3</v>
      </c>
    </row>
    <row r="21" spans="1:33" x14ac:dyDescent="0.3">
      <c r="A21" s="105" t="str">
        <f t="shared" si="2"/>
        <v>f3t3</v>
      </c>
      <c r="B21" s="109">
        <v>191</v>
      </c>
      <c r="C21" s="109">
        <v>3</v>
      </c>
      <c r="D21" s="109">
        <v>2</v>
      </c>
      <c r="E21" s="109">
        <v>3</v>
      </c>
      <c r="F21" s="109">
        <v>0.57799999999999996</v>
      </c>
      <c r="G21" s="109">
        <v>0.26177719038174102</v>
      </c>
      <c r="H21" s="110">
        <v>41675.480023148149</v>
      </c>
      <c r="I21" s="111" t="s">
        <v>304</v>
      </c>
      <c r="J21" s="106">
        <f t="shared" si="0"/>
        <v>0</v>
      </c>
      <c r="L21" s="105" t="str">
        <f t="shared" si="1"/>
        <v>f10t3</v>
      </c>
      <c r="M21" s="25">
        <v>10</v>
      </c>
      <c r="N21" s="26"/>
      <c r="O21" s="25">
        <v>3</v>
      </c>
      <c r="P21" s="27">
        <v>0.105</v>
      </c>
      <c r="Q21" s="27"/>
      <c r="R21" s="105" t="str">
        <f t="shared" si="3"/>
        <v>f10t1</v>
      </c>
      <c r="S21" s="100">
        <v>191</v>
      </c>
      <c r="T21" s="100">
        <v>10</v>
      </c>
      <c r="U21" s="100">
        <v>1</v>
      </c>
      <c r="V21" s="100">
        <v>0</v>
      </c>
      <c r="W21" s="100">
        <v>0</v>
      </c>
      <c r="X21" s="100">
        <v>7069.9449239999994</v>
      </c>
      <c r="Y21" s="100">
        <v>189.29777500000006</v>
      </c>
      <c r="Z21" s="112">
        <f t="shared" si="4"/>
        <v>0.10499999981135281</v>
      </c>
      <c r="AA21" s="107">
        <f t="shared" si="5"/>
        <v>-1.8864718120958912E-10</v>
      </c>
      <c r="AC21" s="105" t="str">
        <f t="shared" si="6"/>
        <v>f5t3</v>
      </c>
      <c r="AD21" s="100">
        <v>18</v>
      </c>
      <c r="AE21" s="100">
        <v>5</v>
      </c>
      <c r="AF21" s="100">
        <v>3</v>
      </c>
      <c r="AG21" s="100">
        <v>0.3</v>
      </c>
    </row>
    <row r="22" spans="1:33" x14ac:dyDescent="0.3">
      <c r="A22" s="105" t="str">
        <f t="shared" si="2"/>
        <v>f3t4</v>
      </c>
      <c r="B22" s="109">
        <v>191</v>
      </c>
      <c r="C22" s="109">
        <v>3</v>
      </c>
      <c r="D22" s="109">
        <v>2</v>
      </c>
      <c r="E22" s="109">
        <v>4</v>
      </c>
      <c r="F22" s="109">
        <v>0.57799999999999996</v>
      </c>
      <c r="G22" s="109">
        <v>0.38117319944147099</v>
      </c>
      <c r="H22" s="110">
        <v>41675.480023148149</v>
      </c>
      <c r="I22" s="111" t="s">
        <v>304</v>
      </c>
      <c r="J22" s="106">
        <f t="shared" si="0"/>
        <v>0</v>
      </c>
      <c r="L22" s="105" t="str">
        <f t="shared" si="1"/>
        <v>f10t4</v>
      </c>
      <c r="M22" s="25">
        <v>10</v>
      </c>
      <c r="N22" s="26"/>
      <c r="O22" s="25">
        <v>4</v>
      </c>
      <c r="P22" s="27">
        <v>0.105</v>
      </c>
      <c r="Q22" s="27"/>
      <c r="R22" s="105" t="str">
        <f t="shared" si="3"/>
        <v>f10t2</v>
      </c>
      <c r="S22" s="100">
        <v>191</v>
      </c>
      <c r="T22" s="100">
        <v>10</v>
      </c>
      <c r="U22" s="100">
        <v>2</v>
      </c>
      <c r="V22" s="100">
        <v>0</v>
      </c>
      <c r="W22" s="100">
        <v>0</v>
      </c>
      <c r="X22" s="100">
        <v>14159.263392999997</v>
      </c>
      <c r="Y22" s="100">
        <v>379.11428000000006</v>
      </c>
      <c r="Z22" s="112">
        <f t="shared" si="4"/>
        <v>0.10500000073461922</v>
      </c>
      <c r="AA22" s="107">
        <f t="shared" si="5"/>
        <v>7.3461922656115064E-10</v>
      </c>
      <c r="AC22" s="105" t="str">
        <f t="shared" si="6"/>
        <v>f5t4</v>
      </c>
      <c r="AD22" s="100">
        <v>18</v>
      </c>
      <c r="AE22" s="100">
        <v>5</v>
      </c>
      <c r="AF22" s="100">
        <v>4</v>
      </c>
      <c r="AG22" s="100">
        <v>0.3</v>
      </c>
    </row>
    <row r="23" spans="1:33" x14ac:dyDescent="0.3">
      <c r="A23" s="105" t="str">
        <f t="shared" si="2"/>
        <v>f3t1</v>
      </c>
      <c r="B23" s="109">
        <v>191</v>
      </c>
      <c r="C23" s="109">
        <v>3</v>
      </c>
      <c r="D23" s="109">
        <v>3</v>
      </c>
      <c r="E23" s="109">
        <v>1</v>
      </c>
      <c r="F23" s="109">
        <v>0.57799999999999996</v>
      </c>
      <c r="G23" s="109">
        <v>0.124685400146123</v>
      </c>
      <c r="H23" s="110">
        <v>41675.480023148149</v>
      </c>
      <c r="I23" s="111" t="s">
        <v>304</v>
      </c>
      <c r="J23" s="106">
        <f t="shared" si="0"/>
        <v>0</v>
      </c>
      <c r="L23" s="105" t="str">
        <f t="shared" si="1"/>
        <v>f11t1</v>
      </c>
      <c r="M23" s="25">
        <v>11</v>
      </c>
      <c r="N23" s="26"/>
      <c r="O23" s="25">
        <v>1</v>
      </c>
      <c r="P23" s="27">
        <v>0.2</v>
      </c>
      <c r="Q23" s="27"/>
      <c r="R23" s="105" t="str">
        <f t="shared" si="3"/>
        <v>f10t3</v>
      </c>
      <c r="S23" s="100">
        <v>191</v>
      </c>
      <c r="T23" s="100">
        <v>10</v>
      </c>
      <c r="U23" s="100">
        <v>3</v>
      </c>
      <c r="V23" s="100">
        <v>0</v>
      </c>
      <c r="W23" s="100">
        <v>0</v>
      </c>
      <c r="X23" s="100">
        <v>29539.958749999987</v>
      </c>
      <c r="Y23" s="100">
        <v>790.93239700000026</v>
      </c>
      <c r="Z23" s="112">
        <f t="shared" si="4"/>
        <v>0.10500000019498357</v>
      </c>
      <c r="AA23" s="107">
        <f t="shared" si="5"/>
        <v>1.9498357095582008E-10</v>
      </c>
      <c r="AC23" s="105" t="str">
        <f t="shared" si="6"/>
        <v>f6t1</v>
      </c>
      <c r="AD23" s="100">
        <v>18</v>
      </c>
      <c r="AE23" s="100">
        <v>6</v>
      </c>
      <c r="AF23" s="100">
        <v>1</v>
      </c>
      <c r="AG23" s="100">
        <v>0.3</v>
      </c>
    </row>
    <row r="24" spans="1:33" x14ac:dyDescent="0.3">
      <c r="A24" s="105" t="str">
        <f t="shared" si="2"/>
        <v>f3t2</v>
      </c>
      <c r="B24" s="109">
        <v>191</v>
      </c>
      <c r="C24" s="109">
        <v>3</v>
      </c>
      <c r="D24" s="109">
        <v>3</v>
      </c>
      <c r="E24" s="109">
        <v>2</v>
      </c>
      <c r="F24" s="109">
        <v>0.57799999999999996</v>
      </c>
      <c r="G24" s="109">
        <v>0.206752480551218</v>
      </c>
      <c r="H24" s="110">
        <v>41675.480023148149</v>
      </c>
      <c r="I24" s="111" t="s">
        <v>304</v>
      </c>
      <c r="J24" s="106">
        <f t="shared" si="0"/>
        <v>0</v>
      </c>
      <c r="L24" s="105" t="str">
        <f t="shared" si="1"/>
        <v>f11t2</v>
      </c>
      <c r="M24" s="25">
        <v>11</v>
      </c>
      <c r="N24" s="26"/>
      <c r="O24" s="25">
        <v>2</v>
      </c>
      <c r="P24" s="27">
        <v>0.2</v>
      </c>
      <c r="Q24" s="27"/>
      <c r="R24" s="105" t="str">
        <f t="shared" si="3"/>
        <v>f10t4</v>
      </c>
      <c r="S24" s="100">
        <v>191</v>
      </c>
      <c r="T24" s="100">
        <v>10</v>
      </c>
      <c r="U24" s="100">
        <v>4</v>
      </c>
      <c r="V24" s="100">
        <v>0</v>
      </c>
      <c r="W24" s="100">
        <v>0</v>
      </c>
      <c r="X24" s="100">
        <v>7072.9820979999986</v>
      </c>
      <c r="Y24" s="100">
        <v>189.37909099999996</v>
      </c>
      <c r="Z24" s="112">
        <f t="shared" si="4"/>
        <v>0.10499999740855902</v>
      </c>
      <c r="AA24" s="107">
        <f t="shared" si="5"/>
        <v>-2.5914409784721926E-9</v>
      </c>
      <c r="AC24" s="105" t="str">
        <f t="shared" si="6"/>
        <v>f6t2</v>
      </c>
      <c r="AD24" s="100">
        <v>18</v>
      </c>
      <c r="AE24" s="100">
        <v>6</v>
      </c>
      <c r="AF24" s="100">
        <v>2</v>
      </c>
      <c r="AG24" s="100">
        <v>0.3</v>
      </c>
    </row>
    <row r="25" spans="1:33" x14ac:dyDescent="0.3">
      <c r="A25" s="105" t="str">
        <f t="shared" si="2"/>
        <v>f3t3</v>
      </c>
      <c r="B25" s="109">
        <v>191</v>
      </c>
      <c r="C25" s="109">
        <v>3</v>
      </c>
      <c r="D25" s="109">
        <v>3</v>
      </c>
      <c r="E25" s="109">
        <v>3</v>
      </c>
      <c r="F25" s="109">
        <v>0.57799999999999996</v>
      </c>
      <c r="G25" s="109">
        <v>0.26177719038174102</v>
      </c>
      <c r="H25" s="110">
        <v>41675.480023148149</v>
      </c>
      <c r="I25" s="111" t="s">
        <v>304</v>
      </c>
      <c r="J25" s="106">
        <f t="shared" si="0"/>
        <v>0</v>
      </c>
      <c r="L25" s="105" t="str">
        <f t="shared" si="1"/>
        <v>f11t3</v>
      </c>
      <c r="M25" s="25">
        <v>11</v>
      </c>
      <c r="N25" s="26"/>
      <c r="O25" s="25">
        <v>3</v>
      </c>
      <c r="P25" s="27">
        <v>0.2</v>
      </c>
      <c r="Q25" s="27"/>
      <c r="R25" s="105" t="str">
        <f t="shared" si="3"/>
        <v>f11t3</v>
      </c>
      <c r="S25" s="100">
        <v>191</v>
      </c>
      <c r="T25" s="100">
        <v>11</v>
      </c>
      <c r="U25" s="100">
        <v>3</v>
      </c>
      <c r="V25" s="100">
        <v>0</v>
      </c>
      <c r="W25" s="100">
        <v>0</v>
      </c>
      <c r="X25" s="100">
        <v>62798.529491000023</v>
      </c>
      <c r="Y25" s="100">
        <v>1544.8438229999992</v>
      </c>
      <c r="Z25" s="112">
        <f t="shared" si="4"/>
        <v>0.19999999967911303</v>
      </c>
      <c r="AA25" s="107">
        <f t="shared" si="5"/>
        <v>-3.2088698365129176E-10</v>
      </c>
      <c r="AC25" s="105" t="str">
        <f t="shared" si="6"/>
        <v>f6t3</v>
      </c>
      <c r="AD25" s="100">
        <v>18</v>
      </c>
      <c r="AE25" s="100">
        <v>6</v>
      </c>
      <c r="AF25" s="100">
        <v>3</v>
      </c>
      <c r="AG25" s="100">
        <v>0.3</v>
      </c>
    </row>
    <row r="26" spans="1:33" x14ac:dyDescent="0.3">
      <c r="A26" s="105" t="str">
        <f t="shared" si="2"/>
        <v>f3t4</v>
      </c>
      <c r="B26" s="109">
        <v>191</v>
      </c>
      <c r="C26" s="109">
        <v>3</v>
      </c>
      <c r="D26" s="109">
        <v>3</v>
      </c>
      <c r="E26" s="109">
        <v>4</v>
      </c>
      <c r="F26" s="109">
        <v>0.57799999999999996</v>
      </c>
      <c r="G26" s="109">
        <v>0.38117319944147099</v>
      </c>
      <c r="H26" s="110">
        <v>41675.480023148149</v>
      </c>
      <c r="I26" s="111" t="s">
        <v>304</v>
      </c>
      <c r="J26" s="106">
        <f t="shared" si="0"/>
        <v>0</v>
      </c>
      <c r="L26" s="105" t="str">
        <f t="shared" si="1"/>
        <v>f11t4</v>
      </c>
      <c r="M26" s="25">
        <v>11</v>
      </c>
      <c r="N26" s="26"/>
      <c r="O26" s="25">
        <v>4</v>
      </c>
      <c r="P26" s="27">
        <v>0.2</v>
      </c>
      <c r="Q26" s="27"/>
      <c r="R26" s="105" t="str">
        <f t="shared" si="3"/>
        <v>f13t1</v>
      </c>
      <c r="S26" s="100">
        <v>191</v>
      </c>
      <c r="T26" s="100">
        <v>13</v>
      </c>
      <c r="U26" s="100">
        <v>1</v>
      </c>
      <c r="V26" s="100">
        <v>0</v>
      </c>
      <c r="W26" s="100">
        <v>0</v>
      </c>
      <c r="X26" s="100">
        <v>2</v>
      </c>
      <c r="Y26" s="100">
        <v>0.15055200000000002</v>
      </c>
      <c r="Z26" s="112">
        <f t="shared" si="4"/>
        <v>0.6120000000000001</v>
      </c>
      <c r="AA26" s="107">
        <f t="shared" si="5"/>
        <v>0</v>
      </c>
      <c r="AC26" s="105" t="str">
        <f t="shared" si="6"/>
        <v>f6t4</v>
      </c>
      <c r="AD26" s="100">
        <v>18</v>
      </c>
      <c r="AE26" s="100">
        <v>6</v>
      </c>
      <c r="AF26" s="100">
        <v>4</v>
      </c>
      <c r="AG26" s="100">
        <v>0.3</v>
      </c>
    </row>
    <row r="27" spans="1:33" x14ac:dyDescent="0.3">
      <c r="A27" s="105" t="str">
        <f t="shared" si="2"/>
        <v>f3t1</v>
      </c>
      <c r="B27" s="109">
        <v>191</v>
      </c>
      <c r="C27" s="109">
        <v>3</v>
      </c>
      <c r="D27" s="109">
        <v>4</v>
      </c>
      <c r="E27" s="109">
        <v>1</v>
      </c>
      <c r="F27" s="109">
        <v>0.57799999999999996</v>
      </c>
      <c r="G27" s="109">
        <v>0.124685400146123</v>
      </c>
      <c r="H27" s="110">
        <v>41675.480023148149</v>
      </c>
      <c r="I27" s="111" t="s">
        <v>304</v>
      </c>
      <c r="J27" s="106">
        <f t="shared" si="0"/>
        <v>0</v>
      </c>
      <c r="L27" s="105" t="str">
        <f t="shared" si="1"/>
        <v>f13t1</v>
      </c>
      <c r="M27" s="25">
        <v>13</v>
      </c>
      <c r="N27" s="26"/>
      <c r="O27" s="25">
        <v>1</v>
      </c>
      <c r="P27" s="27">
        <v>0.61199999999999999</v>
      </c>
      <c r="Q27" s="27"/>
      <c r="R27" s="105" t="str">
        <f t="shared" si="3"/>
        <v>f13t2</v>
      </c>
      <c r="S27" s="100">
        <v>191</v>
      </c>
      <c r="T27" s="100">
        <v>13</v>
      </c>
      <c r="U27" s="100">
        <v>2</v>
      </c>
      <c r="V27" s="100">
        <v>0</v>
      </c>
      <c r="W27" s="100">
        <v>0</v>
      </c>
      <c r="X27" s="100">
        <v>4215.0000000000009</v>
      </c>
      <c r="Y27" s="100">
        <v>317.28833900000001</v>
      </c>
      <c r="Z27" s="112">
        <f t="shared" si="4"/>
        <v>0.61199999807115502</v>
      </c>
      <c r="AA27" s="107">
        <f t="shared" si="5"/>
        <v>-1.9288449726317936E-9</v>
      </c>
      <c r="AC27" s="105" t="str">
        <f t="shared" si="6"/>
        <v>f7t1</v>
      </c>
      <c r="AD27" s="100">
        <v>18</v>
      </c>
      <c r="AE27" s="100">
        <v>7</v>
      </c>
      <c r="AF27" s="100">
        <v>1</v>
      </c>
      <c r="AG27" s="100">
        <v>0.3</v>
      </c>
    </row>
    <row r="28" spans="1:33" x14ac:dyDescent="0.3">
      <c r="A28" s="105" t="str">
        <f t="shared" si="2"/>
        <v>f3t2</v>
      </c>
      <c r="B28" s="109">
        <v>191</v>
      </c>
      <c r="C28" s="109">
        <v>3</v>
      </c>
      <c r="D28" s="109">
        <v>4</v>
      </c>
      <c r="E28" s="109">
        <v>2</v>
      </c>
      <c r="F28" s="109">
        <v>0.57799999999999996</v>
      </c>
      <c r="G28" s="109">
        <v>0.206752480551218</v>
      </c>
      <c r="H28" s="110">
        <v>41675.480023148149</v>
      </c>
      <c r="I28" s="111" t="s">
        <v>304</v>
      </c>
      <c r="J28" s="106">
        <f t="shared" si="0"/>
        <v>0</v>
      </c>
      <c r="L28" s="105" t="str">
        <f t="shared" si="1"/>
        <v>f13t2</v>
      </c>
      <c r="M28" s="25">
        <v>13</v>
      </c>
      <c r="N28" s="26"/>
      <c r="O28" s="25">
        <v>2</v>
      </c>
      <c r="P28" s="27">
        <v>0.61199999999999999</v>
      </c>
      <c r="Q28" s="27"/>
      <c r="R28" s="105" t="str">
        <f t="shared" si="3"/>
        <v>f13t3</v>
      </c>
      <c r="S28" s="100">
        <v>191</v>
      </c>
      <c r="T28" s="100">
        <v>13</v>
      </c>
      <c r="U28" s="100">
        <v>3</v>
      </c>
      <c r="V28" s="100">
        <v>0</v>
      </c>
      <c r="W28" s="100">
        <v>0</v>
      </c>
      <c r="X28" s="100">
        <v>14856</v>
      </c>
      <c r="Y28" s="100">
        <v>1118.3002580000004</v>
      </c>
      <c r="Z28" s="112">
        <f t="shared" si="4"/>
        <v>0.61200000109451846</v>
      </c>
      <c r="AA28" s="107">
        <f t="shared" si="5"/>
        <v>1.0945184758526239E-9</v>
      </c>
      <c r="AC28" s="105" t="str">
        <f t="shared" si="6"/>
        <v>f7t2</v>
      </c>
      <c r="AD28" s="100">
        <v>18</v>
      </c>
      <c r="AE28" s="100">
        <v>7</v>
      </c>
      <c r="AF28" s="100">
        <v>2</v>
      </c>
      <c r="AG28" s="100">
        <v>0.3</v>
      </c>
    </row>
    <row r="29" spans="1:33" x14ac:dyDescent="0.3">
      <c r="A29" s="105" t="str">
        <f t="shared" si="2"/>
        <v>f3t3</v>
      </c>
      <c r="B29" s="109">
        <v>191</v>
      </c>
      <c r="C29" s="109">
        <v>3</v>
      </c>
      <c r="D29" s="109">
        <v>4</v>
      </c>
      <c r="E29" s="109">
        <v>3</v>
      </c>
      <c r="F29" s="109">
        <v>0.57799999999999996</v>
      </c>
      <c r="G29" s="109">
        <v>0.26177719038174102</v>
      </c>
      <c r="H29" s="110">
        <v>41675.480023148149</v>
      </c>
      <c r="I29" s="111" t="s">
        <v>304</v>
      </c>
      <c r="J29" s="106">
        <f t="shared" si="0"/>
        <v>0</v>
      </c>
      <c r="L29" s="105" t="str">
        <f t="shared" si="1"/>
        <v>f13t3</v>
      </c>
      <c r="M29" s="25">
        <v>13</v>
      </c>
      <c r="N29" s="26"/>
      <c r="O29" s="25">
        <v>3</v>
      </c>
      <c r="P29" s="27">
        <v>0.61199999999999999</v>
      </c>
      <c r="Q29" s="27"/>
      <c r="R29" s="105" t="str">
        <f t="shared" si="3"/>
        <v>f13t4</v>
      </c>
      <c r="S29" s="100">
        <v>191</v>
      </c>
      <c r="T29" s="100">
        <v>13</v>
      </c>
      <c r="U29" s="100">
        <v>4</v>
      </c>
      <c r="V29" s="100">
        <v>0</v>
      </c>
      <c r="W29" s="100">
        <v>0</v>
      </c>
      <c r="X29" s="100">
        <v>1.9999999999999998</v>
      </c>
      <c r="Y29" s="100">
        <v>0.15055099999999999</v>
      </c>
      <c r="Z29" s="112">
        <f t="shared" si="4"/>
        <v>0.61199593495934967</v>
      </c>
      <c r="AA29" s="107">
        <f t="shared" si="5"/>
        <v>-4.0650406503139891E-6</v>
      </c>
      <c r="AC29" s="105" t="str">
        <f t="shared" si="6"/>
        <v>f7t3</v>
      </c>
      <c r="AD29" s="100">
        <v>18</v>
      </c>
      <c r="AE29" s="100">
        <v>7</v>
      </c>
      <c r="AF29" s="100">
        <v>3</v>
      </c>
      <c r="AG29" s="100">
        <v>0.3</v>
      </c>
    </row>
    <row r="30" spans="1:33" x14ac:dyDescent="0.3">
      <c r="A30" s="105" t="str">
        <f t="shared" si="2"/>
        <v>f3t4</v>
      </c>
      <c r="B30" s="109">
        <v>191</v>
      </c>
      <c r="C30" s="109">
        <v>3</v>
      </c>
      <c r="D30" s="109">
        <v>4</v>
      </c>
      <c r="E30" s="109">
        <v>4</v>
      </c>
      <c r="F30" s="109">
        <v>0.57799999999999996</v>
      </c>
      <c r="G30" s="109">
        <v>0.38117319944147099</v>
      </c>
      <c r="H30" s="110">
        <v>41675.480023148149</v>
      </c>
      <c r="I30" s="111" t="s">
        <v>304</v>
      </c>
      <c r="J30" s="106">
        <f t="shared" si="0"/>
        <v>0</v>
      </c>
      <c r="L30" s="105" t="str">
        <f t="shared" si="1"/>
        <v>f13t4</v>
      </c>
      <c r="M30" s="25">
        <v>13</v>
      </c>
      <c r="N30" s="26"/>
      <c r="O30" s="25">
        <v>4</v>
      </c>
      <c r="P30" s="27">
        <v>0.61199999999999999</v>
      </c>
      <c r="Q30" s="27"/>
      <c r="R30" s="105" t="str">
        <f t="shared" si="3"/>
        <v>f14t1</v>
      </c>
      <c r="S30" s="100">
        <v>191</v>
      </c>
      <c r="T30" s="100">
        <v>14</v>
      </c>
      <c r="U30" s="100">
        <v>1</v>
      </c>
      <c r="V30" s="100">
        <v>0</v>
      </c>
      <c r="W30" s="100">
        <v>0</v>
      </c>
      <c r="X30" s="100">
        <v>134.00000400000005</v>
      </c>
      <c r="Y30" s="100">
        <v>17.767595000000004</v>
      </c>
      <c r="Z30" s="112">
        <f t="shared" si="4"/>
        <v>1.0779999071486497</v>
      </c>
      <c r="AA30" s="107">
        <f t="shared" si="5"/>
        <v>-9.2851350386169429E-8</v>
      </c>
      <c r="AC30" s="105" t="str">
        <f t="shared" si="6"/>
        <v>f7t4</v>
      </c>
      <c r="AD30" s="100">
        <v>18</v>
      </c>
      <c r="AE30" s="100">
        <v>7</v>
      </c>
      <c r="AF30" s="100">
        <v>4</v>
      </c>
      <c r="AG30" s="100">
        <v>0.3</v>
      </c>
    </row>
    <row r="31" spans="1:33" x14ac:dyDescent="0.3">
      <c r="A31" s="105" t="str">
        <f t="shared" si="2"/>
        <v>f3t1</v>
      </c>
      <c r="B31" s="109">
        <v>191</v>
      </c>
      <c r="C31" s="109">
        <v>3</v>
      </c>
      <c r="D31" s="109">
        <v>5</v>
      </c>
      <c r="E31" s="109">
        <v>1</v>
      </c>
      <c r="F31" s="109">
        <v>0.57799999999999996</v>
      </c>
      <c r="G31" s="109">
        <v>0.124685400146123</v>
      </c>
      <c r="H31" s="110">
        <v>41675.480023148149</v>
      </c>
      <c r="I31" s="111" t="s">
        <v>304</v>
      </c>
      <c r="J31" s="106">
        <f t="shared" si="0"/>
        <v>0</v>
      </c>
      <c r="L31" s="105" t="str">
        <f t="shared" si="1"/>
        <v>f14t1</v>
      </c>
      <c r="M31" s="25">
        <v>14</v>
      </c>
      <c r="N31" s="26"/>
      <c r="O31" s="25">
        <v>1</v>
      </c>
      <c r="P31" s="27">
        <v>1.0780000000000001</v>
      </c>
      <c r="Q31" s="27"/>
      <c r="R31" s="105" t="str">
        <f t="shared" si="3"/>
        <v>f14t2</v>
      </c>
      <c r="S31" s="100">
        <v>191</v>
      </c>
      <c r="T31" s="100">
        <v>14</v>
      </c>
      <c r="U31" s="100">
        <v>2</v>
      </c>
      <c r="V31" s="100">
        <v>0</v>
      </c>
      <c r="W31" s="100">
        <v>0</v>
      </c>
      <c r="X31" s="100">
        <v>4974.0000009999985</v>
      </c>
      <c r="Y31" s="100">
        <v>659.52255600000012</v>
      </c>
      <c r="Z31" s="112">
        <f t="shared" si="4"/>
        <v>1.0779999997832734</v>
      </c>
      <c r="AA31" s="107">
        <f t="shared" si="5"/>
        <v>-2.1672663663707681E-10</v>
      </c>
      <c r="AC31" s="105" t="str">
        <f t="shared" si="6"/>
        <v>f8t1</v>
      </c>
      <c r="AD31" s="100">
        <v>18</v>
      </c>
      <c r="AE31" s="100">
        <v>8</v>
      </c>
      <c r="AF31" s="100">
        <v>1</v>
      </c>
      <c r="AG31" s="100">
        <v>0.123</v>
      </c>
    </row>
    <row r="32" spans="1:33" x14ac:dyDescent="0.3">
      <c r="A32" s="105" t="str">
        <f t="shared" si="2"/>
        <v>f3t2</v>
      </c>
      <c r="B32" s="109">
        <v>191</v>
      </c>
      <c r="C32" s="109">
        <v>3</v>
      </c>
      <c r="D32" s="109">
        <v>5</v>
      </c>
      <c r="E32" s="109">
        <v>2</v>
      </c>
      <c r="F32" s="109">
        <v>0.57799999999999996</v>
      </c>
      <c r="G32" s="109">
        <v>0.206752480551218</v>
      </c>
      <c r="H32" s="110">
        <v>41675.480023148149</v>
      </c>
      <c r="I32" s="111" t="s">
        <v>304</v>
      </c>
      <c r="J32" s="106">
        <f t="shared" si="0"/>
        <v>0</v>
      </c>
      <c r="L32" s="105" t="str">
        <f t="shared" si="1"/>
        <v>f14t2</v>
      </c>
      <c r="M32" s="25">
        <v>14</v>
      </c>
      <c r="N32" s="26"/>
      <c r="O32" s="25">
        <v>2</v>
      </c>
      <c r="P32" s="27">
        <v>1.0780000000000001</v>
      </c>
      <c r="Q32" s="27"/>
      <c r="R32" s="105" t="str">
        <f t="shared" si="3"/>
        <v>f14t3</v>
      </c>
      <c r="S32" s="100">
        <v>191</v>
      </c>
      <c r="T32" s="100">
        <v>14</v>
      </c>
      <c r="U32" s="100">
        <v>3</v>
      </c>
      <c r="V32" s="100">
        <v>0</v>
      </c>
      <c r="W32" s="100">
        <v>0</v>
      </c>
      <c r="X32" s="100">
        <v>6280.0000009999985</v>
      </c>
      <c r="Y32" s="100">
        <v>832.69032300000015</v>
      </c>
      <c r="Z32" s="112">
        <f t="shared" si="4"/>
        <v>1.0780000037121411</v>
      </c>
      <c r="AA32" s="107">
        <f t="shared" si="5"/>
        <v>3.7121410390028586E-9</v>
      </c>
      <c r="AC32" s="105" t="str">
        <f t="shared" si="6"/>
        <v>f8t2</v>
      </c>
      <c r="AD32" s="100">
        <v>18</v>
      </c>
      <c r="AE32" s="100">
        <v>8</v>
      </c>
      <c r="AF32" s="100">
        <v>2</v>
      </c>
      <c r="AG32" s="100">
        <v>0.123</v>
      </c>
    </row>
    <row r="33" spans="1:33" x14ac:dyDescent="0.3">
      <c r="A33" s="105" t="str">
        <f t="shared" si="2"/>
        <v>f3t3</v>
      </c>
      <c r="B33" s="109">
        <v>191</v>
      </c>
      <c r="C33" s="109">
        <v>3</v>
      </c>
      <c r="D33" s="109">
        <v>5</v>
      </c>
      <c r="E33" s="109">
        <v>3</v>
      </c>
      <c r="F33" s="109">
        <v>0.57799999999999996</v>
      </c>
      <c r="G33" s="109">
        <v>0.26177719038174102</v>
      </c>
      <c r="H33" s="110">
        <v>41675.480023148149</v>
      </c>
      <c r="I33" s="111" t="s">
        <v>304</v>
      </c>
      <c r="J33" s="106">
        <f t="shared" si="0"/>
        <v>0</v>
      </c>
      <c r="L33" s="105" t="str">
        <f t="shared" si="1"/>
        <v>f14t3</v>
      </c>
      <c r="M33" s="25">
        <v>14</v>
      </c>
      <c r="N33" s="26"/>
      <c r="O33" s="25">
        <v>3</v>
      </c>
      <c r="P33" s="27">
        <v>1.0780000000000001</v>
      </c>
      <c r="Q33" s="27"/>
      <c r="R33" s="105" t="str">
        <f t="shared" si="3"/>
        <v>f14t4</v>
      </c>
      <c r="S33" s="100">
        <v>191</v>
      </c>
      <c r="T33" s="100">
        <v>14</v>
      </c>
      <c r="U33" s="100">
        <v>4</v>
      </c>
      <c r="V33" s="100">
        <v>0</v>
      </c>
      <c r="W33" s="100">
        <v>0</v>
      </c>
      <c r="X33" s="100">
        <v>133.99999499999998</v>
      </c>
      <c r="Y33" s="100">
        <v>17.767596000000001</v>
      </c>
      <c r="Z33" s="112">
        <f t="shared" si="4"/>
        <v>1.0780000402238823</v>
      </c>
      <c r="AA33" s="107">
        <f t="shared" si="5"/>
        <v>4.0223882225021157E-8</v>
      </c>
      <c r="AC33" s="105" t="str">
        <f t="shared" si="6"/>
        <v>f8t3</v>
      </c>
      <c r="AD33" s="100">
        <v>18</v>
      </c>
      <c r="AE33" s="100">
        <v>8</v>
      </c>
      <c r="AF33" s="100">
        <v>3</v>
      </c>
      <c r="AG33" s="100">
        <v>0.123</v>
      </c>
    </row>
    <row r="34" spans="1:33" x14ac:dyDescent="0.3">
      <c r="A34" s="105" t="str">
        <f t="shared" si="2"/>
        <v>f3t4</v>
      </c>
      <c r="B34" s="109">
        <v>191</v>
      </c>
      <c r="C34" s="109">
        <v>3</v>
      </c>
      <c r="D34" s="109">
        <v>5</v>
      </c>
      <c r="E34" s="109">
        <v>4</v>
      </c>
      <c r="F34" s="109">
        <v>0.57799999999999996</v>
      </c>
      <c r="G34" s="109">
        <v>0.38117319944147099</v>
      </c>
      <c r="H34" s="110">
        <v>41675.480023148149</v>
      </c>
      <c r="I34" s="111" t="s">
        <v>304</v>
      </c>
      <c r="J34" s="106">
        <f t="shared" si="0"/>
        <v>0</v>
      </c>
      <c r="L34" s="105" t="str">
        <f t="shared" si="1"/>
        <v>f14t4</v>
      </c>
      <c r="M34" s="25">
        <v>14</v>
      </c>
      <c r="N34" s="26"/>
      <c r="O34" s="25">
        <v>4</v>
      </c>
      <c r="P34" s="27">
        <v>1.0780000000000001</v>
      </c>
      <c r="Q34" s="27"/>
      <c r="R34" s="105" t="str">
        <f t="shared" si="3"/>
        <v>f15t1</v>
      </c>
      <c r="S34" s="100">
        <v>191</v>
      </c>
      <c r="T34" s="100">
        <v>15</v>
      </c>
      <c r="U34" s="100">
        <v>1</v>
      </c>
      <c r="V34" s="100">
        <v>0</v>
      </c>
      <c r="W34" s="100">
        <v>0</v>
      </c>
      <c r="X34" s="100">
        <v>2279.3055979999995</v>
      </c>
      <c r="Y34" s="100">
        <v>123.91672799999999</v>
      </c>
      <c r="Z34" s="112">
        <f t="shared" si="4"/>
        <v>0.44199999949753638</v>
      </c>
      <c r="AA34" s="107">
        <f t="shared" si="5"/>
        <v>-5.0246362626182872E-10</v>
      </c>
      <c r="AC34" s="105" t="str">
        <f t="shared" si="6"/>
        <v>f8t4</v>
      </c>
      <c r="AD34" s="100">
        <v>18</v>
      </c>
      <c r="AE34" s="100">
        <v>8</v>
      </c>
      <c r="AF34" s="100">
        <v>4</v>
      </c>
      <c r="AG34" s="100">
        <v>0.123</v>
      </c>
    </row>
    <row r="35" spans="1:33" x14ac:dyDescent="0.3">
      <c r="A35" s="105" t="str">
        <f t="shared" si="2"/>
        <v>f8t1</v>
      </c>
      <c r="B35" s="109">
        <v>191</v>
      </c>
      <c r="C35" s="109">
        <v>8</v>
      </c>
      <c r="D35" s="109">
        <v>2</v>
      </c>
      <c r="E35" s="109">
        <v>1</v>
      </c>
      <c r="F35" s="109">
        <v>1E-3</v>
      </c>
      <c r="G35" s="109">
        <v>1</v>
      </c>
      <c r="H35" s="110">
        <v>41675.480023148149</v>
      </c>
      <c r="I35" s="111" t="s">
        <v>304</v>
      </c>
      <c r="J35" s="106">
        <f t="shared" si="0"/>
        <v>0</v>
      </c>
      <c r="L35" s="105" t="str">
        <f t="shared" si="1"/>
        <v>f15t1</v>
      </c>
      <c r="M35" s="25">
        <v>15</v>
      </c>
      <c r="N35" s="26"/>
      <c r="O35" s="25">
        <v>1</v>
      </c>
      <c r="P35" s="27">
        <v>0.442</v>
      </c>
      <c r="Q35" s="27"/>
      <c r="R35" s="105" t="str">
        <f t="shared" si="3"/>
        <v>f15t2</v>
      </c>
      <c r="S35" s="100">
        <v>191</v>
      </c>
      <c r="T35" s="100">
        <v>15</v>
      </c>
      <c r="U35" s="100">
        <v>2</v>
      </c>
      <c r="V35" s="100">
        <v>0</v>
      </c>
      <c r="W35" s="100">
        <v>0</v>
      </c>
      <c r="X35" s="100">
        <v>2521.3821979999984</v>
      </c>
      <c r="Y35" s="100">
        <v>137.07746600000002</v>
      </c>
      <c r="Z35" s="112">
        <f t="shared" si="4"/>
        <v>0.44200000459011402</v>
      </c>
      <c r="AA35" s="107">
        <f t="shared" si="5"/>
        <v>4.5901140111048733E-9</v>
      </c>
      <c r="AC35" s="105" t="str">
        <f t="shared" si="6"/>
        <v>f9t1</v>
      </c>
      <c r="AD35" s="100">
        <v>18</v>
      </c>
      <c r="AE35" s="100">
        <v>9</v>
      </c>
      <c r="AF35" s="100">
        <v>1</v>
      </c>
      <c r="AG35" s="100">
        <v>0.255</v>
      </c>
    </row>
    <row r="36" spans="1:33" x14ac:dyDescent="0.3">
      <c r="A36" s="105" t="str">
        <f t="shared" si="2"/>
        <v>f8t2</v>
      </c>
      <c r="B36" s="109">
        <v>191</v>
      </c>
      <c r="C36" s="109">
        <v>8</v>
      </c>
      <c r="D36" s="109">
        <v>2</v>
      </c>
      <c r="E36" s="109">
        <v>2</v>
      </c>
      <c r="F36" s="109">
        <v>1E-3</v>
      </c>
      <c r="G36" s="109">
        <v>4.0125167718027301E-3</v>
      </c>
      <c r="H36" s="110">
        <v>41675.480023148149</v>
      </c>
      <c r="I36" s="111" t="s">
        <v>304</v>
      </c>
      <c r="J36" s="106">
        <f t="shared" si="0"/>
        <v>0</v>
      </c>
      <c r="L36" s="105" t="str">
        <f t="shared" si="1"/>
        <v>f15t2</v>
      </c>
      <c r="M36" s="25">
        <v>15</v>
      </c>
      <c r="N36" s="26"/>
      <c r="O36" s="25">
        <v>2</v>
      </c>
      <c r="P36" s="27">
        <v>0.442</v>
      </c>
      <c r="Q36" s="27"/>
      <c r="R36" s="105" t="str">
        <f t="shared" si="3"/>
        <v>f15t3</v>
      </c>
      <c r="S36" s="100">
        <v>191</v>
      </c>
      <c r="T36" s="100">
        <v>15</v>
      </c>
      <c r="U36" s="100">
        <v>3</v>
      </c>
      <c r="V36" s="100">
        <v>0</v>
      </c>
      <c r="W36" s="100">
        <v>0</v>
      </c>
      <c r="X36" s="100">
        <v>10294.730798999999</v>
      </c>
      <c r="Y36" s="100">
        <v>559.68333299999995</v>
      </c>
      <c r="Z36" s="112">
        <f t="shared" si="4"/>
        <v>0.44199999872187046</v>
      </c>
      <c r="AA36" s="107">
        <f t="shared" si="5"/>
        <v>-1.2781295466446352E-9</v>
      </c>
      <c r="AC36" s="105" t="str">
        <f t="shared" si="6"/>
        <v>f9t2</v>
      </c>
      <c r="AD36" s="100">
        <v>18</v>
      </c>
      <c r="AE36" s="100">
        <v>9</v>
      </c>
      <c r="AF36" s="100">
        <v>2</v>
      </c>
      <c r="AG36" s="100">
        <v>0.255</v>
      </c>
    </row>
    <row r="37" spans="1:33" x14ac:dyDescent="0.3">
      <c r="A37" s="105" t="str">
        <f t="shared" si="2"/>
        <v>f8t3</v>
      </c>
      <c r="B37" s="109">
        <v>191</v>
      </c>
      <c r="C37" s="109">
        <v>8</v>
      </c>
      <c r="D37" s="109">
        <v>2</v>
      </c>
      <c r="E37" s="109">
        <v>3</v>
      </c>
      <c r="F37" s="109">
        <v>1E-3</v>
      </c>
      <c r="G37" s="109">
        <v>1.94895923136551E-3</v>
      </c>
      <c r="H37" s="110">
        <v>41675.480023148149</v>
      </c>
      <c r="I37" s="111" t="s">
        <v>304</v>
      </c>
      <c r="J37" s="106">
        <f t="shared" si="0"/>
        <v>0</v>
      </c>
      <c r="L37" s="105" t="str">
        <f t="shared" si="1"/>
        <v>f15t3</v>
      </c>
      <c r="M37" s="25">
        <v>15</v>
      </c>
      <c r="N37" s="26"/>
      <c r="O37" s="25">
        <v>3</v>
      </c>
      <c r="P37" s="27">
        <v>0.442</v>
      </c>
      <c r="Q37" s="27"/>
      <c r="R37" s="105" t="str">
        <f t="shared" si="3"/>
        <v>f15t4</v>
      </c>
      <c r="S37" s="100">
        <v>191</v>
      </c>
      <c r="T37" s="100">
        <v>15</v>
      </c>
      <c r="U37" s="100">
        <v>4</v>
      </c>
      <c r="V37" s="100">
        <v>0</v>
      </c>
      <c r="W37" s="100">
        <v>0</v>
      </c>
      <c r="X37" s="100">
        <v>2279.3055990000012</v>
      </c>
      <c r="Y37" s="100">
        <v>123.91672700000002</v>
      </c>
      <c r="Z37" s="112">
        <f t="shared" si="4"/>
        <v>0.44199999573670595</v>
      </c>
      <c r="AA37" s="107">
        <f t="shared" si="5"/>
        <v>-4.2632940511211359E-9</v>
      </c>
      <c r="AC37" s="105" t="str">
        <f t="shared" si="6"/>
        <v>f9t3</v>
      </c>
      <c r="AD37" s="100">
        <v>18</v>
      </c>
      <c r="AE37" s="100">
        <v>9</v>
      </c>
      <c r="AF37" s="100">
        <v>3</v>
      </c>
      <c r="AG37" s="100">
        <v>0.255</v>
      </c>
    </row>
    <row r="38" spans="1:33" x14ac:dyDescent="0.3">
      <c r="A38" s="105" t="str">
        <f t="shared" si="2"/>
        <v>f8t4</v>
      </c>
      <c r="B38" s="109">
        <v>191</v>
      </c>
      <c r="C38" s="109">
        <v>8</v>
      </c>
      <c r="D38" s="109">
        <v>2</v>
      </c>
      <c r="E38" s="109">
        <v>4</v>
      </c>
      <c r="F38" s="109">
        <v>1E-3</v>
      </c>
      <c r="G38" s="109">
        <v>1</v>
      </c>
      <c r="H38" s="110">
        <v>41675.480023148149</v>
      </c>
      <c r="I38" s="111" t="s">
        <v>304</v>
      </c>
      <c r="J38" s="106">
        <f t="shared" si="0"/>
        <v>0</v>
      </c>
      <c r="L38" s="105" t="str">
        <f t="shared" si="1"/>
        <v>f15t4</v>
      </c>
      <c r="M38" s="25">
        <v>15</v>
      </c>
      <c r="N38" s="26"/>
      <c r="O38" s="25">
        <v>4</v>
      </c>
      <c r="P38" s="27">
        <v>0.442</v>
      </c>
      <c r="Q38" s="27"/>
      <c r="R38" s="105" t="str">
        <f t="shared" si="3"/>
        <v>f16t2</v>
      </c>
      <c r="S38" s="100">
        <v>191</v>
      </c>
      <c r="T38" s="100">
        <v>16</v>
      </c>
      <c r="U38" s="100">
        <v>2</v>
      </c>
      <c r="V38" s="100">
        <v>0</v>
      </c>
      <c r="W38" s="100">
        <v>0</v>
      </c>
      <c r="X38" s="100">
        <v>8570.3699990000041</v>
      </c>
      <c r="Y38" s="100">
        <v>2047.761358</v>
      </c>
      <c r="Z38" s="112">
        <f t="shared" si="4"/>
        <v>0.93700000104735404</v>
      </c>
      <c r="AA38" s="107">
        <f t="shared" si="5"/>
        <v>1.047353981320498E-9</v>
      </c>
      <c r="AC38" s="105" t="str">
        <f t="shared" si="6"/>
        <v>f9t4</v>
      </c>
      <c r="AD38" s="100">
        <v>18</v>
      </c>
      <c r="AE38" s="100">
        <v>9</v>
      </c>
      <c r="AF38" s="100">
        <v>4</v>
      </c>
      <c r="AG38" s="100">
        <v>0.255</v>
      </c>
    </row>
    <row r="39" spans="1:33" x14ac:dyDescent="0.3">
      <c r="A39" s="105" t="str">
        <f t="shared" si="2"/>
        <v>f8t1</v>
      </c>
      <c r="B39" s="109">
        <v>191</v>
      </c>
      <c r="C39" s="109">
        <v>8</v>
      </c>
      <c r="D39" s="109">
        <v>3</v>
      </c>
      <c r="E39" s="109">
        <v>1</v>
      </c>
      <c r="F39" s="109">
        <v>1E-3</v>
      </c>
      <c r="G39" s="109">
        <v>1</v>
      </c>
      <c r="H39" s="110">
        <v>41675.480023148149</v>
      </c>
      <c r="I39" s="111" t="s">
        <v>304</v>
      </c>
      <c r="J39" s="106">
        <f t="shared" si="0"/>
        <v>0</v>
      </c>
      <c r="L39" s="105" t="str">
        <f t="shared" si="1"/>
        <v>f16t2</v>
      </c>
      <c r="M39" s="25">
        <v>16</v>
      </c>
      <c r="N39" s="26"/>
      <c r="O39" s="25">
        <v>2</v>
      </c>
      <c r="P39" s="27">
        <v>0.93700000000000006</v>
      </c>
      <c r="Q39" s="27"/>
      <c r="R39" s="105" t="str">
        <f t="shared" si="3"/>
        <v>f16t3</v>
      </c>
      <c r="S39" s="100">
        <v>191</v>
      </c>
      <c r="T39" s="100">
        <v>16</v>
      </c>
      <c r="U39" s="100">
        <v>3</v>
      </c>
      <c r="V39" s="100">
        <v>0</v>
      </c>
      <c r="W39" s="100">
        <v>0</v>
      </c>
      <c r="X39" s="100">
        <v>6009.1099980000008</v>
      </c>
      <c r="Y39" s="100">
        <v>738.57971099999997</v>
      </c>
      <c r="Z39" s="112">
        <f t="shared" si="4"/>
        <v>0.4820000007477665</v>
      </c>
      <c r="AA39" s="107">
        <f t="shared" si="5"/>
        <v>7.4776651537433736E-10</v>
      </c>
      <c r="AC39" s="105" t="str">
        <f t="shared" si="6"/>
        <v>f10t1</v>
      </c>
      <c r="AD39" s="100">
        <v>18</v>
      </c>
      <c r="AE39" s="100">
        <v>10</v>
      </c>
      <c r="AF39" s="100">
        <v>1</v>
      </c>
      <c r="AG39" s="100">
        <v>0.255</v>
      </c>
    </row>
    <row r="40" spans="1:33" x14ac:dyDescent="0.3">
      <c r="A40" s="105" t="str">
        <f t="shared" si="2"/>
        <v>f8t2</v>
      </c>
      <c r="B40" s="109">
        <v>191</v>
      </c>
      <c r="C40" s="109">
        <v>8</v>
      </c>
      <c r="D40" s="109">
        <v>3</v>
      </c>
      <c r="E40" s="109">
        <v>2</v>
      </c>
      <c r="F40" s="109">
        <v>1E-3</v>
      </c>
      <c r="G40" s="109">
        <v>4.0125167718027301E-3</v>
      </c>
      <c r="H40" s="110">
        <v>41675.480023148149</v>
      </c>
      <c r="I40" s="111" t="s">
        <v>304</v>
      </c>
      <c r="J40" s="106">
        <f t="shared" si="0"/>
        <v>0</v>
      </c>
      <c r="L40" s="105" t="str">
        <f t="shared" si="1"/>
        <v>f16t3</v>
      </c>
      <c r="M40" s="25">
        <v>16</v>
      </c>
      <c r="N40" s="26"/>
      <c r="O40" s="25">
        <v>3</v>
      </c>
      <c r="P40" s="27">
        <v>0.48199999999999998</v>
      </c>
      <c r="Q40" s="27"/>
      <c r="R40" s="105" t="str">
        <f t="shared" si="3"/>
        <v>f17t1</v>
      </c>
      <c r="S40" s="100">
        <v>191</v>
      </c>
      <c r="T40" s="100">
        <v>17</v>
      </c>
      <c r="U40" s="100">
        <v>1</v>
      </c>
      <c r="V40" s="100">
        <v>0</v>
      </c>
      <c r="W40" s="100">
        <v>0</v>
      </c>
      <c r="X40" s="100">
        <v>2138.6715010000007</v>
      </c>
      <c r="Y40" s="100">
        <v>511.00347499999987</v>
      </c>
      <c r="Z40" s="112">
        <f t="shared" si="4"/>
        <v>0.93699999983233995</v>
      </c>
      <c r="AA40" s="107">
        <f t="shared" si="5"/>
        <v>99.936999999832338</v>
      </c>
      <c r="AC40" s="105" t="str">
        <f t="shared" si="6"/>
        <v>f10t2</v>
      </c>
      <c r="AD40" s="100">
        <v>18</v>
      </c>
      <c r="AE40" s="100">
        <v>10</v>
      </c>
      <c r="AF40" s="100">
        <v>2</v>
      </c>
      <c r="AG40" s="100">
        <v>0.255</v>
      </c>
    </row>
    <row r="41" spans="1:33" x14ac:dyDescent="0.3">
      <c r="A41" s="105" t="str">
        <f t="shared" si="2"/>
        <v>f8t3</v>
      </c>
      <c r="B41" s="109">
        <v>191</v>
      </c>
      <c r="C41" s="109">
        <v>8</v>
      </c>
      <c r="D41" s="109">
        <v>3</v>
      </c>
      <c r="E41" s="109">
        <v>3</v>
      </c>
      <c r="F41" s="109">
        <v>1E-3</v>
      </c>
      <c r="G41" s="109">
        <v>1.94895923136551E-3</v>
      </c>
      <c r="H41" s="110">
        <v>41675.480023148149</v>
      </c>
      <c r="I41" s="111" t="s">
        <v>304</v>
      </c>
      <c r="J41" s="106">
        <f t="shared" si="0"/>
        <v>0</v>
      </c>
      <c r="L41" s="105" t="str">
        <f t="shared" si="1"/>
        <v>f17t1</v>
      </c>
      <c r="M41" s="25">
        <v>17</v>
      </c>
      <c r="N41" s="26"/>
      <c r="O41" s="25">
        <v>1</v>
      </c>
      <c r="P41" s="27">
        <v>-99</v>
      </c>
      <c r="Q41" s="27"/>
      <c r="R41" s="105" t="str">
        <f t="shared" si="3"/>
        <v>f17t2</v>
      </c>
      <c r="S41" s="100">
        <v>191</v>
      </c>
      <c r="T41" s="100">
        <v>17</v>
      </c>
      <c r="U41" s="100">
        <v>2</v>
      </c>
      <c r="V41" s="100">
        <v>0</v>
      </c>
      <c r="W41" s="100">
        <v>0</v>
      </c>
      <c r="X41" s="100">
        <v>24080.388494000003</v>
      </c>
      <c r="Y41" s="100">
        <v>5753.6476249999996</v>
      </c>
      <c r="Z41" s="112">
        <f t="shared" si="4"/>
        <v>0.93700000003030837</v>
      </c>
      <c r="AA41" s="107">
        <f t="shared" si="5"/>
        <v>3.0308311416149536E-11</v>
      </c>
      <c r="AC41" s="105" t="str">
        <f t="shared" si="6"/>
        <v>f10t3</v>
      </c>
      <c r="AD41" s="100">
        <v>18</v>
      </c>
      <c r="AE41" s="100">
        <v>10</v>
      </c>
      <c r="AF41" s="100">
        <v>3</v>
      </c>
      <c r="AG41" s="100">
        <v>0.255</v>
      </c>
    </row>
    <row r="42" spans="1:33" x14ac:dyDescent="0.3">
      <c r="A42" s="105" t="str">
        <f t="shared" si="2"/>
        <v>f8t4</v>
      </c>
      <c r="B42" s="109">
        <v>191</v>
      </c>
      <c r="C42" s="109">
        <v>8</v>
      </c>
      <c r="D42" s="109">
        <v>3</v>
      </c>
      <c r="E42" s="109">
        <v>4</v>
      </c>
      <c r="F42" s="109">
        <v>1E-3</v>
      </c>
      <c r="G42" s="109">
        <v>1</v>
      </c>
      <c r="H42" s="110">
        <v>41675.480023148149</v>
      </c>
      <c r="I42" s="111" t="s">
        <v>304</v>
      </c>
      <c r="J42" s="106">
        <f t="shared" si="0"/>
        <v>0</v>
      </c>
      <c r="L42" s="105" t="str">
        <f t="shared" si="1"/>
        <v>f17t2</v>
      </c>
      <c r="M42" s="25">
        <v>17</v>
      </c>
      <c r="N42" s="26"/>
      <c r="O42" s="25">
        <v>2</v>
      </c>
      <c r="P42" s="27">
        <v>0.93700000000000006</v>
      </c>
      <c r="Q42" s="27"/>
      <c r="R42" s="105" t="str">
        <f t="shared" si="3"/>
        <v>f17t3</v>
      </c>
      <c r="S42" s="100">
        <v>191</v>
      </c>
      <c r="T42" s="100">
        <v>17</v>
      </c>
      <c r="U42" s="100">
        <v>3</v>
      </c>
      <c r="V42" s="100">
        <v>0</v>
      </c>
      <c r="W42" s="100">
        <v>0</v>
      </c>
      <c r="X42" s="100">
        <v>24092.828197999999</v>
      </c>
      <c r="Y42" s="100">
        <v>2961.2495129999988</v>
      </c>
      <c r="Z42" s="112">
        <f t="shared" si="4"/>
        <v>0.48199999986715086</v>
      </c>
      <c r="AA42" s="107">
        <f t="shared" si="5"/>
        <v>-1.3284912059319254E-10</v>
      </c>
      <c r="AC42" s="105" t="str">
        <f t="shared" si="6"/>
        <v>f10t4</v>
      </c>
      <c r="AD42" s="100">
        <v>18</v>
      </c>
      <c r="AE42" s="100">
        <v>10</v>
      </c>
      <c r="AF42" s="100">
        <v>4</v>
      </c>
      <c r="AG42" s="100">
        <v>0.255</v>
      </c>
    </row>
    <row r="43" spans="1:33" x14ac:dyDescent="0.3">
      <c r="A43" s="105" t="str">
        <f t="shared" si="2"/>
        <v>f8t1</v>
      </c>
      <c r="B43" s="109">
        <v>191</v>
      </c>
      <c r="C43" s="109">
        <v>8</v>
      </c>
      <c r="D43" s="109">
        <v>4</v>
      </c>
      <c r="E43" s="109">
        <v>1</v>
      </c>
      <c r="F43" s="109">
        <v>1E-3</v>
      </c>
      <c r="G43" s="109">
        <v>1</v>
      </c>
      <c r="H43" s="110">
        <v>41675.480023148149</v>
      </c>
      <c r="I43" s="111" t="s">
        <v>304</v>
      </c>
      <c r="J43" s="106">
        <f t="shared" si="0"/>
        <v>0</v>
      </c>
      <c r="L43" s="105" t="str">
        <f t="shared" si="1"/>
        <v>f17t3</v>
      </c>
      <c r="M43" s="25">
        <v>17</v>
      </c>
      <c r="N43" s="26"/>
      <c r="O43" s="25">
        <v>3</v>
      </c>
      <c r="P43" s="27">
        <v>0.48199999999999998</v>
      </c>
      <c r="Q43" s="27"/>
      <c r="R43" s="105" t="str">
        <f t="shared" si="3"/>
        <v>f17t4</v>
      </c>
      <c r="S43" s="100">
        <v>191</v>
      </c>
      <c r="T43" s="100">
        <v>17</v>
      </c>
      <c r="U43" s="100">
        <v>4</v>
      </c>
      <c r="V43" s="100">
        <v>0</v>
      </c>
      <c r="W43" s="100">
        <v>0</v>
      </c>
      <c r="X43" s="100">
        <v>3792.1947020000007</v>
      </c>
      <c r="Y43" s="100">
        <v>906.08803999999986</v>
      </c>
      <c r="Z43" s="112">
        <f t="shared" si="4"/>
        <v>0.93699999883933915</v>
      </c>
      <c r="AA43" s="107">
        <f t="shared" si="5"/>
        <v>99.93699999883934</v>
      </c>
      <c r="AC43" s="105" t="str">
        <f t="shared" si="6"/>
        <v>f11t1</v>
      </c>
      <c r="AD43" s="100">
        <v>18</v>
      </c>
      <c r="AE43" s="100">
        <v>11</v>
      </c>
      <c r="AF43" s="100">
        <v>1</v>
      </c>
      <c r="AG43" s="100">
        <v>0.123</v>
      </c>
    </row>
    <row r="44" spans="1:33" x14ac:dyDescent="0.3">
      <c r="A44" s="105" t="str">
        <f t="shared" si="2"/>
        <v>f8t2</v>
      </c>
      <c r="B44" s="109">
        <v>191</v>
      </c>
      <c r="C44" s="109">
        <v>8</v>
      </c>
      <c r="D44" s="109">
        <v>4</v>
      </c>
      <c r="E44" s="109">
        <v>2</v>
      </c>
      <c r="F44" s="109">
        <v>1E-3</v>
      </c>
      <c r="G44" s="109">
        <v>4.0125167718027301E-3</v>
      </c>
      <c r="H44" s="110">
        <v>41675.480023148149</v>
      </c>
      <c r="I44" s="111" t="s">
        <v>304</v>
      </c>
      <c r="J44" s="106">
        <f t="shared" si="0"/>
        <v>0</v>
      </c>
      <c r="L44" s="105" t="str">
        <f t="shared" si="1"/>
        <v>f17t4</v>
      </c>
      <c r="M44" s="25">
        <v>17</v>
      </c>
      <c r="N44" s="26"/>
      <c r="O44" s="25">
        <v>4</v>
      </c>
      <c r="P44" s="27">
        <v>-99</v>
      </c>
      <c r="Q44" s="27"/>
      <c r="R44" s="105" t="str">
        <f t="shared" si="3"/>
        <v>f18t2</v>
      </c>
      <c r="S44" s="100">
        <v>191</v>
      </c>
      <c r="T44" s="100">
        <v>18</v>
      </c>
      <c r="U44" s="100">
        <v>2</v>
      </c>
      <c r="V44" s="100">
        <v>783.75520199999994</v>
      </c>
      <c r="W44" s="100">
        <v>122.12473700000002</v>
      </c>
      <c r="X44" s="100">
        <v>346.00000199999999</v>
      </c>
      <c r="Y44" s="100">
        <v>53.913717000000013</v>
      </c>
      <c r="Z44" s="112">
        <f t="shared" si="4"/>
        <v>1.1129999880677059</v>
      </c>
      <c r="AA44" s="107">
        <f t="shared" si="5"/>
        <v>-1.1932294041727687E-8</v>
      </c>
      <c r="AC44" s="105" t="str">
        <f t="shared" si="6"/>
        <v>f11t2</v>
      </c>
      <c r="AD44" s="100">
        <v>18</v>
      </c>
      <c r="AE44" s="100">
        <v>11</v>
      </c>
      <c r="AF44" s="100">
        <v>2</v>
      </c>
      <c r="AG44" s="100">
        <v>0.123</v>
      </c>
    </row>
    <row r="45" spans="1:33" x14ac:dyDescent="0.3">
      <c r="A45" s="105" t="str">
        <f t="shared" si="2"/>
        <v>f8t3</v>
      </c>
      <c r="B45" s="109">
        <v>191</v>
      </c>
      <c r="C45" s="109">
        <v>8</v>
      </c>
      <c r="D45" s="109">
        <v>4</v>
      </c>
      <c r="E45" s="109">
        <v>3</v>
      </c>
      <c r="F45" s="109">
        <v>1E-3</v>
      </c>
      <c r="G45" s="109">
        <v>1.94895923136551E-3</v>
      </c>
      <c r="H45" s="110">
        <v>41675.480023148149</v>
      </c>
      <c r="I45" s="111" t="s">
        <v>304</v>
      </c>
      <c r="J45" s="106">
        <f t="shared" si="0"/>
        <v>0</v>
      </c>
      <c r="L45" s="105" t="str">
        <f t="shared" si="1"/>
        <v>f18t2</v>
      </c>
      <c r="M45" s="25">
        <v>18</v>
      </c>
      <c r="N45" s="26"/>
      <c r="O45" s="25">
        <v>2</v>
      </c>
      <c r="P45" s="27">
        <v>1.113</v>
      </c>
      <c r="Q45" s="27"/>
      <c r="R45" s="105" t="str">
        <f t="shared" si="3"/>
        <v>f18t3</v>
      </c>
      <c r="S45" s="100">
        <v>191</v>
      </c>
      <c r="T45" s="100">
        <v>18</v>
      </c>
      <c r="U45" s="100">
        <v>3</v>
      </c>
      <c r="V45" s="100">
        <v>0</v>
      </c>
      <c r="W45" s="100">
        <v>0</v>
      </c>
      <c r="X45" s="100">
        <v>6253.9999960000005</v>
      </c>
      <c r="Y45" s="100">
        <v>974.49827899999991</v>
      </c>
      <c r="Z45" s="112">
        <f t="shared" si="4"/>
        <v>1.1129999995697379</v>
      </c>
      <c r="AA45" s="107">
        <f t="shared" si="5"/>
        <v>-4.3026204821217107E-10</v>
      </c>
      <c r="AC45" s="105" t="str">
        <f t="shared" si="6"/>
        <v>f11t3</v>
      </c>
      <c r="AD45" s="100">
        <v>18</v>
      </c>
      <c r="AE45" s="100">
        <v>11</v>
      </c>
      <c r="AF45" s="100">
        <v>3</v>
      </c>
      <c r="AG45" s="100">
        <v>0.123</v>
      </c>
    </row>
    <row r="46" spans="1:33" x14ac:dyDescent="0.3">
      <c r="A46" s="105" t="str">
        <f t="shared" si="2"/>
        <v>f8t4</v>
      </c>
      <c r="B46" s="109">
        <v>191</v>
      </c>
      <c r="C46" s="109">
        <v>8</v>
      </c>
      <c r="D46" s="109">
        <v>4</v>
      </c>
      <c r="E46" s="109">
        <v>4</v>
      </c>
      <c r="F46" s="109">
        <v>1E-3</v>
      </c>
      <c r="G46" s="109">
        <v>1</v>
      </c>
      <c r="H46" s="110">
        <v>41675.480023148149</v>
      </c>
      <c r="I46" s="111" t="s">
        <v>304</v>
      </c>
      <c r="J46" s="106">
        <f t="shared" si="0"/>
        <v>0</v>
      </c>
      <c r="L46" s="105" t="str">
        <f t="shared" si="1"/>
        <v>f18t3</v>
      </c>
      <c r="M46" s="25">
        <v>18</v>
      </c>
      <c r="N46" s="26"/>
      <c r="O46" s="25">
        <v>3</v>
      </c>
      <c r="P46" s="27">
        <v>1.113</v>
      </c>
      <c r="Q46" s="27"/>
      <c r="R46" s="105" t="str">
        <f t="shared" si="3"/>
        <v>f19t3</v>
      </c>
      <c r="S46" s="100">
        <v>191</v>
      </c>
      <c r="T46" s="100">
        <v>19</v>
      </c>
      <c r="U46" s="100">
        <v>3</v>
      </c>
      <c r="V46" s="100">
        <v>0</v>
      </c>
      <c r="W46" s="100">
        <v>0</v>
      </c>
      <c r="X46" s="100">
        <v>10</v>
      </c>
      <c r="Y46" s="100">
        <v>0</v>
      </c>
      <c r="Z46" s="112">
        <f t="shared" si="4"/>
        <v>0</v>
      </c>
      <c r="AA46" s="107" t="e">
        <f t="shared" si="5"/>
        <v>#N/A</v>
      </c>
      <c r="AC46" s="105" t="str">
        <f t="shared" si="6"/>
        <v>f11t4</v>
      </c>
      <c r="AD46" s="100">
        <v>18</v>
      </c>
      <c r="AE46" s="100">
        <v>11</v>
      </c>
      <c r="AF46" s="100">
        <v>4</v>
      </c>
      <c r="AG46" s="100">
        <v>0.123</v>
      </c>
    </row>
    <row r="47" spans="1:33" x14ac:dyDescent="0.3">
      <c r="A47" s="105" t="str">
        <f t="shared" si="2"/>
        <v>f8t1</v>
      </c>
      <c r="B47" s="109">
        <v>191</v>
      </c>
      <c r="C47" s="109">
        <v>8</v>
      </c>
      <c r="D47" s="109">
        <v>5</v>
      </c>
      <c r="E47" s="109">
        <v>1</v>
      </c>
      <c r="F47" s="109">
        <v>1E-3</v>
      </c>
      <c r="G47" s="109">
        <v>1</v>
      </c>
      <c r="H47" s="110">
        <v>41675.480023148149</v>
      </c>
      <c r="I47" s="111" t="s">
        <v>304</v>
      </c>
      <c r="J47" s="106">
        <f t="shared" si="0"/>
        <v>0</v>
      </c>
      <c r="L47" s="105" t="str">
        <f t="shared" si="1"/>
        <v>f20t2</v>
      </c>
      <c r="M47" s="25">
        <v>20</v>
      </c>
      <c r="N47" s="26"/>
      <c r="O47" s="25">
        <v>2</v>
      </c>
      <c r="P47" s="27">
        <v>1.147</v>
      </c>
      <c r="Q47" s="27"/>
      <c r="R47" s="105" t="str">
        <f t="shared" si="3"/>
        <v>f20t2</v>
      </c>
      <c r="S47" s="100">
        <v>191</v>
      </c>
      <c r="T47" s="100">
        <v>20</v>
      </c>
      <c r="U47" s="100">
        <v>2</v>
      </c>
      <c r="V47" s="100">
        <v>0</v>
      </c>
      <c r="W47" s="100">
        <v>0</v>
      </c>
      <c r="X47" s="100">
        <v>13367.692798999999</v>
      </c>
      <c r="Y47" s="100">
        <v>3909.8496280000004</v>
      </c>
      <c r="Z47" s="112">
        <f t="shared" si="4"/>
        <v>1.1469999999074401</v>
      </c>
      <c r="AA47" s="107">
        <f t="shared" si="5"/>
        <v>-9.2559959696814076E-11</v>
      </c>
      <c r="AC47" s="105" t="str">
        <f t="shared" si="6"/>
        <v>f12t1</v>
      </c>
      <c r="AD47" s="100">
        <v>18</v>
      </c>
      <c r="AE47" s="100">
        <v>12</v>
      </c>
      <c r="AF47" s="100">
        <v>1</v>
      </c>
      <c r="AG47" s="100">
        <v>0.255</v>
      </c>
    </row>
    <row r="48" spans="1:33" x14ac:dyDescent="0.3">
      <c r="A48" s="105" t="str">
        <f t="shared" si="2"/>
        <v>f8t2</v>
      </c>
      <c r="B48" s="109">
        <v>191</v>
      </c>
      <c r="C48" s="109">
        <v>8</v>
      </c>
      <c r="D48" s="109">
        <v>5</v>
      </c>
      <c r="E48" s="109">
        <v>2</v>
      </c>
      <c r="F48" s="109">
        <v>1E-3</v>
      </c>
      <c r="G48" s="109">
        <v>4.0125167718027301E-3</v>
      </c>
      <c r="H48" s="110">
        <v>41675.480023148149</v>
      </c>
      <c r="I48" s="111" t="s">
        <v>304</v>
      </c>
      <c r="J48" s="106">
        <f t="shared" si="0"/>
        <v>0</v>
      </c>
      <c r="L48" s="105" t="str">
        <f t="shared" si="1"/>
        <v>f20t3</v>
      </c>
      <c r="M48" s="25">
        <v>20</v>
      </c>
      <c r="N48" s="26"/>
      <c r="O48" s="25">
        <v>3</v>
      </c>
      <c r="P48" s="27">
        <v>1.2</v>
      </c>
      <c r="Q48" s="27"/>
      <c r="R48" s="105" t="str">
        <f t="shared" si="3"/>
        <v>f20t3</v>
      </c>
      <c r="S48" s="100">
        <v>191</v>
      </c>
      <c r="T48" s="100">
        <v>20</v>
      </c>
      <c r="U48" s="100">
        <v>3</v>
      </c>
      <c r="V48" s="100">
        <v>0</v>
      </c>
      <c r="W48" s="100">
        <v>0</v>
      </c>
      <c r="X48" s="100">
        <v>7116.0319989999989</v>
      </c>
      <c r="Y48" s="100">
        <v>2177.505791</v>
      </c>
      <c r="Z48" s="112">
        <f t="shared" si="4"/>
        <v>1.1999999996175443</v>
      </c>
      <c r="AA48" s="107">
        <f t="shared" si="5"/>
        <v>-3.824556227272069E-10</v>
      </c>
      <c r="AC48" s="105" t="str">
        <f t="shared" si="6"/>
        <v>f12t2</v>
      </c>
      <c r="AD48" s="100">
        <v>18</v>
      </c>
      <c r="AE48" s="100">
        <v>12</v>
      </c>
      <c r="AF48" s="100">
        <v>2</v>
      </c>
      <c r="AG48" s="100">
        <v>0.255</v>
      </c>
    </row>
    <row r="49" spans="1:33" x14ac:dyDescent="0.3">
      <c r="A49" s="105" t="str">
        <f t="shared" si="2"/>
        <v>f8t3</v>
      </c>
      <c r="B49" s="109">
        <v>191</v>
      </c>
      <c r="C49" s="109">
        <v>8</v>
      </c>
      <c r="D49" s="109">
        <v>5</v>
      </c>
      <c r="E49" s="109">
        <v>3</v>
      </c>
      <c r="F49" s="109">
        <v>1E-3</v>
      </c>
      <c r="G49" s="109">
        <v>1.94895923136551E-3</v>
      </c>
      <c r="H49" s="110">
        <v>41675.480023148149</v>
      </c>
      <c r="I49" s="111" t="s">
        <v>304</v>
      </c>
      <c r="J49" s="106">
        <f t="shared" si="0"/>
        <v>0</v>
      </c>
      <c r="L49" s="105" t="str">
        <f t="shared" si="1"/>
        <v>f21t2</v>
      </c>
      <c r="M49" s="25">
        <v>21</v>
      </c>
      <c r="N49" s="26"/>
      <c r="O49" s="25">
        <v>2</v>
      </c>
      <c r="P49" s="27">
        <v>1.147</v>
      </c>
      <c r="Q49" s="27"/>
      <c r="R49" s="105" t="str">
        <f t="shared" si="3"/>
        <v>f21t2</v>
      </c>
      <c r="S49" s="100">
        <v>191</v>
      </c>
      <c r="T49" s="100">
        <v>21</v>
      </c>
      <c r="U49" s="100">
        <v>2</v>
      </c>
      <c r="V49" s="100">
        <v>0</v>
      </c>
      <c r="W49" s="100">
        <v>0</v>
      </c>
      <c r="X49" s="100">
        <v>626.91299800000002</v>
      </c>
      <c r="Y49" s="100">
        <v>183.36264899999995</v>
      </c>
      <c r="Z49" s="112">
        <f t="shared" si="4"/>
        <v>1.1470000048789954</v>
      </c>
      <c r="AA49" s="107">
        <f t="shared" si="5"/>
        <v>4.8789954298911198E-9</v>
      </c>
      <c r="AC49" s="105" t="str">
        <f t="shared" si="6"/>
        <v>f12t3</v>
      </c>
      <c r="AD49" s="100">
        <v>18</v>
      </c>
      <c r="AE49" s="100">
        <v>12</v>
      </c>
      <c r="AF49" s="100">
        <v>3</v>
      </c>
      <c r="AG49" s="100">
        <v>0.255</v>
      </c>
    </row>
    <row r="50" spans="1:33" x14ac:dyDescent="0.3">
      <c r="A50" s="105" t="str">
        <f t="shared" si="2"/>
        <v>f8t4</v>
      </c>
      <c r="B50" s="109">
        <v>191</v>
      </c>
      <c r="C50" s="109">
        <v>8</v>
      </c>
      <c r="D50" s="109">
        <v>5</v>
      </c>
      <c r="E50" s="109">
        <v>4</v>
      </c>
      <c r="F50" s="109">
        <v>1E-3</v>
      </c>
      <c r="G50" s="109">
        <v>1</v>
      </c>
      <c r="H50" s="110">
        <v>41675.480023148149</v>
      </c>
      <c r="I50" s="111" t="s">
        <v>304</v>
      </c>
      <c r="J50" s="106">
        <f t="shared" si="0"/>
        <v>0</v>
      </c>
      <c r="L50" s="105" t="str">
        <f t="shared" si="1"/>
        <v>f21t3</v>
      </c>
      <c r="M50" s="25">
        <v>21</v>
      </c>
      <c r="N50" s="26"/>
      <c r="O50" s="25">
        <v>3</v>
      </c>
      <c r="P50" s="27">
        <v>1.2</v>
      </c>
      <c r="Q50" s="27"/>
      <c r="R50" s="105" t="str">
        <f t="shared" si="3"/>
        <v>f21t3</v>
      </c>
      <c r="S50" s="100">
        <v>191</v>
      </c>
      <c r="T50" s="100">
        <v>21</v>
      </c>
      <c r="U50" s="100">
        <v>3</v>
      </c>
      <c r="V50" s="100">
        <v>0</v>
      </c>
      <c r="W50" s="100">
        <v>0</v>
      </c>
      <c r="X50" s="100">
        <v>619.40159799999981</v>
      </c>
      <c r="Y50" s="100">
        <v>189.53688699999992</v>
      </c>
      <c r="Z50" s="112">
        <f t="shared" si="4"/>
        <v>1.1999999874135319</v>
      </c>
      <c r="AA50" s="107">
        <f t="shared" si="5"/>
        <v>-1.2586468089992309E-8</v>
      </c>
      <c r="AC50" s="105" t="str">
        <f t="shared" si="6"/>
        <v>f12t4</v>
      </c>
      <c r="AD50" s="100">
        <v>18</v>
      </c>
      <c r="AE50" s="100">
        <v>12</v>
      </c>
      <c r="AF50" s="100">
        <v>4</v>
      </c>
      <c r="AG50" s="100">
        <v>0.255</v>
      </c>
    </row>
    <row r="51" spans="1:33" x14ac:dyDescent="0.3">
      <c r="A51" s="105" t="str">
        <f t="shared" si="2"/>
        <v>f9t1</v>
      </c>
      <c r="B51" s="109">
        <v>191</v>
      </c>
      <c r="C51" s="109">
        <v>9</v>
      </c>
      <c r="D51" s="109">
        <v>2</v>
      </c>
      <c r="E51" s="109">
        <v>1</v>
      </c>
      <c r="F51" s="109">
        <v>0.111</v>
      </c>
      <c r="G51" s="109">
        <v>4.7653430199454998E-2</v>
      </c>
      <c r="H51" s="110">
        <v>41675.480023148149</v>
      </c>
      <c r="I51" s="111" t="s">
        <v>304</v>
      </c>
      <c r="J51" s="106">
        <f t="shared" si="0"/>
        <v>0</v>
      </c>
      <c r="L51" s="105" t="str">
        <f t="shared" si="1"/>
        <v>f22t2</v>
      </c>
      <c r="M51" s="25">
        <v>22</v>
      </c>
      <c r="N51" s="26"/>
      <c r="O51" s="25">
        <v>2</v>
      </c>
      <c r="P51" s="27">
        <v>0.66300000000000003</v>
      </c>
      <c r="Q51" s="27"/>
      <c r="R51" s="105" t="str">
        <f t="shared" si="3"/>
        <v>f22t2</v>
      </c>
      <c r="S51" s="100">
        <v>191</v>
      </c>
      <c r="T51" s="100">
        <v>22</v>
      </c>
      <c r="U51" s="100">
        <v>2</v>
      </c>
      <c r="V51" s="100">
        <v>10435.546381999997</v>
      </c>
      <c r="W51" s="100">
        <v>968.62741299999993</v>
      </c>
      <c r="X51" s="100">
        <v>1785.1472020000001</v>
      </c>
      <c r="Y51" s="100">
        <v>165.69736400000002</v>
      </c>
      <c r="Z51" s="112">
        <f t="shared" si="4"/>
        <v>0.66299999914262542</v>
      </c>
      <c r="AA51" s="107">
        <f t="shared" si="5"/>
        <v>-8.5737461574808549E-10</v>
      </c>
      <c r="AC51" s="105" t="str">
        <f t="shared" si="6"/>
        <v>f13t1</v>
      </c>
      <c r="AD51" s="100">
        <v>18</v>
      </c>
      <c r="AE51" s="100">
        <v>13</v>
      </c>
      <c r="AF51" s="100">
        <v>1</v>
      </c>
      <c r="AG51" s="100">
        <v>0.123</v>
      </c>
    </row>
    <row r="52" spans="1:33" x14ac:dyDescent="0.3">
      <c r="A52" s="105" t="str">
        <f t="shared" si="2"/>
        <v>f9t2</v>
      </c>
      <c r="B52" s="109">
        <v>191</v>
      </c>
      <c r="C52" s="109">
        <v>9</v>
      </c>
      <c r="D52" s="109">
        <v>2</v>
      </c>
      <c r="E52" s="109">
        <v>2</v>
      </c>
      <c r="F52" s="109">
        <v>0.111</v>
      </c>
      <c r="G52" s="109">
        <v>0.16913207125086499</v>
      </c>
      <c r="H52" s="110">
        <v>41675.480023148149</v>
      </c>
      <c r="I52" s="111" t="s">
        <v>304</v>
      </c>
      <c r="J52" s="106">
        <f t="shared" si="0"/>
        <v>0</v>
      </c>
      <c r="L52" s="105" t="str">
        <f t="shared" si="1"/>
        <v>f22t3</v>
      </c>
      <c r="M52" s="25">
        <v>22</v>
      </c>
      <c r="N52" s="26"/>
      <c r="O52" s="25">
        <v>3</v>
      </c>
      <c r="P52" s="27">
        <v>0.66300000000000003</v>
      </c>
      <c r="Q52" s="27"/>
      <c r="R52" s="105" t="str">
        <f t="shared" si="3"/>
        <v>f22t3</v>
      </c>
      <c r="S52" s="100">
        <v>191</v>
      </c>
      <c r="T52" s="100">
        <v>22</v>
      </c>
      <c r="U52" s="100">
        <v>3</v>
      </c>
      <c r="V52" s="100">
        <v>0</v>
      </c>
      <c r="W52" s="100">
        <v>0</v>
      </c>
      <c r="X52" s="100">
        <v>16526.052799000005</v>
      </c>
      <c r="Y52" s="100">
        <v>1533.94822</v>
      </c>
      <c r="Z52" s="112">
        <f t="shared" si="4"/>
        <v>0.66299999965285095</v>
      </c>
      <c r="AA52" s="107">
        <f t="shared" si="5"/>
        <v>-3.4714908725419491E-10</v>
      </c>
      <c r="AC52" s="105" t="str">
        <f t="shared" si="6"/>
        <v>f13t2</v>
      </c>
      <c r="AD52" s="100">
        <v>18</v>
      </c>
      <c r="AE52" s="100">
        <v>13</v>
      </c>
      <c r="AF52" s="100">
        <v>2</v>
      </c>
      <c r="AG52" s="100">
        <v>0.123</v>
      </c>
    </row>
    <row r="53" spans="1:33" x14ac:dyDescent="0.3">
      <c r="A53" s="105" t="str">
        <f t="shared" si="2"/>
        <v>f9t3</v>
      </c>
      <c r="B53" s="109">
        <v>191</v>
      </c>
      <c r="C53" s="109">
        <v>9</v>
      </c>
      <c r="D53" s="109">
        <v>2</v>
      </c>
      <c r="E53" s="109">
        <v>3</v>
      </c>
      <c r="F53" s="109">
        <v>0.111</v>
      </c>
      <c r="G53" s="109">
        <v>0.114166392063429</v>
      </c>
      <c r="H53" s="110">
        <v>41675.480023148149</v>
      </c>
      <c r="I53" s="111" t="s">
        <v>304</v>
      </c>
      <c r="J53" s="106">
        <f t="shared" si="0"/>
        <v>0</v>
      </c>
      <c r="L53" s="105" t="str">
        <f t="shared" si="1"/>
        <v>f26t2</v>
      </c>
      <c r="M53" s="25">
        <v>26</v>
      </c>
      <c r="N53" s="26"/>
      <c r="O53" s="25">
        <v>2</v>
      </c>
      <c r="P53" s="27">
        <v>4.4749999999999996</v>
      </c>
      <c r="Q53" s="27"/>
      <c r="R53" s="105" t="str">
        <f t="shared" si="3"/>
        <v>f23t3</v>
      </c>
      <c r="S53" s="100">
        <v>191</v>
      </c>
      <c r="T53" s="100">
        <v>23</v>
      </c>
      <c r="U53" s="100">
        <v>3</v>
      </c>
      <c r="V53" s="100">
        <v>0</v>
      </c>
      <c r="W53" s="100">
        <v>0</v>
      </c>
      <c r="X53" s="100">
        <v>319.81801899999999</v>
      </c>
      <c r="Y53" s="100">
        <v>0</v>
      </c>
      <c r="Z53" s="112">
        <f t="shared" si="4"/>
        <v>0</v>
      </c>
      <c r="AA53" s="107" t="e">
        <f t="shared" si="5"/>
        <v>#N/A</v>
      </c>
      <c r="AC53" s="105" t="str">
        <f t="shared" si="6"/>
        <v>f13t3</v>
      </c>
      <c r="AD53" s="100">
        <v>18</v>
      </c>
      <c r="AE53" s="100">
        <v>13</v>
      </c>
      <c r="AF53" s="100">
        <v>3</v>
      </c>
      <c r="AG53" s="100">
        <v>0.123</v>
      </c>
    </row>
    <row r="54" spans="1:33" x14ac:dyDescent="0.3">
      <c r="A54" s="105" t="str">
        <f t="shared" si="2"/>
        <v>f9t4</v>
      </c>
      <c r="B54" s="109">
        <v>191</v>
      </c>
      <c r="C54" s="109">
        <v>9</v>
      </c>
      <c r="D54" s="109">
        <v>2</v>
      </c>
      <c r="E54" s="109">
        <v>4</v>
      </c>
      <c r="F54" s="109">
        <v>0.111</v>
      </c>
      <c r="G54" s="109">
        <v>0.12784155955425799</v>
      </c>
      <c r="H54" s="110">
        <v>41675.480023148149</v>
      </c>
      <c r="I54" s="111" t="s">
        <v>304</v>
      </c>
      <c r="J54" s="106">
        <f t="shared" si="0"/>
        <v>0</v>
      </c>
      <c r="L54" s="105" t="str">
        <f t="shared" si="1"/>
        <v>f26t3</v>
      </c>
      <c r="M54" s="25">
        <v>26</v>
      </c>
      <c r="N54" s="26"/>
      <c r="O54" s="25">
        <v>3</v>
      </c>
      <c r="P54" s="27">
        <v>4.6820000000000004</v>
      </c>
      <c r="Q54" s="27"/>
      <c r="R54" s="105" t="str">
        <f t="shared" si="3"/>
        <v>f24t3</v>
      </c>
      <c r="S54" s="100">
        <v>191</v>
      </c>
      <c r="T54" s="100">
        <v>24</v>
      </c>
      <c r="U54" s="100">
        <v>3</v>
      </c>
      <c r="V54" s="100">
        <v>0</v>
      </c>
      <c r="W54" s="100">
        <v>0</v>
      </c>
      <c r="X54" s="100">
        <v>21.183695</v>
      </c>
      <c r="Y54" s="100">
        <v>0</v>
      </c>
      <c r="Z54" s="112">
        <f t="shared" si="4"/>
        <v>0</v>
      </c>
      <c r="AA54" s="107" t="e">
        <f t="shared" si="5"/>
        <v>#N/A</v>
      </c>
      <c r="AC54" s="105" t="str">
        <f t="shared" si="6"/>
        <v>f13t4</v>
      </c>
      <c r="AD54" s="100">
        <v>18</v>
      </c>
      <c r="AE54" s="100">
        <v>13</v>
      </c>
      <c r="AF54" s="100">
        <v>4</v>
      </c>
      <c r="AG54" s="100">
        <v>0.123</v>
      </c>
    </row>
    <row r="55" spans="1:33" x14ac:dyDescent="0.3">
      <c r="A55" s="105" t="str">
        <f t="shared" si="2"/>
        <v>f9t1</v>
      </c>
      <c r="B55" s="109">
        <v>191</v>
      </c>
      <c r="C55" s="109">
        <v>9</v>
      </c>
      <c r="D55" s="109">
        <v>3</v>
      </c>
      <c r="E55" s="109">
        <v>1</v>
      </c>
      <c r="F55" s="109">
        <v>0.111</v>
      </c>
      <c r="G55" s="109">
        <v>4.7653430199454998E-2</v>
      </c>
      <c r="H55" s="110">
        <v>41675.480023148149</v>
      </c>
      <c r="I55" s="111" t="s">
        <v>304</v>
      </c>
      <c r="J55" s="106">
        <f t="shared" si="0"/>
        <v>0</v>
      </c>
      <c r="L55" s="105" t="str">
        <f t="shared" si="1"/>
        <v>f27t2</v>
      </c>
      <c r="M55" s="25">
        <v>27</v>
      </c>
      <c r="N55" s="26"/>
      <c r="O55" s="25">
        <v>2</v>
      </c>
      <c r="P55" s="27">
        <v>2.5870000000000002</v>
      </c>
      <c r="Q55" s="27"/>
      <c r="R55" s="105" t="str">
        <f t="shared" si="3"/>
        <v>f25t3</v>
      </c>
      <c r="S55" s="100">
        <v>191</v>
      </c>
      <c r="T55" s="100">
        <v>25</v>
      </c>
      <c r="U55" s="100">
        <v>3</v>
      </c>
      <c r="V55" s="100">
        <v>0</v>
      </c>
      <c r="W55" s="100">
        <v>0</v>
      </c>
      <c r="X55" s="100">
        <v>3246.5907940000002</v>
      </c>
      <c r="Y55" s="100">
        <v>0</v>
      </c>
      <c r="Z55" s="112">
        <f t="shared" si="4"/>
        <v>0</v>
      </c>
      <c r="AA55" s="107" t="e">
        <f t="shared" si="5"/>
        <v>#N/A</v>
      </c>
      <c r="AC55" s="105" t="str">
        <f t="shared" si="6"/>
        <v>f14t1</v>
      </c>
      <c r="AD55" s="100">
        <v>18</v>
      </c>
      <c r="AE55" s="100">
        <v>14</v>
      </c>
      <c r="AF55" s="100">
        <v>1</v>
      </c>
      <c r="AG55" s="100">
        <v>0.123</v>
      </c>
    </row>
    <row r="56" spans="1:33" x14ac:dyDescent="0.3">
      <c r="A56" s="105" t="str">
        <f t="shared" si="2"/>
        <v>f9t2</v>
      </c>
      <c r="B56" s="109">
        <v>191</v>
      </c>
      <c r="C56" s="109">
        <v>9</v>
      </c>
      <c r="D56" s="109">
        <v>3</v>
      </c>
      <c r="E56" s="109">
        <v>2</v>
      </c>
      <c r="F56" s="109">
        <v>0.111</v>
      </c>
      <c r="G56" s="109">
        <v>0.16913207125086499</v>
      </c>
      <c r="H56" s="110">
        <v>41675.480023148149</v>
      </c>
      <c r="I56" s="111" t="s">
        <v>304</v>
      </c>
      <c r="J56" s="106">
        <f t="shared" si="0"/>
        <v>0</v>
      </c>
      <c r="L56" s="105" t="str">
        <f t="shared" si="1"/>
        <v>f27t3</v>
      </c>
      <c r="M56" s="25">
        <v>27</v>
      </c>
      <c r="N56" s="26"/>
      <c r="O56" s="25">
        <v>3</v>
      </c>
      <c r="P56" s="27">
        <v>2.5870000000000002</v>
      </c>
      <c r="Q56" s="27"/>
      <c r="R56" s="105" t="str">
        <f t="shared" si="3"/>
        <v>f26t2</v>
      </c>
      <c r="S56" s="100">
        <v>191</v>
      </c>
      <c r="T56" s="100">
        <v>26</v>
      </c>
      <c r="U56" s="100">
        <v>2</v>
      </c>
      <c r="V56" s="100">
        <v>0</v>
      </c>
      <c r="W56" s="100">
        <v>0</v>
      </c>
      <c r="X56" s="100">
        <v>7037.0000010000003</v>
      </c>
      <c r="Y56" s="100">
        <v>8030.0966269999999</v>
      </c>
      <c r="Z56" s="112">
        <f t="shared" si="4"/>
        <v>4.4750000004786328</v>
      </c>
      <c r="AA56" s="107">
        <f t="shared" si="5"/>
        <v>4.7863313312745959E-10</v>
      </c>
      <c r="AC56" s="105" t="str">
        <f t="shared" si="6"/>
        <v>f14t2</v>
      </c>
      <c r="AD56" s="100">
        <v>18</v>
      </c>
      <c r="AE56" s="100">
        <v>14</v>
      </c>
      <c r="AF56" s="100">
        <v>2</v>
      </c>
      <c r="AG56" s="100">
        <v>0.123</v>
      </c>
    </row>
    <row r="57" spans="1:33" x14ac:dyDescent="0.3">
      <c r="A57" s="105" t="str">
        <f t="shared" si="2"/>
        <v>f9t3</v>
      </c>
      <c r="B57" s="109">
        <v>191</v>
      </c>
      <c r="C57" s="109">
        <v>9</v>
      </c>
      <c r="D57" s="109">
        <v>3</v>
      </c>
      <c r="E57" s="109">
        <v>3</v>
      </c>
      <c r="F57" s="109">
        <v>0.111</v>
      </c>
      <c r="G57" s="109">
        <v>0.114166392063429</v>
      </c>
      <c r="H57" s="110">
        <v>41675.480023148149</v>
      </c>
      <c r="I57" s="111" t="s">
        <v>304</v>
      </c>
      <c r="J57" s="106">
        <f t="shared" si="0"/>
        <v>0</v>
      </c>
      <c r="L57" s="105" t="str">
        <f t="shared" si="1"/>
        <v>f30t1</v>
      </c>
      <c r="M57" s="25">
        <v>30</v>
      </c>
      <c r="N57" s="26"/>
      <c r="O57" s="25">
        <v>1</v>
      </c>
      <c r="P57" s="27">
        <v>0.47399999999999998</v>
      </c>
      <c r="Q57" s="27"/>
      <c r="R57" s="105" t="str">
        <f t="shared" si="3"/>
        <v>f26t3</v>
      </c>
      <c r="S57" s="100">
        <v>191</v>
      </c>
      <c r="T57" s="100">
        <v>26</v>
      </c>
      <c r="U57" s="100">
        <v>3</v>
      </c>
      <c r="V57" s="100">
        <v>0</v>
      </c>
      <c r="W57" s="100">
        <v>0</v>
      </c>
      <c r="X57" s="100">
        <v>1380.0000010000003</v>
      </c>
      <c r="Y57" s="100">
        <v>1647.5958010000002</v>
      </c>
      <c r="Z57" s="112">
        <f t="shared" si="4"/>
        <v>4.6819999994489621</v>
      </c>
      <c r="AA57" s="107">
        <f t="shared" si="5"/>
        <v>-5.510383260798335E-10</v>
      </c>
      <c r="AC57" s="105" t="str">
        <f t="shared" si="6"/>
        <v>f14t3</v>
      </c>
      <c r="AD57" s="100">
        <v>18</v>
      </c>
      <c r="AE57" s="100">
        <v>14</v>
      </c>
      <c r="AF57" s="100">
        <v>3</v>
      </c>
      <c r="AG57" s="100">
        <v>0.123</v>
      </c>
    </row>
    <row r="58" spans="1:33" x14ac:dyDescent="0.3">
      <c r="A58" s="105" t="str">
        <f t="shared" si="2"/>
        <v>f9t4</v>
      </c>
      <c r="B58" s="109">
        <v>191</v>
      </c>
      <c r="C58" s="109">
        <v>9</v>
      </c>
      <c r="D58" s="109">
        <v>3</v>
      </c>
      <c r="E58" s="109">
        <v>4</v>
      </c>
      <c r="F58" s="109">
        <v>0.111</v>
      </c>
      <c r="G58" s="109">
        <v>0.12784155955425799</v>
      </c>
      <c r="H58" s="110">
        <v>41675.480023148149</v>
      </c>
      <c r="I58" s="111" t="s">
        <v>304</v>
      </c>
      <c r="J58" s="106">
        <f t="shared" si="0"/>
        <v>0</v>
      </c>
      <c r="L58" s="105" t="str">
        <f t="shared" si="1"/>
        <v>f30t2</v>
      </c>
      <c r="M58" s="25">
        <v>30</v>
      </c>
      <c r="N58" s="26"/>
      <c r="O58" s="25">
        <v>2</v>
      </c>
      <c r="P58" s="27">
        <v>1.0860000000000001</v>
      </c>
      <c r="Q58" s="27"/>
      <c r="R58" s="105" t="str">
        <f t="shared" si="3"/>
        <v>f27t2</v>
      </c>
      <c r="S58" s="100">
        <v>191</v>
      </c>
      <c r="T58" s="100">
        <v>27</v>
      </c>
      <c r="U58" s="100">
        <v>2</v>
      </c>
      <c r="V58" s="100">
        <v>925.30405799999994</v>
      </c>
      <c r="W58" s="100">
        <v>335.126622</v>
      </c>
      <c r="X58" s="100">
        <v>502.50840100000011</v>
      </c>
      <c r="Y58" s="100">
        <v>181.99849399999999</v>
      </c>
      <c r="Z58" s="112">
        <f t="shared" si="4"/>
        <v>2.5869999979958349</v>
      </c>
      <c r="AA58" s="107">
        <f t="shared" si="5"/>
        <v>-2.0041652781799257E-9</v>
      </c>
      <c r="AC58" s="105" t="str">
        <f t="shared" si="6"/>
        <v>f14t4</v>
      </c>
      <c r="AD58" s="100">
        <v>18</v>
      </c>
      <c r="AE58" s="100">
        <v>14</v>
      </c>
      <c r="AF58" s="100">
        <v>4</v>
      </c>
      <c r="AG58" s="100">
        <v>0.123</v>
      </c>
    </row>
    <row r="59" spans="1:33" x14ac:dyDescent="0.3">
      <c r="A59" s="105" t="str">
        <f t="shared" si="2"/>
        <v>f9t1</v>
      </c>
      <c r="B59" s="109">
        <v>191</v>
      </c>
      <c r="C59" s="109">
        <v>9</v>
      </c>
      <c r="D59" s="109">
        <v>4</v>
      </c>
      <c r="E59" s="109">
        <v>1</v>
      </c>
      <c r="F59" s="109">
        <v>0.111</v>
      </c>
      <c r="G59" s="109">
        <v>4.7653430199454998E-2</v>
      </c>
      <c r="H59" s="110">
        <v>41675.480023148149</v>
      </c>
      <c r="I59" s="111" t="s">
        <v>304</v>
      </c>
      <c r="J59" s="106">
        <f t="shared" si="0"/>
        <v>0</v>
      </c>
      <c r="L59" s="105" t="str">
        <f t="shared" si="1"/>
        <v>f30t3</v>
      </c>
      <c r="M59" s="25">
        <v>30</v>
      </c>
      <c r="N59" s="26"/>
      <c r="O59" s="25">
        <v>3</v>
      </c>
      <c r="P59" s="27">
        <v>1.0860000000000001</v>
      </c>
      <c r="Q59" s="27"/>
      <c r="R59" s="105" t="str">
        <f t="shared" si="3"/>
        <v>f27t3</v>
      </c>
      <c r="S59" s="100">
        <v>191</v>
      </c>
      <c r="T59" s="100">
        <v>27</v>
      </c>
      <c r="U59" s="100">
        <v>3</v>
      </c>
      <c r="V59" s="100">
        <v>0</v>
      </c>
      <c r="W59" s="100">
        <v>0</v>
      </c>
      <c r="X59" s="100">
        <v>7344.2315980000012</v>
      </c>
      <c r="Y59" s="100">
        <v>2659.9337970000006</v>
      </c>
      <c r="Z59" s="112">
        <f t="shared" si="4"/>
        <v>2.586999996923105</v>
      </c>
      <c r="AA59" s="107">
        <f t="shared" si="5"/>
        <v>-3.076895183085071E-9</v>
      </c>
      <c r="AC59" s="105" t="str">
        <f t="shared" si="6"/>
        <v>f15t1</v>
      </c>
      <c r="AD59" s="100">
        <v>18</v>
      </c>
      <c r="AE59" s="100">
        <v>15</v>
      </c>
      <c r="AF59" s="100">
        <v>1</v>
      </c>
      <c r="AG59" s="100">
        <v>0.123</v>
      </c>
    </row>
    <row r="60" spans="1:33" x14ac:dyDescent="0.3">
      <c r="A60" s="105" t="str">
        <f t="shared" si="2"/>
        <v>f9t2</v>
      </c>
      <c r="B60" s="109">
        <v>191</v>
      </c>
      <c r="C60" s="109">
        <v>9</v>
      </c>
      <c r="D60" s="109">
        <v>4</v>
      </c>
      <c r="E60" s="109">
        <v>2</v>
      </c>
      <c r="F60" s="109">
        <v>0.111</v>
      </c>
      <c r="G60" s="109">
        <v>0.16913207125086499</v>
      </c>
      <c r="H60" s="110">
        <v>41675.480023148149</v>
      </c>
      <c r="I60" s="111" t="s">
        <v>304</v>
      </c>
      <c r="J60" s="106">
        <f t="shared" si="0"/>
        <v>0</v>
      </c>
      <c r="L60" s="105" t="str">
        <f t="shared" si="1"/>
        <v>f30t4</v>
      </c>
      <c r="M60" s="25">
        <v>30</v>
      </c>
      <c r="N60" s="26"/>
      <c r="O60" s="25">
        <v>4</v>
      </c>
      <c r="P60" s="27">
        <v>0.47399999999999998</v>
      </c>
      <c r="Q60" s="27"/>
      <c r="R60" s="105" t="str">
        <f t="shared" si="3"/>
        <v>f28t1</v>
      </c>
      <c r="S60" s="100">
        <v>191</v>
      </c>
      <c r="T60" s="100">
        <v>28</v>
      </c>
      <c r="U60" s="100">
        <v>1</v>
      </c>
      <c r="V60" s="100">
        <v>0</v>
      </c>
      <c r="W60" s="100">
        <v>0</v>
      </c>
      <c r="X60" s="100">
        <v>6382.4021919999996</v>
      </c>
      <c r="Y60" s="100">
        <v>0</v>
      </c>
      <c r="Z60" s="112">
        <f t="shared" si="4"/>
        <v>0</v>
      </c>
      <c r="AA60" s="107" t="e">
        <f t="shared" si="5"/>
        <v>#N/A</v>
      </c>
      <c r="AC60" s="105" t="str">
        <f t="shared" si="6"/>
        <v>f15t2</v>
      </c>
      <c r="AD60" s="100">
        <v>18</v>
      </c>
      <c r="AE60" s="100">
        <v>15</v>
      </c>
      <c r="AF60" s="100">
        <v>2</v>
      </c>
      <c r="AG60" s="100">
        <v>0.123</v>
      </c>
    </row>
    <row r="61" spans="1:33" x14ac:dyDescent="0.3">
      <c r="A61" s="105" t="str">
        <f t="shared" si="2"/>
        <v>f9t3</v>
      </c>
      <c r="B61" s="109">
        <v>191</v>
      </c>
      <c r="C61" s="109">
        <v>9</v>
      </c>
      <c r="D61" s="109">
        <v>4</v>
      </c>
      <c r="E61" s="109">
        <v>3</v>
      </c>
      <c r="F61" s="109">
        <v>0.111</v>
      </c>
      <c r="G61" s="109">
        <v>0.114166392063429</v>
      </c>
      <c r="H61" s="110">
        <v>41675.480023148149</v>
      </c>
      <c r="I61" s="111" t="s">
        <v>304</v>
      </c>
      <c r="J61" s="106">
        <f t="shared" si="0"/>
        <v>0</v>
      </c>
      <c r="L61" s="105" t="str">
        <f t="shared" si="1"/>
        <v>f31t2</v>
      </c>
      <c r="M61" s="25">
        <v>31</v>
      </c>
      <c r="N61" s="26"/>
      <c r="O61" s="25">
        <v>2</v>
      </c>
      <c r="P61" s="27">
        <v>0.58299999999999996</v>
      </c>
      <c r="Q61" s="27"/>
      <c r="R61" s="105" t="str">
        <f t="shared" si="3"/>
        <v>f28t3</v>
      </c>
      <c r="S61" s="100">
        <v>191</v>
      </c>
      <c r="T61" s="100">
        <v>28</v>
      </c>
      <c r="U61" s="100">
        <v>3</v>
      </c>
      <c r="V61" s="100">
        <v>0</v>
      </c>
      <c r="W61" s="100">
        <v>0</v>
      </c>
      <c r="X61" s="100">
        <v>271413.5467500001</v>
      </c>
      <c r="Y61" s="100">
        <v>0</v>
      </c>
      <c r="Z61" s="112">
        <f t="shared" si="4"/>
        <v>0</v>
      </c>
      <c r="AA61" s="107" t="e">
        <f t="shared" si="5"/>
        <v>#N/A</v>
      </c>
      <c r="AC61" s="105" t="str">
        <f t="shared" si="6"/>
        <v>f15t3</v>
      </c>
      <c r="AD61" s="100">
        <v>18</v>
      </c>
      <c r="AE61" s="100">
        <v>15</v>
      </c>
      <c r="AF61" s="100">
        <v>3</v>
      </c>
      <c r="AG61" s="100">
        <v>0.123</v>
      </c>
    </row>
    <row r="62" spans="1:33" x14ac:dyDescent="0.3">
      <c r="A62" s="105" t="str">
        <f t="shared" si="2"/>
        <v>f9t4</v>
      </c>
      <c r="B62" s="109">
        <v>191</v>
      </c>
      <c r="C62" s="109">
        <v>9</v>
      </c>
      <c r="D62" s="109">
        <v>4</v>
      </c>
      <c r="E62" s="109">
        <v>4</v>
      </c>
      <c r="F62" s="109">
        <v>0.111</v>
      </c>
      <c r="G62" s="109">
        <v>0.12784155955425799</v>
      </c>
      <c r="H62" s="110">
        <v>41675.480023148149</v>
      </c>
      <c r="I62" s="111" t="s">
        <v>304</v>
      </c>
      <c r="J62" s="106">
        <f t="shared" si="0"/>
        <v>0</v>
      </c>
      <c r="L62" s="105" t="str">
        <f t="shared" si="1"/>
        <v>f31t3</v>
      </c>
      <c r="M62" s="25">
        <v>31</v>
      </c>
      <c r="N62" s="26"/>
      <c r="O62" s="25">
        <v>3</v>
      </c>
      <c r="P62" s="27">
        <v>0.68899999999999995</v>
      </c>
      <c r="Q62" s="27"/>
      <c r="R62" s="105" t="str">
        <f t="shared" si="3"/>
        <v>f28t4</v>
      </c>
      <c r="S62" s="100">
        <v>191</v>
      </c>
      <c r="T62" s="100">
        <v>28</v>
      </c>
      <c r="U62" s="100">
        <v>4</v>
      </c>
      <c r="V62" s="100">
        <v>0</v>
      </c>
      <c r="W62" s="100">
        <v>0</v>
      </c>
      <c r="X62" s="100">
        <v>10047.298010999999</v>
      </c>
      <c r="Y62" s="100">
        <v>0</v>
      </c>
      <c r="Z62" s="112">
        <f t="shared" si="4"/>
        <v>0</v>
      </c>
      <c r="AA62" s="107" t="e">
        <f t="shared" si="5"/>
        <v>#N/A</v>
      </c>
      <c r="AC62" s="105" t="str">
        <f t="shared" si="6"/>
        <v>f15t4</v>
      </c>
      <c r="AD62" s="100">
        <v>18</v>
      </c>
      <c r="AE62" s="100">
        <v>15</v>
      </c>
      <c r="AF62" s="100">
        <v>4</v>
      </c>
      <c r="AG62" s="100">
        <v>0.123</v>
      </c>
    </row>
    <row r="63" spans="1:33" x14ac:dyDescent="0.3">
      <c r="A63" s="105" t="str">
        <f t="shared" si="2"/>
        <v>f9t1</v>
      </c>
      <c r="B63" s="109">
        <v>191</v>
      </c>
      <c r="C63" s="109">
        <v>9</v>
      </c>
      <c r="D63" s="109">
        <v>5</v>
      </c>
      <c r="E63" s="109">
        <v>1</v>
      </c>
      <c r="F63" s="109">
        <v>0.111</v>
      </c>
      <c r="G63" s="109">
        <v>4.7653430199454998E-2</v>
      </c>
      <c r="H63" s="110">
        <v>41675.480023148149</v>
      </c>
      <c r="I63" s="111" t="s">
        <v>304</v>
      </c>
      <c r="J63" s="106">
        <f t="shared" si="0"/>
        <v>0</v>
      </c>
      <c r="L63" s="105" t="str">
        <f t="shared" si="1"/>
        <v>f32t2</v>
      </c>
      <c r="M63" s="25">
        <v>32</v>
      </c>
      <c r="N63" s="26"/>
      <c r="O63" s="25">
        <v>2</v>
      </c>
      <c r="P63" s="27">
        <v>1.0860000000000001</v>
      </c>
      <c r="Q63" s="27"/>
      <c r="R63" s="105" t="str">
        <f t="shared" si="3"/>
        <v>f30t1</v>
      </c>
      <c r="S63" s="100">
        <v>191</v>
      </c>
      <c r="T63" s="100">
        <v>30</v>
      </c>
      <c r="U63" s="100">
        <v>1</v>
      </c>
      <c r="V63" s="100">
        <v>0</v>
      </c>
      <c r="W63" s="100">
        <v>0</v>
      </c>
      <c r="X63" s="100">
        <v>236.927583</v>
      </c>
      <c r="Y63" s="100">
        <v>28.637436999999995</v>
      </c>
      <c r="Z63" s="112">
        <f t="shared" si="4"/>
        <v>0.47400000070824971</v>
      </c>
      <c r="AA63" s="107">
        <f t="shared" si="5"/>
        <v>7.0824973663619062E-10</v>
      </c>
      <c r="AC63" s="105" t="str">
        <f t="shared" si="6"/>
        <v>f16t1</v>
      </c>
      <c r="AD63" s="100">
        <v>18</v>
      </c>
      <c r="AE63" s="100">
        <v>16</v>
      </c>
      <c r="AF63" s="100">
        <v>1</v>
      </c>
      <c r="AG63" s="100">
        <v>0.255</v>
      </c>
    </row>
    <row r="64" spans="1:33" x14ac:dyDescent="0.3">
      <c r="A64" s="105" t="str">
        <f t="shared" si="2"/>
        <v>f9t2</v>
      </c>
      <c r="B64" s="109">
        <v>191</v>
      </c>
      <c r="C64" s="109">
        <v>9</v>
      </c>
      <c r="D64" s="109">
        <v>5</v>
      </c>
      <c r="E64" s="109">
        <v>2</v>
      </c>
      <c r="F64" s="109">
        <v>0.111</v>
      </c>
      <c r="G64" s="109">
        <v>0.16913207125086499</v>
      </c>
      <c r="H64" s="110">
        <v>41675.480023148149</v>
      </c>
      <c r="I64" s="111" t="s">
        <v>304</v>
      </c>
      <c r="J64" s="106">
        <f t="shared" si="0"/>
        <v>0</v>
      </c>
      <c r="L64" s="105" t="str">
        <f t="shared" si="1"/>
        <v>f32t3</v>
      </c>
      <c r="M64" s="25">
        <v>32</v>
      </c>
      <c r="N64" s="26"/>
      <c r="O64" s="25">
        <v>3</v>
      </c>
      <c r="P64" s="27">
        <v>1.0860000000000001</v>
      </c>
      <c r="Q64" s="27"/>
      <c r="R64" s="105" t="str">
        <f t="shared" si="3"/>
        <v>f30t2</v>
      </c>
      <c r="S64" s="100">
        <v>191</v>
      </c>
      <c r="T64" s="100">
        <v>30</v>
      </c>
      <c r="U64" s="100">
        <v>2</v>
      </c>
      <c r="V64" s="100">
        <v>0</v>
      </c>
      <c r="W64" s="100">
        <v>0</v>
      </c>
      <c r="X64" s="100">
        <v>7088.6681559999997</v>
      </c>
      <c r="Y64" s="100">
        <v>1963.064873</v>
      </c>
      <c r="Z64" s="112">
        <f t="shared" si="4"/>
        <v>1.0860000003092039</v>
      </c>
      <c r="AA64" s="107">
        <f t="shared" si="5"/>
        <v>3.0920377369625385E-10</v>
      </c>
      <c r="AC64" s="105" t="str">
        <f t="shared" si="6"/>
        <v>f16t2</v>
      </c>
      <c r="AD64" s="100">
        <v>18</v>
      </c>
      <c r="AE64" s="100">
        <v>16</v>
      </c>
      <c r="AF64" s="100">
        <v>2</v>
      </c>
      <c r="AG64" s="100">
        <v>0.255</v>
      </c>
    </row>
    <row r="65" spans="1:33" x14ac:dyDescent="0.3">
      <c r="A65" s="105" t="str">
        <f t="shared" si="2"/>
        <v>f9t3</v>
      </c>
      <c r="B65" s="109">
        <v>191</v>
      </c>
      <c r="C65" s="109">
        <v>9</v>
      </c>
      <c r="D65" s="109">
        <v>5</v>
      </c>
      <c r="E65" s="109">
        <v>3</v>
      </c>
      <c r="F65" s="109">
        <v>0.111</v>
      </c>
      <c r="G65" s="109">
        <v>0.114166392063429</v>
      </c>
      <c r="H65" s="110">
        <v>41675.480023148149</v>
      </c>
      <c r="I65" s="111" t="s">
        <v>304</v>
      </c>
      <c r="J65" s="106">
        <f t="shared" si="0"/>
        <v>0</v>
      </c>
      <c r="L65" s="105" t="str">
        <f t="shared" si="1"/>
        <v>f33t2</v>
      </c>
      <c r="M65" s="25">
        <v>33</v>
      </c>
      <c r="N65" s="26"/>
      <c r="O65" s="25">
        <v>2</v>
      </c>
      <c r="P65" s="27">
        <v>0.58299999999999996</v>
      </c>
      <c r="Q65" s="27"/>
      <c r="R65" s="105" t="str">
        <f t="shared" si="3"/>
        <v>f30t3</v>
      </c>
      <c r="S65" s="100">
        <v>191</v>
      </c>
      <c r="T65" s="100">
        <v>30</v>
      </c>
      <c r="U65" s="100">
        <v>3</v>
      </c>
      <c r="V65" s="100">
        <v>0</v>
      </c>
      <c r="W65" s="100">
        <v>0</v>
      </c>
      <c r="X65" s="100">
        <v>29505.886954000001</v>
      </c>
      <c r="Y65" s="100">
        <v>8171.0652760000021</v>
      </c>
      <c r="Z65" s="112">
        <f t="shared" si="4"/>
        <v>1.0860000002430596</v>
      </c>
      <c r="AA65" s="107">
        <f t="shared" si="5"/>
        <v>2.4305957246895105E-10</v>
      </c>
      <c r="AC65" s="105" t="str">
        <f t="shared" si="6"/>
        <v>f16t3</v>
      </c>
      <c r="AD65" s="100">
        <v>18</v>
      </c>
      <c r="AE65" s="100">
        <v>16</v>
      </c>
      <c r="AF65" s="100">
        <v>3</v>
      </c>
      <c r="AG65" s="100">
        <v>0.255</v>
      </c>
    </row>
    <row r="66" spans="1:33" x14ac:dyDescent="0.3">
      <c r="A66" s="105" t="str">
        <f t="shared" si="2"/>
        <v>f9t4</v>
      </c>
      <c r="B66" s="109">
        <v>191</v>
      </c>
      <c r="C66" s="109">
        <v>9</v>
      </c>
      <c r="D66" s="109">
        <v>5</v>
      </c>
      <c r="E66" s="109">
        <v>4</v>
      </c>
      <c r="F66" s="109">
        <v>0.111</v>
      </c>
      <c r="G66" s="109">
        <v>0.12784155955425799</v>
      </c>
      <c r="H66" s="110">
        <v>41675.480023148149</v>
      </c>
      <c r="I66" s="111" t="s">
        <v>304</v>
      </c>
      <c r="J66" s="106">
        <f t="shared" si="0"/>
        <v>0</v>
      </c>
      <c r="L66" s="105" t="str">
        <f t="shared" si="1"/>
        <v>f33t3</v>
      </c>
      <c r="M66" s="25">
        <v>33</v>
      </c>
      <c r="N66" s="26"/>
      <c r="O66" s="25">
        <v>3</v>
      </c>
      <c r="P66" s="27">
        <v>0.68899999999999995</v>
      </c>
      <c r="Q66" s="27"/>
      <c r="R66" s="105" t="str">
        <f t="shared" si="3"/>
        <v>f30t4</v>
      </c>
      <c r="S66" s="100">
        <v>191</v>
      </c>
      <c r="T66" s="100">
        <v>30</v>
      </c>
      <c r="U66" s="100">
        <v>4</v>
      </c>
      <c r="V66" s="100">
        <v>0</v>
      </c>
      <c r="W66" s="100">
        <v>0</v>
      </c>
      <c r="X66" s="100">
        <v>602.80275700000004</v>
      </c>
      <c r="Y66" s="100">
        <v>72.860769000000033</v>
      </c>
      <c r="Z66" s="112">
        <f t="shared" si="4"/>
        <v>0.47399999844783902</v>
      </c>
      <c r="AA66" s="107">
        <f t="shared" si="5"/>
        <v>-1.552160955320403E-9</v>
      </c>
      <c r="AC66" s="105" t="str">
        <f t="shared" si="6"/>
        <v>f16t4</v>
      </c>
      <c r="AD66" s="100">
        <v>18</v>
      </c>
      <c r="AE66" s="100">
        <v>16</v>
      </c>
      <c r="AF66" s="100">
        <v>4</v>
      </c>
      <c r="AG66" s="100">
        <v>0.255</v>
      </c>
    </row>
    <row r="67" spans="1:33" x14ac:dyDescent="0.3">
      <c r="A67" s="105" t="str">
        <f t="shared" si="2"/>
        <v>f10t1</v>
      </c>
      <c r="B67" s="109">
        <v>191</v>
      </c>
      <c r="C67" s="109">
        <v>10</v>
      </c>
      <c r="D67" s="109">
        <v>2</v>
      </c>
      <c r="E67" s="109">
        <v>1</v>
      </c>
      <c r="F67" s="109">
        <v>0.105</v>
      </c>
      <c r="G67" s="109">
        <v>0.46659337122760097</v>
      </c>
      <c r="H67" s="110">
        <v>41675.480023148149</v>
      </c>
      <c r="I67" s="111" t="s">
        <v>304</v>
      </c>
      <c r="J67" s="106">
        <f t="shared" ref="J67:J99" si="7">F67-VLOOKUP(A67,L$3:P$100,5,FALSE)</f>
        <v>0</v>
      </c>
      <c r="L67" s="105" t="str">
        <f t="shared" ref="L67:L100" si="8">"f"&amp;M67&amp;"t"&amp;O67</f>
        <v>f34t2</v>
      </c>
      <c r="M67" s="25">
        <v>34</v>
      </c>
      <c r="N67" s="26"/>
      <c r="O67" s="25">
        <v>2</v>
      </c>
      <c r="P67" s="27">
        <v>0.36799999999999999</v>
      </c>
      <c r="Q67" s="27"/>
      <c r="R67" s="105" t="str">
        <f t="shared" si="3"/>
        <v>f31t2</v>
      </c>
      <c r="S67" s="100">
        <v>191</v>
      </c>
      <c r="T67" s="100">
        <v>31</v>
      </c>
      <c r="U67" s="100">
        <v>2</v>
      </c>
      <c r="V67" s="100">
        <v>0</v>
      </c>
      <c r="W67" s="100">
        <v>0</v>
      </c>
      <c r="X67" s="100">
        <v>26.460483999999997</v>
      </c>
      <c r="Y67" s="100">
        <v>2.1597050000000002</v>
      </c>
      <c r="Z67" s="112">
        <f t="shared" si="4"/>
        <v>0.58300007988192082</v>
      </c>
      <c r="AA67" s="107">
        <f t="shared" si="5"/>
        <v>7.9881920855839894E-8</v>
      </c>
      <c r="AC67" s="105" t="str">
        <f t="shared" si="6"/>
        <v>f17t1</v>
      </c>
      <c r="AD67" s="100">
        <v>18</v>
      </c>
      <c r="AE67" s="100">
        <v>17</v>
      </c>
      <c r="AF67" s="100">
        <v>1</v>
      </c>
      <c r="AG67" s="100">
        <v>0.255</v>
      </c>
    </row>
    <row r="68" spans="1:33" x14ac:dyDescent="0.3">
      <c r="A68" s="105" t="str">
        <f t="shared" ref="A68:A131" si="9">"f"&amp;C68&amp;"t"&amp;E68</f>
        <v>f10t2</v>
      </c>
      <c r="B68" s="109">
        <v>191</v>
      </c>
      <c r="C68" s="109">
        <v>10</v>
      </c>
      <c r="D68" s="109">
        <v>2</v>
      </c>
      <c r="E68" s="109">
        <v>2</v>
      </c>
      <c r="F68" s="109">
        <v>0.105</v>
      </c>
      <c r="G68" s="109">
        <v>0.28756935473675499</v>
      </c>
      <c r="H68" s="110">
        <v>41675.480023148149</v>
      </c>
      <c r="I68" s="111" t="s">
        <v>304</v>
      </c>
      <c r="J68" s="106">
        <f t="shared" si="7"/>
        <v>0</v>
      </c>
      <c r="L68" s="105" t="str">
        <f t="shared" si="8"/>
        <v>f34t3</v>
      </c>
      <c r="M68" s="25">
        <v>34</v>
      </c>
      <c r="N68" s="26"/>
      <c r="O68" s="25">
        <v>3</v>
      </c>
      <c r="P68" s="27">
        <v>0.6</v>
      </c>
      <c r="Q68" s="27"/>
      <c r="R68" s="105" t="str">
        <f t="shared" ref="R68:R131" si="10">"f"&amp;T68&amp;"t"&amp;U68</f>
        <v>f31t3</v>
      </c>
      <c r="S68" s="100">
        <v>191</v>
      </c>
      <c r="T68" s="100">
        <v>31</v>
      </c>
      <c r="U68" s="100">
        <v>3</v>
      </c>
      <c r="V68" s="100">
        <v>0</v>
      </c>
      <c r="W68" s="100">
        <v>0</v>
      </c>
      <c r="X68" s="100">
        <v>1623.0468250000001</v>
      </c>
      <c r="Y68" s="100">
        <v>156.55909999999994</v>
      </c>
      <c r="Z68" s="112">
        <f t="shared" ref="Z68:Z131" si="11">((Y68+W68)/VLOOKUP(R68,AC$3:AG$294,5,FALSE))/(X68+V68)</f>
        <v>0.68900001434911473</v>
      </c>
      <c r="AA68" s="107">
        <f t="shared" ref="AA68:AA131" si="12">Z68-VLOOKUP(R68,L$3:P$100,5,FALSE)</f>
        <v>1.4349114785261463E-8</v>
      </c>
      <c r="AC68" s="105" t="str">
        <f t="shared" ref="AC68:AC131" si="13">"f"&amp;AE68&amp;"t"&amp;AF68</f>
        <v>f17t2</v>
      </c>
      <c r="AD68" s="100">
        <v>18</v>
      </c>
      <c r="AE68" s="100">
        <v>17</v>
      </c>
      <c r="AF68" s="100">
        <v>2</v>
      </c>
      <c r="AG68" s="100">
        <v>0.255</v>
      </c>
    </row>
    <row r="69" spans="1:33" x14ac:dyDescent="0.3">
      <c r="A69" s="105" t="str">
        <f t="shared" si="9"/>
        <v>f10t3</v>
      </c>
      <c r="B69" s="109">
        <v>191</v>
      </c>
      <c r="C69" s="109">
        <v>10</v>
      </c>
      <c r="D69" s="109">
        <v>2</v>
      </c>
      <c r="E69" s="109">
        <v>3</v>
      </c>
      <c r="F69" s="109">
        <v>0.105</v>
      </c>
      <c r="G69" s="109">
        <v>0.41195097591857199</v>
      </c>
      <c r="H69" s="110">
        <v>41675.480023148149</v>
      </c>
      <c r="I69" s="111" t="s">
        <v>304</v>
      </c>
      <c r="J69" s="106">
        <f t="shared" si="7"/>
        <v>0</v>
      </c>
      <c r="L69" s="105" t="str">
        <f t="shared" si="8"/>
        <v>f35t1</v>
      </c>
      <c r="M69" s="25">
        <v>35</v>
      </c>
      <c r="N69" s="26"/>
      <c r="O69" s="25">
        <v>1</v>
      </c>
      <c r="P69" s="27">
        <v>0.92</v>
      </c>
      <c r="Q69" s="27"/>
      <c r="R69" s="105" t="str">
        <f t="shared" si="10"/>
        <v>f32t2</v>
      </c>
      <c r="S69" s="100">
        <v>191</v>
      </c>
      <c r="T69" s="100">
        <v>32</v>
      </c>
      <c r="U69" s="100">
        <v>2</v>
      </c>
      <c r="V69" s="100">
        <v>0</v>
      </c>
      <c r="W69" s="100">
        <v>0</v>
      </c>
      <c r="X69" s="100">
        <v>955.40074400000026</v>
      </c>
      <c r="Y69" s="100">
        <v>264.57912899999997</v>
      </c>
      <c r="Z69" s="112">
        <f t="shared" si="11"/>
        <v>1.0860000039571933</v>
      </c>
      <c r="AA69" s="107">
        <f t="shared" si="12"/>
        <v>3.9571932397564069E-9</v>
      </c>
      <c r="AC69" s="105" t="str">
        <f t="shared" si="13"/>
        <v>f17t3</v>
      </c>
      <c r="AD69" s="100">
        <v>18</v>
      </c>
      <c r="AE69" s="100">
        <v>17</v>
      </c>
      <c r="AF69" s="100">
        <v>3</v>
      </c>
      <c r="AG69" s="100">
        <v>0.255</v>
      </c>
    </row>
    <row r="70" spans="1:33" x14ac:dyDescent="0.3">
      <c r="A70" s="105" t="str">
        <f t="shared" si="9"/>
        <v>f10t4</v>
      </c>
      <c r="B70" s="109">
        <v>191</v>
      </c>
      <c r="C70" s="109">
        <v>10</v>
      </c>
      <c r="D70" s="109">
        <v>2</v>
      </c>
      <c r="E70" s="109">
        <v>4</v>
      </c>
      <c r="F70" s="109">
        <v>0.105</v>
      </c>
      <c r="G70" s="109">
        <v>0.59666597324607895</v>
      </c>
      <c r="H70" s="110">
        <v>41675.480023148149</v>
      </c>
      <c r="I70" s="111" t="s">
        <v>304</v>
      </c>
      <c r="J70" s="106">
        <f t="shared" si="7"/>
        <v>0</v>
      </c>
      <c r="L70" s="105" t="str">
        <f t="shared" si="8"/>
        <v>f35t2</v>
      </c>
      <c r="M70" s="25">
        <v>35</v>
      </c>
      <c r="N70" s="26"/>
      <c r="O70" s="25">
        <v>2</v>
      </c>
      <c r="P70" s="27">
        <v>0.61</v>
      </c>
      <c r="Q70" s="27"/>
      <c r="R70" s="105" t="str">
        <f t="shared" si="10"/>
        <v>f32t3</v>
      </c>
      <c r="S70" s="100">
        <v>191</v>
      </c>
      <c r="T70" s="100">
        <v>32</v>
      </c>
      <c r="U70" s="100">
        <v>3</v>
      </c>
      <c r="V70" s="100">
        <v>0</v>
      </c>
      <c r="W70" s="100">
        <v>0</v>
      </c>
      <c r="X70" s="100">
        <v>2238.7521910000005</v>
      </c>
      <c r="Y70" s="100">
        <v>619.97764399999994</v>
      </c>
      <c r="Z70" s="112">
        <f t="shared" si="11"/>
        <v>1.0859999995557221</v>
      </c>
      <c r="AA70" s="107">
        <f t="shared" si="12"/>
        <v>-4.4427794776424889E-10</v>
      </c>
      <c r="AC70" s="105" t="str">
        <f t="shared" si="13"/>
        <v>f17t4</v>
      </c>
      <c r="AD70" s="100">
        <v>18</v>
      </c>
      <c r="AE70" s="100">
        <v>17</v>
      </c>
      <c r="AF70" s="100">
        <v>4</v>
      </c>
      <c r="AG70" s="100">
        <v>0.255</v>
      </c>
    </row>
    <row r="71" spans="1:33" x14ac:dyDescent="0.3">
      <c r="A71" s="105" t="str">
        <f t="shared" si="9"/>
        <v>f10t1</v>
      </c>
      <c r="B71" s="109">
        <v>191</v>
      </c>
      <c r="C71" s="109">
        <v>10</v>
      </c>
      <c r="D71" s="109">
        <v>3</v>
      </c>
      <c r="E71" s="109">
        <v>1</v>
      </c>
      <c r="F71" s="109">
        <v>0.105</v>
      </c>
      <c r="G71" s="109">
        <v>0.46659337122760097</v>
      </c>
      <c r="H71" s="110">
        <v>41675.480023148149</v>
      </c>
      <c r="I71" s="111" t="s">
        <v>304</v>
      </c>
      <c r="J71" s="106">
        <f t="shared" si="7"/>
        <v>0</v>
      </c>
      <c r="L71" s="105" t="str">
        <f t="shared" si="8"/>
        <v>f35t3</v>
      </c>
      <c r="M71" s="25">
        <v>35</v>
      </c>
      <c r="N71" s="26"/>
      <c r="O71" s="25">
        <v>3</v>
      </c>
      <c r="P71" s="27">
        <v>0.495</v>
      </c>
      <c r="Q71" s="27"/>
      <c r="R71" s="105" t="str">
        <f t="shared" si="10"/>
        <v>f33t1</v>
      </c>
      <c r="S71" s="100">
        <v>191</v>
      </c>
      <c r="T71" s="100">
        <v>33</v>
      </c>
      <c r="U71" s="100">
        <v>1</v>
      </c>
      <c r="V71" s="100">
        <v>0</v>
      </c>
      <c r="W71" s="100">
        <v>0</v>
      </c>
      <c r="X71" s="100">
        <v>36.401851999999998</v>
      </c>
      <c r="Y71" s="100">
        <v>0</v>
      </c>
      <c r="Z71" s="112">
        <f t="shared" si="11"/>
        <v>0</v>
      </c>
      <c r="AA71" s="107" t="e">
        <f t="shared" si="12"/>
        <v>#N/A</v>
      </c>
      <c r="AC71" s="105" t="str">
        <f t="shared" si="13"/>
        <v>f18t1</v>
      </c>
      <c r="AD71" s="100">
        <v>18</v>
      </c>
      <c r="AE71" s="100">
        <v>18</v>
      </c>
      <c r="AF71" s="100">
        <v>1</v>
      </c>
      <c r="AG71" s="100">
        <v>0.14000000000000001</v>
      </c>
    </row>
    <row r="72" spans="1:33" x14ac:dyDescent="0.3">
      <c r="A72" s="105" t="str">
        <f t="shared" si="9"/>
        <v>f10t2</v>
      </c>
      <c r="B72" s="109">
        <v>191</v>
      </c>
      <c r="C72" s="109">
        <v>10</v>
      </c>
      <c r="D72" s="109">
        <v>3</v>
      </c>
      <c r="E72" s="109">
        <v>2</v>
      </c>
      <c r="F72" s="109">
        <v>0.105</v>
      </c>
      <c r="G72" s="109">
        <v>0.28756935473675499</v>
      </c>
      <c r="H72" s="110">
        <v>41675.480023148149</v>
      </c>
      <c r="I72" s="111" t="s">
        <v>304</v>
      </c>
      <c r="J72" s="106">
        <f t="shared" si="7"/>
        <v>0</v>
      </c>
      <c r="L72" s="105" t="str">
        <f t="shared" si="8"/>
        <v>f35t4</v>
      </c>
      <c r="M72" s="25">
        <v>35</v>
      </c>
      <c r="N72" s="26"/>
      <c r="O72" s="25">
        <v>4</v>
      </c>
      <c r="P72" s="27">
        <v>0.92</v>
      </c>
      <c r="Q72" s="27"/>
      <c r="R72" s="105" t="str">
        <f t="shared" si="10"/>
        <v>f33t2</v>
      </c>
      <c r="S72" s="100">
        <v>191</v>
      </c>
      <c r="T72" s="100">
        <v>33</v>
      </c>
      <c r="U72" s="100">
        <v>2</v>
      </c>
      <c r="V72" s="100">
        <v>0</v>
      </c>
      <c r="W72" s="100">
        <v>0</v>
      </c>
      <c r="X72" s="100">
        <v>1445.6032459999999</v>
      </c>
      <c r="Y72" s="100">
        <v>193.84093999999996</v>
      </c>
      <c r="Z72" s="112">
        <f t="shared" si="11"/>
        <v>0.58300000223724857</v>
      </c>
      <c r="AA72" s="107">
        <f t="shared" si="12"/>
        <v>2.2372486085942E-9</v>
      </c>
      <c r="AC72" s="105" t="str">
        <f t="shared" si="13"/>
        <v>f18t2</v>
      </c>
      <c r="AD72" s="100">
        <v>18</v>
      </c>
      <c r="AE72" s="100">
        <v>18</v>
      </c>
      <c r="AF72" s="100">
        <v>2</v>
      </c>
      <c r="AG72" s="100">
        <v>0.14000000000000001</v>
      </c>
    </row>
    <row r="73" spans="1:33" x14ac:dyDescent="0.3">
      <c r="A73" s="105" t="str">
        <f t="shared" si="9"/>
        <v>f10t3</v>
      </c>
      <c r="B73" s="109">
        <v>191</v>
      </c>
      <c r="C73" s="109">
        <v>10</v>
      </c>
      <c r="D73" s="109">
        <v>3</v>
      </c>
      <c r="E73" s="109">
        <v>3</v>
      </c>
      <c r="F73" s="109">
        <v>0.105</v>
      </c>
      <c r="G73" s="109">
        <v>0.41195097591857199</v>
      </c>
      <c r="H73" s="110">
        <v>41675.480023148149</v>
      </c>
      <c r="I73" s="111" t="s">
        <v>304</v>
      </c>
      <c r="J73" s="106">
        <f t="shared" si="7"/>
        <v>0</v>
      </c>
      <c r="L73" s="105" t="str">
        <f t="shared" si="8"/>
        <v>f36t1</v>
      </c>
      <c r="M73" s="25">
        <v>36</v>
      </c>
      <c r="N73" s="26"/>
      <c r="O73" s="25">
        <v>1</v>
      </c>
      <c r="P73" s="27">
        <v>0.29499999999999998</v>
      </c>
      <c r="Q73" s="27"/>
      <c r="R73" s="105" t="str">
        <f t="shared" si="10"/>
        <v>f33t3</v>
      </c>
      <c r="S73" s="100">
        <v>191</v>
      </c>
      <c r="T73" s="100">
        <v>33</v>
      </c>
      <c r="U73" s="100">
        <v>3</v>
      </c>
      <c r="V73" s="100">
        <v>0</v>
      </c>
      <c r="W73" s="100">
        <v>0</v>
      </c>
      <c r="X73" s="100">
        <v>1423.5336729999999</v>
      </c>
      <c r="Y73" s="100">
        <v>225.58738099999999</v>
      </c>
      <c r="Z73" s="112">
        <f t="shared" si="11"/>
        <v>0.68899999951037338</v>
      </c>
      <c r="AA73" s="107">
        <f t="shared" si="12"/>
        <v>-4.8962656151729789E-10</v>
      </c>
      <c r="AC73" s="105" t="str">
        <f t="shared" si="13"/>
        <v>f18t3</v>
      </c>
      <c r="AD73" s="100">
        <v>18</v>
      </c>
      <c r="AE73" s="100">
        <v>18</v>
      </c>
      <c r="AF73" s="100">
        <v>3</v>
      </c>
      <c r="AG73" s="100">
        <v>0.14000000000000001</v>
      </c>
    </row>
    <row r="74" spans="1:33" x14ac:dyDescent="0.3">
      <c r="A74" s="105" t="str">
        <f t="shared" si="9"/>
        <v>f10t4</v>
      </c>
      <c r="B74" s="109">
        <v>191</v>
      </c>
      <c r="C74" s="109">
        <v>10</v>
      </c>
      <c r="D74" s="109">
        <v>3</v>
      </c>
      <c r="E74" s="109">
        <v>4</v>
      </c>
      <c r="F74" s="109">
        <v>0.105</v>
      </c>
      <c r="G74" s="109">
        <v>0.59666597324607895</v>
      </c>
      <c r="H74" s="110">
        <v>41675.480023148149</v>
      </c>
      <c r="I74" s="111" t="s">
        <v>304</v>
      </c>
      <c r="J74" s="106">
        <f t="shared" si="7"/>
        <v>0</v>
      </c>
      <c r="L74" s="105" t="str">
        <f t="shared" si="8"/>
        <v>f36t3</v>
      </c>
      <c r="M74" s="25">
        <v>36</v>
      </c>
      <c r="N74" s="26"/>
      <c r="O74" s="25">
        <v>3</v>
      </c>
      <c r="P74" s="27">
        <v>0.6</v>
      </c>
      <c r="Q74" s="27"/>
      <c r="R74" s="105" t="str">
        <f t="shared" si="10"/>
        <v>f33t4</v>
      </c>
      <c r="S74" s="100">
        <v>191</v>
      </c>
      <c r="T74" s="100">
        <v>33</v>
      </c>
      <c r="U74" s="100">
        <v>4</v>
      </c>
      <c r="V74" s="100">
        <v>0</v>
      </c>
      <c r="W74" s="100">
        <v>0</v>
      </c>
      <c r="X74" s="100">
        <v>119.838005</v>
      </c>
      <c r="Y74" s="100">
        <v>0</v>
      </c>
      <c r="Z74" s="112">
        <f t="shared" si="11"/>
        <v>0</v>
      </c>
      <c r="AA74" s="107" t="e">
        <f t="shared" si="12"/>
        <v>#N/A</v>
      </c>
      <c r="AC74" s="105" t="str">
        <f t="shared" si="13"/>
        <v>f18t4</v>
      </c>
      <c r="AD74" s="100">
        <v>18</v>
      </c>
      <c r="AE74" s="100">
        <v>18</v>
      </c>
      <c r="AF74" s="100">
        <v>4</v>
      </c>
      <c r="AG74" s="100">
        <v>0.14000000000000001</v>
      </c>
    </row>
    <row r="75" spans="1:33" x14ac:dyDescent="0.3">
      <c r="A75" s="105" t="str">
        <f t="shared" si="9"/>
        <v>f10t1</v>
      </c>
      <c r="B75" s="109">
        <v>191</v>
      </c>
      <c r="C75" s="109">
        <v>10</v>
      </c>
      <c r="D75" s="109">
        <v>4</v>
      </c>
      <c r="E75" s="109">
        <v>1</v>
      </c>
      <c r="F75" s="109">
        <v>0.105</v>
      </c>
      <c r="G75" s="109">
        <v>0.46659337122760097</v>
      </c>
      <c r="H75" s="110">
        <v>41675.480023148149</v>
      </c>
      <c r="I75" s="111" t="s">
        <v>304</v>
      </c>
      <c r="J75" s="106">
        <f t="shared" si="7"/>
        <v>0</v>
      </c>
      <c r="L75" s="105" t="str">
        <f t="shared" si="8"/>
        <v>f36t4</v>
      </c>
      <c r="M75" s="25">
        <v>36</v>
      </c>
      <c r="N75" s="26"/>
      <c r="O75" s="25">
        <v>4</v>
      </c>
      <c r="P75" s="27">
        <v>0.29499999999999998</v>
      </c>
      <c r="Q75" s="27"/>
      <c r="R75" s="105" t="str">
        <f t="shared" si="10"/>
        <v>f34t2</v>
      </c>
      <c r="S75" s="100">
        <v>191</v>
      </c>
      <c r="T75" s="100">
        <v>34</v>
      </c>
      <c r="U75" s="100">
        <v>2</v>
      </c>
      <c r="V75" s="100">
        <v>0</v>
      </c>
      <c r="W75" s="100">
        <v>0</v>
      </c>
      <c r="X75" s="100">
        <v>43948.829891999994</v>
      </c>
      <c r="Y75" s="100">
        <v>4124.1581969999997</v>
      </c>
      <c r="Z75" s="112">
        <f t="shared" si="11"/>
        <v>0.36799999999417504</v>
      </c>
      <c r="AA75" s="107">
        <f t="shared" si="12"/>
        <v>-5.8249516321495776E-12</v>
      </c>
      <c r="AC75" s="105" t="str">
        <f t="shared" si="13"/>
        <v>f19t1</v>
      </c>
      <c r="AD75" s="100">
        <v>18</v>
      </c>
      <c r="AE75" s="100">
        <v>19</v>
      </c>
      <c r="AF75" s="100">
        <v>1</v>
      </c>
      <c r="AG75" s="100">
        <v>0.3</v>
      </c>
    </row>
    <row r="76" spans="1:33" x14ac:dyDescent="0.3">
      <c r="A76" s="105" t="str">
        <f t="shared" si="9"/>
        <v>f10t2</v>
      </c>
      <c r="B76" s="109">
        <v>191</v>
      </c>
      <c r="C76" s="109">
        <v>10</v>
      </c>
      <c r="D76" s="109">
        <v>4</v>
      </c>
      <c r="E76" s="109">
        <v>2</v>
      </c>
      <c r="F76" s="109">
        <v>0.105</v>
      </c>
      <c r="G76" s="109">
        <v>0.28756935473675499</v>
      </c>
      <c r="H76" s="110">
        <v>41675.480023148149</v>
      </c>
      <c r="I76" s="111" t="s">
        <v>304</v>
      </c>
      <c r="J76" s="106">
        <f t="shared" si="7"/>
        <v>0</v>
      </c>
      <c r="L76" s="105" t="str">
        <f t="shared" si="8"/>
        <v>f42t1</v>
      </c>
      <c r="M76" s="25">
        <v>42</v>
      </c>
      <c r="N76" s="26"/>
      <c r="O76" s="25">
        <v>1</v>
      </c>
      <c r="P76" s="27">
        <v>1.92</v>
      </c>
      <c r="Q76" s="27"/>
      <c r="R76" s="105" t="str">
        <f t="shared" si="10"/>
        <v>f34t3</v>
      </c>
      <c r="S76" s="100">
        <v>191</v>
      </c>
      <c r="T76" s="100">
        <v>34</v>
      </c>
      <c r="U76" s="100">
        <v>3</v>
      </c>
      <c r="V76" s="100">
        <v>0</v>
      </c>
      <c r="W76" s="100">
        <v>0</v>
      </c>
      <c r="X76" s="100">
        <v>70688.704222</v>
      </c>
      <c r="Y76" s="100">
        <v>10815.371744999999</v>
      </c>
      <c r="Z76" s="112">
        <f t="shared" si="11"/>
        <v>0.59999999994640951</v>
      </c>
      <c r="AA76" s="107">
        <f t="shared" si="12"/>
        <v>-5.3590465398656306E-11</v>
      </c>
      <c r="AC76" s="105" t="str">
        <f t="shared" si="13"/>
        <v>f19t2</v>
      </c>
      <c r="AD76" s="100">
        <v>18</v>
      </c>
      <c r="AE76" s="100">
        <v>19</v>
      </c>
      <c r="AF76" s="100">
        <v>2</v>
      </c>
      <c r="AG76" s="100">
        <v>0.3</v>
      </c>
    </row>
    <row r="77" spans="1:33" x14ac:dyDescent="0.3">
      <c r="A77" s="105" t="str">
        <f t="shared" si="9"/>
        <v>f10t3</v>
      </c>
      <c r="B77" s="109">
        <v>191</v>
      </c>
      <c r="C77" s="109">
        <v>10</v>
      </c>
      <c r="D77" s="109">
        <v>4</v>
      </c>
      <c r="E77" s="109">
        <v>3</v>
      </c>
      <c r="F77" s="109">
        <v>0.105</v>
      </c>
      <c r="G77" s="109">
        <v>0.41195097591857199</v>
      </c>
      <c r="H77" s="110">
        <v>41675.480023148149</v>
      </c>
      <c r="I77" s="111" t="s">
        <v>304</v>
      </c>
      <c r="J77" s="106">
        <f t="shared" si="7"/>
        <v>0</v>
      </c>
      <c r="L77" s="105" t="str">
        <f t="shared" si="8"/>
        <v>f42t3</v>
      </c>
      <c r="M77" s="25">
        <v>42</v>
      </c>
      <c r="N77" s="26"/>
      <c r="O77" s="25">
        <v>3</v>
      </c>
      <c r="P77" s="27">
        <v>0.80600000000000005</v>
      </c>
      <c r="Q77" s="27"/>
      <c r="R77" s="105" t="str">
        <f t="shared" si="10"/>
        <v>f35t1</v>
      </c>
      <c r="S77" s="100">
        <v>191</v>
      </c>
      <c r="T77" s="100">
        <v>35</v>
      </c>
      <c r="U77" s="100">
        <v>1</v>
      </c>
      <c r="V77" s="100">
        <v>0</v>
      </c>
      <c r="W77" s="100">
        <v>0</v>
      </c>
      <c r="X77" s="100">
        <v>26155.824315999998</v>
      </c>
      <c r="Y77" s="100">
        <v>5534.5724260000006</v>
      </c>
      <c r="Z77" s="112">
        <f t="shared" si="11"/>
        <v>0.92000000012207783</v>
      </c>
      <c r="AA77" s="107">
        <f t="shared" si="12"/>
        <v>1.220777923194305E-10</v>
      </c>
      <c r="AC77" s="105" t="str">
        <f t="shared" si="13"/>
        <v>f19t3</v>
      </c>
      <c r="AD77" s="100">
        <v>18</v>
      </c>
      <c r="AE77" s="100">
        <v>19</v>
      </c>
      <c r="AF77" s="100">
        <v>3</v>
      </c>
      <c r="AG77" s="100">
        <v>0.3</v>
      </c>
    </row>
    <row r="78" spans="1:33" x14ac:dyDescent="0.3">
      <c r="A78" s="105" t="str">
        <f t="shared" si="9"/>
        <v>f10t4</v>
      </c>
      <c r="B78" s="109">
        <v>191</v>
      </c>
      <c r="C78" s="109">
        <v>10</v>
      </c>
      <c r="D78" s="109">
        <v>4</v>
      </c>
      <c r="E78" s="109">
        <v>4</v>
      </c>
      <c r="F78" s="109">
        <v>0.105</v>
      </c>
      <c r="G78" s="109">
        <v>0.59666597324607895</v>
      </c>
      <c r="H78" s="110">
        <v>41675.480023148149</v>
      </c>
      <c r="I78" s="111" t="s">
        <v>304</v>
      </c>
      <c r="J78" s="106">
        <f t="shared" si="7"/>
        <v>0</v>
      </c>
      <c r="L78" s="105" t="str">
        <f t="shared" si="8"/>
        <v>f42t4</v>
      </c>
      <c r="M78" s="25">
        <v>42</v>
      </c>
      <c r="N78" s="26"/>
      <c r="O78" s="25">
        <v>4</v>
      </c>
      <c r="P78" s="27">
        <v>1.92</v>
      </c>
      <c r="Q78" s="27"/>
      <c r="R78" s="105" t="str">
        <f t="shared" si="10"/>
        <v>f35t2</v>
      </c>
      <c r="S78" s="100">
        <v>191</v>
      </c>
      <c r="T78" s="100">
        <v>35</v>
      </c>
      <c r="U78" s="100">
        <v>2</v>
      </c>
      <c r="V78" s="100">
        <v>0</v>
      </c>
      <c r="W78" s="100">
        <v>0</v>
      </c>
      <c r="X78" s="100">
        <v>20811.133659999996</v>
      </c>
      <c r="Y78" s="100">
        <v>2919.8020510000001</v>
      </c>
      <c r="Z78" s="112">
        <f t="shared" si="11"/>
        <v>0.60999999968704055</v>
      </c>
      <c r="AA78" s="107">
        <f t="shared" si="12"/>
        <v>-3.1295943614395583E-10</v>
      </c>
      <c r="AC78" s="105" t="str">
        <f t="shared" si="13"/>
        <v>f19t4</v>
      </c>
      <c r="AD78" s="100">
        <v>18</v>
      </c>
      <c r="AE78" s="100">
        <v>19</v>
      </c>
      <c r="AF78" s="100">
        <v>4</v>
      </c>
      <c r="AG78" s="100">
        <v>0.3</v>
      </c>
    </row>
    <row r="79" spans="1:33" x14ac:dyDescent="0.3">
      <c r="A79" s="105" t="str">
        <f t="shared" si="9"/>
        <v>f10t1</v>
      </c>
      <c r="B79" s="109">
        <v>191</v>
      </c>
      <c r="C79" s="109">
        <v>10</v>
      </c>
      <c r="D79" s="109">
        <v>5</v>
      </c>
      <c r="E79" s="109">
        <v>1</v>
      </c>
      <c r="F79" s="109">
        <v>0.105</v>
      </c>
      <c r="G79" s="109">
        <v>0.46659337122760097</v>
      </c>
      <c r="H79" s="110">
        <v>41675.480023148149</v>
      </c>
      <c r="I79" s="111" t="s">
        <v>304</v>
      </c>
      <c r="J79" s="106">
        <f t="shared" si="7"/>
        <v>0</v>
      </c>
      <c r="L79" s="105" t="str">
        <f t="shared" si="8"/>
        <v>f45t1</v>
      </c>
      <c r="M79" s="25">
        <v>45</v>
      </c>
      <c r="N79" s="26"/>
      <c r="O79" s="25">
        <v>1</v>
      </c>
      <c r="P79" s="27">
        <v>3.7519999999999998</v>
      </c>
      <c r="Q79" s="27"/>
      <c r="R79" s="105" t="str">
        <f t="shared" si="10"/>
        <v>f35t3</v>
      </c>
      <c r="S79" s="100">
        <v>191</v>
      </c>
      <c r="T79" s="100">
        <v>35</v>
      </c>
      <c r="U79" s="100">
        <v>3</v>
      </c>
      <c r="V79" s="100">
        <v>0</v>
      </c>
      <c r="W79" s="100">
        <v>0</v>
      </c>
      <c r="X79" s="100">
        <v>40560.023698000005</v>
      </c>
      <c r="Y79" s="100">
        <v>4617.758699</v>
      </c>
      <c r="Z79" s="112">
        <f t="shared" si="11"/>
        <v>0.49500000010534029</v>
      </c>
      <c r="AA79" s="107">
        <f t="shared" si="12"/>
        <v>1.0534029204478657E-10</v>
      </c>
      <c r="AC79" s="105" t="str">
        <f t="shared" si="13"/>
        <v>f20t1</v>
      </c>
      <c r="AD79" s="100">
        <v>18</v>
      </c>
      <c r="AE79" s="100">
        <v>20</v>
      </c>
      <c r="AF79" s="100">
        <v>1</v>
      </c>
      <c r="AG79" s="100">
        <v>0.255</v>
      </c>
    </row>
    <row r="80" spans="1:33" x14ac:dyDescent="0.3">
      <c r="A80" s="105" t="str">
        <f t="shared" si="9"/>
        <v>f10t2</v>
      </c>
      <c r="B80" s="109">
        <v>191</v>
      </c>
      <c r="C80" s="109">
        <v>10</v>
      </c>
      <c r="D80" s="109">
        <v>5</v>
      </c>
      <c r="E80" s="109">
        <v>2</v>
      </c>
      <c r="F80" s="109">
        <v>0.105</v>
      </c>
      <c r="G80" s="109">
        <v>0.28756935473675499</v>
      </c>
      <c r="H80" s="110">
        <v>41675.480023148149</v>
      </c>
      <c r="I80" s="111" t="s">
        <v>304</v>
      </c>
      <c r="J80" s="106">
        <f t="shared" si="7"/>
        <v>0</v>
      </c>
      <c r="L80" s="105" t="str">
        <f t="shared" si="8"/>
        <v>f45t4</v>
      </c>
      <c r="M80" s="25">
        <v>45</v>
      </c>
      <c r="N80" s="26"/>
      <c r="O80" s="25">
        <v>4</v>
      </c>
      <c r="P80" s="27">
        <v>3.7519999999999998</v>
      </c>
      <c r="Q80" s="27"/>
      <c r="R80" s="105" t="str">
        <f t="shared" si="10"/>
        <v>f35t4</v>
      </c>
      <c r="S80" s="100">
        <v>191</v>
      </c>
      <c r="T80" s="100">
        <v>35</v>
      </c>
      <c r="U80" s="100">
        <v>4</v>
      </c>
      <c r="V80" s="100">
        <v>0</v>
      </c>
      <c r="W80" s="100">
        <v>0</v>
      </c>
      <c r="X80" s="100">
        <v>20954.617181000001</v>
      </c>
      <c r="Y80" s="100">
        <v>4433.9969970000011</v>
      </c>
      <c r="Z80" s="112">
        <f t="shared" si="11"/>
        <v>0.92000000031131479</v>
      </c>
      <c r="AA80" s="107">
        <f t="shared" si="12"/>
        <v>3.1131475175527612E-10</v>
      </c>
      <c r="AC80" s="105" t="str">
        <f t="shared" si="13"/>
        <v>f20t2</v>
      </c>
      <c r="AD80" s="100">
        <v>18</v>
      </c>
      <c r="AE80" s="100">
        <v>20</v>
      </c>
      <c r="AF80" s="100">
        <v>2</v>
      </c>
      <c r="AG80" s="100">
        <v>0.255</v>
      </c>
    </row>
    <row r="81" spans="1:33" x14ac:dyDescent="0.3">
      <c r="A81" s="105" t="str">
        <f t="shared" si="9"/>
        <v>f10t3</v>
      </c>
      <c r="B81" s="109">
        <v>191</v>
      </c>
      <c r="C81" s="109">
        <v>10</v>
      </c>
      <c r="D81" s="109">
        <v>5</v>
      </c>
      <c r="E81" s="109">
        <v>3</v>
      </c>
      <c r="F81" s="109">
        <v>0.105</v>
      </c>
      <c r="G81" s="109">
        <v>0.41195097591857199</v>
      </c>
      <c r="H81" s="110">
        <v>41675.480023148149</v>
      </c>
      <c r="I81" s="111" t="s">
        <v>304</v>
      </c>
      <c r="J81" s="106">
        <f t="shared" si="7"/>
        <v>0</v>
      </c>
      <c r="L81" s="105" t="str">
        <f t="shared" si="8"/>
        <v>f53t1</v>
      </c>
      <c r="M81" s="25">
        <v>53</v>
      </c>
      <c r="N81" s="26"/>
      <c r="O81" s="25">
        <v>1</v>
      </c>
      <c r="P81" s="27">
        <v>2.4750000000000001</v>
      </c>
      <c r="Q81" s="27"/>
      <c r="R81" s="105" t="str">
        <f t="shared" si="10"/>
        <v>f36t1</v>
      </c>
      <c r="S81" s="100">
        <v>191</v>
      </c>
      <c r="T81" s="100">
        <v>36</v>
      </c>
      <c r="U81" s="100">
        <v>1</v>
      </c>
      <c r="V81" s="100">
        <v>3058.7966510000001</v>
      </c>
      <c r="W81" s="100">
        <v>180.46900000000002</v>
      </c>
      <c r="X81" s="100">
        <v>148.87498199999996</v>
      </c>
      <c r="Y81" s="100">
        <v>8.7836269999999974</v>
      </c>
      <c r="Z81" s="112">
        <f t="shared" si="11"/>
        <v>0.29500000101787227</v>
      </c>
      <c r="AA81" s="107">
        <f t="shared" si="12"/>
        <v>1.0178722864573331E-9</v>
      </c>
      <c r="AC81" s="105" t="str">
        <f t="shared" si="13"/>
        <v>f20t3</v>
      </c>
      <c r="AD81" s="100">
        <v>18</v>
      </c>
      <c r="AE81" s="100">
        <v>20</v>
      </c>
      <c r="AF81" s="100">
        <v>3</v>
      </c>
      <c r="AG81" s="100">
        <v>0.255</v>
      </c>
    </row>
    <row r="82" spans="1:33" x14ac:dyDescent="0.3">
      <c r="A82" s="105" t="str">
        <f t="shared" si="9"/>
        <v>f10t4</v>
      </c>
      <c r="B82" s="109">
        <v>191</v>
      </c>
      <c r="C82" s="109">
        <v>10</v>
      </c>
      <c r="D82" s="109">
        <v>5</v>
      </c>
      <c r="E82" s="109">
        <v>4</v>
      </c>
      <c r="F82" s="109">
        <v>0.105</v>
      </c>
      <c r="G82" s="109">
        <v>0.59666597324607895</v>
      </c>
      <c r="H82" s="110">
        <v>41675.480023148149</v>
      </c>
      <c r="I82" s="111" t="s">
        <v>304</v>
      </c>
      <c r="J82" s="106">
        <f t="shared" si="7"/>
        <v>0</v>
      </c>
      <c r="L82" s="105" t="str">
        <f t="shared" si="8"/>
        <v>f53t3</v>
      </c>
      <c r="M82" s="25">
        <v>53</v>
      </c>
      <c r="N82" s="26"/>
      <c r="O82" s="25">
        <v>3</v>
      </c>
      <c r="P82" s="27">
        <v>0.85899999999999999</v>
      </c>
      <c r="Q82" s="27"/>
      <c r="R82" s="105" t="str">
        <f t="shared" si="10"/>
        <v>f36t3</v>
      </c>
      <c r="S82" s="100">
        <v>191</v>
      </c>
      <c r="T82" s="100">
        <v>36</v>
      </c>
      <c r="U82" s="100">
        <v>3</v>
      </c>
      <c r="V82" s="100">
        <v>0</v>
      </c>
      <c r="W82" s="100">
        <v>0</v>
      </c>
      <c r="X82" s="100">
        <v>2587.9999990000001</v>
      </c>
      <c r="Y82" s="100">
        <v>310.56000000000006</v>
      </c>
      <c r="Z82" s="112">
        <f t="shared" si="11"/>
        <v>0.6000000002318393</v>
      </c>
      <c r="AA82" s="107">
        <f t="shared" si="12"/>
        <v>2.3183932551518183E-10</v>
      </c>
      <c r="AC82" s="105" t="str">
        <f t="shared" si="13"/>
        <v>f20t4</v>
      </c>
      <c r="AD82" s="100">
        <v>18</v>
      </c>
      <c r="AE82" s="100">
        <v>20</v>
      </c>
      <c r="AF82" s="100">
        <v>4</v>
      </c>
      <c r="AG82" s="100">
        <v>0.255</v>
      </c>
    </row>
    <row r="83" spans="1:33" x14ac:dyDescent="0.3">
      <c r="A83" s="105" t="str">
        <f t="shared" si="9"/>
        <v>f11t1</v>
      </c>
      <c r="B83" s="109">
        <v>191</v>
      </c>
      <c r="C83" s="109">
        <v>11</v>
      </c>
      <c r="D83" s="109">
        <v>2</v>
      </c>
      <c r="E83" s="109">
        <v>1</v>
      </c>
      <c r="F83" s="109">
        <v>0.2</v>
      </c>
      <c r="G83" s="109">
        <v>1</v>
      </c>
      <c r="H83" s="110">
        <v>41675.480023148149</v>
      </c>
      <c r="I83" s="111" t="s">
        <v>304</v>
      </c>
      <c r="J83" s="106">
        <f t="shared" si="7"/>
        <v>0</v>
      </c>
      <c r="L83" s="105" t="str">
        <f t="shared" si="8"/>
        <v>f53t4</v>
      </c>
      <c r="M83" s="25">
        <v>53</v>
      </c>
      <c r="N83" s="26"/>
      <c r="O83" s="25">
        <v>4</v>
      </c>
      <c r="P83" s="27">
        <v>2.4750000000000001</v>
      </c>
      <c r="Q83" s="27"/>
      <c r="R83" s="105" t="str">
        <f t="shared" si="10"/>
        <v>f36t4</v>
      </c>
      <c r="S83" s="100">
        <v>191</v>
      </c>
      <c r="T83" s="100">
        <v>36</v>
      </c>
      <c r="U83" s="100">
        <v>4</v>
      </c>
      <c r="V83" s="100">
        <v>4884.8074190000016</v>
      </c>
      <c r="W83" s="100">
        <v>288.20363200000003</v>
      </c>
      <c r="X83" s="100">
        <v>238.00149699999997</v>
      </c>
      <c r="Y83" s="100">
        <v>14.042091999999993</v>
      </c>
      <c r="Z83" s="112">
        <f t="shared" si="11"/>
        <v>0.2949999980050006</v>
      </c>
      <c r="AA83" s="107">
        <f t="shared" si="12"/>
        <v>-1.9949993879109229E-9</v>
      </c>
      <c r="AC83" s="105" t="str">
        <f t="shared" si="13"/>
        <v>f21t1</v>
      </c>
      <c r="AD83" s="100">
        <v>18</v>
      </c>
      <c r="AE83" s="100">
        <v>21</v>
      </c>
      <c r="AF83" s="100">
        <v>1</v>
      </c>
      <c r="AG83" s="100">
        <v>0.255</v>
      </c>
    </row>
    <row r="84" spans="1:33" x14ac:dyDescent="0.3">
      <c r="A84" s="105" t="str">
        <f t="shared" si="9"/>
        <v>f11t2</v>
      </c>
      <c r="B84" s="109">
        <v>191</v>
      </c>
      <c r="C84" s="109">
        <v>11</v>
      </c>
      <c r="D84" s="109">
        <v>2</v>
      </c>
      <c r="E84" s="109">
        <v>2</v>
      </c>
      <c r="F84" s="109">
        <v>0.2</v>
      </c>
      <c r="G84" s="109">
        <v>1</v>
      </c>
      <c r="H84" s="110">
        <v>41675.480023148149</v>
      </c>
      <c r="I84" s="111" t="s">
        <v>304</v>
      </c>
      <c r="J84" s="106">
        <f t="shared" si="7"/>
        <v>0</v>
      </c>
      <c r="L84" s="105" t="str">
        <f t="shared" si="8"/>
        <v>f54t1</v>
      </c>
      <c r="M84" s="25">
        <v>54</v>
      </c>
      <c r="N84" s="26"/>
      <c r="O84" s="25">
        <v>1</v>
      </c>
      <c r="P84" s="27">
        <v>0.64300000000000002</v>
      </c>
      <c r="Q84" s="27"/>
      <c r="R84" s="105" t="str">
        <f t="shared" si="10"/>
        <v>f37t3</v>
      </c>
      <c r="S84" s="100">
        <v>191</v>
      </c>
      <c r="T84" s="100">
        <v>37</v>
      </c>
      <c r="U84" s="100">
        <v>3</v>
      </c>
      <c r="V84" s="100">
        <v>514.692046</v>
      </c>
      <c r="W84" s="100">
        <v>0</v>
      </c>
      <c r="X84" s="100">
        <v>2854.9999950000001</v>
      </c>
      <c r="Y84" s="100">
        <v>0</v>
      </c>
      <c r="Z84" s="112">
        <f t="shared" si="11"/>
        <v>0</v>
      </c>
      <c r="AA84" s="107" t="e">
        <f t="shared" si="12"/>
        <v>#N/A</v>
      </c>
      <c r="AC84" s="105" t="str">
        <f t="shared" si="13"/>
        <v>f21t2</v>
      </c>
      <c r="AD84" s="100">
        <v>18</v>
      </c>
      <c r="AE84" s="100">
        <v>21</v>
      </c>
      <c r="AF84" s="100">
        <v>2</v>
      </c>
      <c r="AG84" s="100">
        <v>0.255</v>
      </c>
    </row>
    <row r="85" spans="1:33" x14ac:dyDescent="0.3">
      <c r="A85" s="105" t="str">
        <f t="shared" si="9"/>
        <v>f11t3</v>
      </c>
      <c r="B85" s="109">
        <v>191</v>
      </c>
      <c r="C85" s="109">
        <v>11</v>
      </c>
      <c r="D85" s="109">
        <v>2</v>
      </c>
      <c r="E85" s="109">
        <v>3</v>
      </c>
      <c r="F85" s="109">
        <v>0.2</v>
      </c>
      <c r="G85" s="109">
        <v>0.45192574242756001</v>
      </c>
      <c r="H85" s="110">
        <v>41675.480023148149</v>
      </c>
      <c r="I85" s="111" t="s">
        <v>304</v>
      </c>
      <c r="J85" s="106">
        <f t="shared" si="7"/>
        <v>0</v>
      </c>
      <c r="L85" s="105" t="str">
        <f t="shared" si="8"/>
        <v>f54t3</v>
      </c>
      <c r="M85" s="25">
        <v>54</v>
      </c>
      <c r="N85" s="26"/>
      <c r="O85" s="25">
        <v>3</v>
      </c>
      <c r="P85" s="27">
        <v>0.03</v>
      </c>
      <c r="Q85" s="27"/>
      <c r="R85" s="105" t="str">
        <f t="shared" si="10"/>
        <v>f37t4</v>
      </c>
      <c r="S85" s="100">
        <v>191</v>
      </c>
      <c r="T85" s="100">
        <v>37</v>
      </c>
      <c r="U85" s="100">
        <v>4</v>
      </c>
      <c r="V85" s="100">
        <v>0</v>
      </c>
      <c r="W85" s="100">
        <v>0</v>
      </c>
      <c r="X85" s="100">
        <v>58.999994000000001</v>
      </c>
      <c r="Y85" s="100">
        <v>0</v>
      </c>
      <c r="Z85" s="112">
        <f t="shared" si="11"/>
        <v>0</v>
      </c>
      <c r="AA85" s="107" t="e">
        <f t="shared" si="12"/>
        <v>#N/A</v>
      </c>
      <c r="AC85" s="105" t="str">
        <f t="shared" si="13"/>
        <v>f21t3</v>
      </c>
      <c r="AD85" s="100">
        <v>18</v>
      </c>
      <c r="AE85" s="100">
        <v>21</v>
      </c>
      <c r="AF85" s="100">
        <v>3</v>
      </c>
      <c r="AG85" s="100">
        <v>0.255</v>
      </c>
    </row>
    <row r="86" spans="1:33" x14ac:dyDescent="0.3">
      <c r="A86" s="105" t="str">
        <f t="shared" si="9"/>
        <v>f11t4</v>
      </c>
      <c r="B86" s="109">
        <v>191</v>
      </c>
      <c r="C86" s="109">
        <v>11</v>
      </c>
      <c r="D86" s="109">
        <v>2</v>
      </c>
      <c r="E86" s="109">
        <v>4</v>
      </c>
      <c r="F86" s="109">
        <v>0.2</v>
      </c>
      <c r="G86" s="109">
        <v>1</v>
      </c>
      <c r="H86" s="110">
        <v>41675.480023148149</v>
      </c>
      <c r="I86" s="111" t="s">
        <v>304</v>
      </c>
      <c r="J86" s="106">
        <f t="shared" si="7"/>
        <v>0</v>
      </c>
      <c r="L86" s="105" t="str">
        <f t="shared" si="8"/>
        <v>f54t4</v>
      </c>
      <c r="M86" s="25">
        <v>54</v>
      </c>
      <c r="N86" s="26"/>
      <c r="O86" s="25">
        <v>4</v>
      </c>
      <c r="P86" s="27">
        <v>0.64300000000000002</v>
      </c>
      <c r="Q86" s="27"/>
      <c r="R86" s="105" t="str">
        <f t="shared" si="10"/>
        <v>f38t1</v>
      </c>
      <c r="S86" s="100">
        <v>191</v>
      </c>
      <c r="T86" s="100">
        <v>38</v>
      </c>
      <c r="U86" s="100">
        <v>1</v>
      </c>
      <c r="V86" s="100">
        <v>0</v>
      </c>
      <c r="W86" s="100">
        <v>0</v>
      </c>
      <c r="X86" s="100">
        <v>2.9999960000000003</v>
      </c>
      <c r="Y86" s="100">
        <v>0</v>
      </c>
      <c r="Z86" s="112">
        <f t="shared" si="11"/>
        <v>0</v>
      </c>
      <c r="AA86" s="107" t="e">
        <f t="shared" si="12"/>
        <v>#N/A</v>
      </c>
      <c r="AC86" s="105" t="str">
        <f t="shared" si="13"/>
        <v>f21t4</v>
      </c>
      <c r="AD86" s="100">
        <v>18</v>
      </c>
      <c r="AE86" s="100">
        <v>21</v>
      </c>
      <c r="AF86" s="100">
        <v>4</v>
      </c>
      <c r="AG86" s="100">
        <v>0.255</v>
      </c>
    </row>
    <row r="87" spans="1:33" x14ac:dyDescent="0.3">
      <c r="A87" s="105" t="str">
        <f t="shared" si="9"/>
        <v>f11t1</v>
      </c>
      <c r="B87" s="109">
        <v>191</v>
      </c>
      <c r="C87" s="109">
        <v>11</v>
      </c>
      <c r="D87" s="109">
        <v>3</v>
      </c>
      <c r="E87" s="109">
        <v>1</v>
      </c>
      <c r="F87" s="109">
        <v>0.2</v>
      </c>
      <c r="G87" s="109">
        <v>1</v>
      </c>
      <c r="H87" s="110">
        <v>41675.480023148149</v>
      </c>
      <c r="I87" s="111" t="s">
        <v>304</v>
      </c>
      <c r="J87" s="106">
        <f t="shared" si="7"/>
        <v>0</v>
      </c>
      <c r="L87" s="105" t="str">
        <f t="shared" si="8"/>
        <v>f56t1</v>
      </c>
      <c r="M87" s="25">
        <v>56</v>
      </c>
      <c r="N87" s="26"/>
      <c r="O87" s="25">
        <v>1</v>
      </c>
      <c r="P87" s="27">
        <v>6.8719999999999999</v>
      </c>
      <c r="Q87" s="27"/>
      <c r="R87" s="105" t="str">
        <f t="shared" si="10"/>
        <v>f38t3</v>
      </c>
      <c r="S87" s="100">
        <v>191</v>
      </c>
      <c r="T87" s="100">
        <v>38</v>
      </c>
      <c r="U87" s="100">
        <v>3</v>
      </c>
      <c r="V87" s="100">
        <v>148.52299200000002</v>
      </c>
      <c r="W87" s="100">
        <v>0</v>
      </c>
      <c r="X87" s="100">
        <v>4669.9999950000001</v>
      </c>
      <c r="Y87" s="100">
        <v>0</v>
      </c>
      <c r="Z87" s="112">
        <f t="shared" si="11"/>
        <v>0</v>
      </c>
      <c r="AA87" s="107" t="e">
        <f t="shared" si="12"/>
        <v>#N/A</v>
      </c>
      <c r="AC87" s="105" t="str">
        <f t="shared" si="13"/>
        <v>f22t1</v>
      </c>
      <c r="AD87" s="100">
        <v>18</v>
      </c>
      <c r="AE87" s="100">
        <v>22</v>
      </c>
      <c r="AF87" s="100">
        <v>1</v>
      </c>
      <c r="AG87" s="100">
        <v>0.14000000000000001</v>
      </c>
    </row>
    <row r="88" spans="1:33" x14ac:dyDescent="0.3">
      <c r="A88" s="105" t="str">
        <f t="shared" si="9"/>
        <v>f11t2</v>
      </c>
      <c r="B88" s="109">
        <v>191</v>
      </c>
      <c r="C88" s="109">
        <v>11</v>
      </c>
      <c r="D88" s="109">
        <v>3</v>
      </c>
      <c r="E88" s="109">
        <v>2</v>
      </c>
      <c r="F88" s="109">
        <v>0.2</v>
      </c>
      <c r="G88" s="109">
        <v>1</v>
      </c>
      <c r="H88" s="110">
        <v>41675.480023148149</v>
      </c>
      <c r="I88" s="111" t="s">
        <v>304</v>
      </c>
      <c r="J88" s="106">
        <f t="shared" si="7"/>
        <v>0</v>
      </c>
      <c r="L88" s="105" t="str">
        <f t="shared" si="8"/>
        <v>f56t3</v>
      </c>
      <c r="M88" s="25">
        <v>56</v>
      </c>
      <c r="N88" s="26"/>
      <c r="O88" s="25">
        <v>3</v>
      </c>
      <c r="P88" s="27">
        <v>1.1739999999999999</v>
      </c>
      <c r="Q88" s="27"/>
      <c r="R88" s="105" t="str">
        <f t="shared" si="10"/>
        <v>f38t4</v>
      </c>
      <c r="S88" s="100">
        <v>191</v>
      </c>
      <c r="T88" s="100">
        <v>38</v>
      </c>
      <c r="U88" s="100">
        <v>4</v>
      </c>
      <c r="V88" s="100">
        <v>0</v>
      </c>
      <c r="W88" s="100">
        <v>0</v>
      </c>
      <c r="X88" s="100">
        <v>30.000000999999987</v>
      </c>
      <c r="Y88" s="100">
        <v>0</v>
      </c>
      <c r="Z88" s="112">
        <f t="shared" si="11"/>
        <v>0</v>
      </c>
      <c r="AA88" s="107" t="e">
        <f t="shared" si="12"/>
        <v>#N/A</v>
      </c>
      <c r="AC88" s="105" t="str">
        <f t="shared" si="13"/>
        <v>f22t2</v>
      </c>
      <c r="AD88" s="100">
        <v>18</v>
      </c>
      <c r="AE88" s="100">
        <v>22</v>
      </c>
      <c r="AF88" s="100">
        <v>2</v>
      </c>
      <c r="AG88" s="100">
        <v>0.14000000000000001</v>
      </c>
    </row>
    <row r="89" spans="1:33" x14ac:dyDescent="0.3">
      <c r="A89" s="105" t="str">
        <f t="shared" si="9"/>
        <v>f11t3</v>
      </c>
      <c r="B89" s="109">
        <v>191</v>
      </c>
      <c r="C89" s="109">
        <v>11</v>
      </c>
      <c r="D89" s="109">
        <v>3</v>
      </c>
      <c r="E89" s="109">
        <v>3</v>
      </c>
      <c r="F89" s="109">
        <v>0.2</v>
      </c>
      <c r="G89" s="109">
        <v>0.45192574242756001</v>
      </c>
      <c r="H89" s="110">
        <v>41675.480023148149</v>
      </c>
      <c r="I89" s="111" t="s">
        <v>304</v>
      </c>
      <c r="J89" s="106">
        <f t="shared" si="7"/>
        <v>0</v>
      </c>
      <c r="L89" s="105" t="str">
        <f t="shared" si="8"/>
        <v>f56t4</v>
      </c>
      <c r="M89" s="25">
        <v>56</v>
      </c>
      <c r="N89" s="26"/>
      <c r="O89" s="25">
        <v>4</v>
      </c>
      <c r="P89" s="27">
        <v>6.8719999999999999</v>
      </c>
      <c r="Q89" s="27"/>
      <c r="R89" s="105" t="str">
        <f t="shared" si="10"/>
        <v>f39t1</v>
      </c>
      <c r="S89" s="100">
        <v>191</v>
      </c>
      <c r="T89" s="100">
        <v>39</v>
      </c>
      <c r="U89" s="100">
        <v>1</v>
      </c>
      <c r="V89" s="100">
        <v>0</v>
      </c>
      <c r="W89" s="100">
        <v>0</v>
      </c>
      <c r="X89" s="100">
        <v>58.790241000000002</v>
      </c>
      <c r="Y89" s="100">
        <v>0</v>
      </c>
      <c r="Z89" s="112">
        <f t="shared" si="11"/>
        <v>0</v>
      </c>
      <c r="AA89" s="107" t="e">
        <f t="shared" si="12"/>
        <v>#N/A</v>
      </c>
      <c r="AC89" s="105" t="str">
        <f t="shared" si="13"/>
        <v>f22t3</v>
      </c>
      <c r="AD89" s="100">
        <v>18</v>
      </c>
      <c r="AE89" s="100">
        <v>22</v>
      </c>
      <c r="AF89" s="100">
        <v>3</v>
      </c>
      <c r="AG89" s="100">
        <v>0.14000000000000001</v>
      </c>
    </row>
    <row r="90" spans="1:33" x14ac:dyDescent="0.3">
      <c r="A90" s="105" t="str">
        <f t="shared" si="9"/>
        <v>f11t4</v>
      </c>
      <c r="B90" s="109">
        <v>191</v>
      </c>
      <c r="C90" s="109">
        <v>11</v>
      </c>
      <c r="D90" s="109">
        <v>3</v>
      </c>
      <c r="E90" s="109">
        <v>4</v>
      </c>
      <c r="F90" s="109">
        <v>0.2</v>
      </c>
      <c r="G90" s="109">
        <v>1</v>
      </c>
      <c r="H90" s="110">
        <v>41675.480023148149</v>
      </c>
      <c r="I90" s="111" t="s">
        <v>304</v>
      </c>
      <c r="J90" s="106">
        <f t="shared" si="7"/>
        <v>0</v>
      </c>
      <c r="L90" s="105" t="str">
        <f t="shared" si="8"/>
        <v>f57t1</v>
      </c>
      <c r="M90" s="25">
        <v>57</v>
      </c>
      <c r="N90" s="26"/>
      <c r="O90" s="25">
        <v>1</v>
      </c>
      <c r="P90" s="27">
        <v>1.81</v>
      </c>
      <c r="Q90" s="27"/>
      <c r="R90" s="105" t="str">
        <f t="shared" si="10"/>
        <v>f39t3</v>
      </c>
      <c r="S90" s="100">
        <v>191</v>
      </c>
      <c r="T90" s="100">
        <v>39</v>
      </c>
      <c r="U90" s="100">
        <v>3</v>
      </c>
      <c r="V90" s="100">
        <v>0</v>
      </c>
      <c r="W90" s="100">
        <v>0</v>
      </c>
      <c r="X90" s="100">
        <v>15931.988394000007</v>
      </c>
      <c r="Y90" s="100">
        <v>0</v>
      </c>
      <c r="Z90" s="112">
        <f t="shared" si="11"/>
        <v>0</v>
      </c>
      <c r="AA90" s="107" t="e">
        <f t="shared" si="12"/>
        <v>#N/A</v>
      </c>
      <c r="AC90" s="105" t="str">
        <f t="shared" si="13"/>
        <v>f22t4</v>
      </c>
      <c r="AD90" s="100">
        <v>18</v>
      </c>
      <c r="AE90" s="100">
        <v>22</v>
      </c>
      <c r="AF90" s="100">
        <v>4</v>
      </c>
      <c r="AG90" s="100">
        <v>0.14000000000000001</v>
      </c>
    </row>
    <row r="91" spans="1:33" x14ac:dyDescent="0.3">
      <c r="A91" s="105" t="str">
        <f t="shared" si="9"/>
        <v>f11t1</v>
      </c>
      <c r="B91" s="109">
        <v>191</v>
      </c>
      <c r="C91" s="109">
        <v>11</v>
      </c>
      <c r="D91" s="109">
        <v>4</v>
      </c>
      <c r="E91" s="109">
        <v>1</v>
      </c>
      <c r="F91" s="109">
        <v>0.2</v>
      </c>
      <c r="G91" s="109">
        <v>1</v>
      </c>
      <c r="H91" s="110">
        <v>41675.480023148149</v>
      </c>
      <c r="I91" s="111" t="s">
        <v>304</v>
      </c>
      <c r="J91" s="106">
        <f t="shared" si="7"/>
        <v>0</v>
      </c>
      <c r="L91" s="105" t="str">
        <f t="shared" si="8"/>
        <v>f57t2</v>
      </c>
      <c r="M91" s="25">
        <v>57</v>
      </c>
      <c r="N91" s="26"/>
      <c r="O91" s="25">
        <v>2</v>
      </c>
      <c r="P91" s="27">
        <v>0.64</v>
      </c>
      <c r="Q91" s="27"/>
      <c r="R91" s="105" t="str">
        <f t="shared" si="10"/>
        <v>f39t4</v>
      </c>
      <c r="S91" s="100">
        <v>191</v>
      </c>
      <c r="T91" s="100">
        <v>39</v>
      </c>
      <c r="U91" s="100">
        <v>4</v>
      </c>
      <c r="V91" s="100">
        <v>0</v>
      </c>
      <c r="W91" s="100">
        <v>0</v>
      </c>
      <c r="X91" s="100">
        <v>50.000000999999997</v>
      </c>
      <c r="Y91" s="100">
        <v>0</v>
      </c>
      <c r="Z91" s="112">
        <f t="shared" si="11"/>
        <v>0</v>
      </c>
      <c r="AA91" s="107" t="e">
        <f t="shared" si="12"/>
        <v>#N/A</v>
      </c>
      <c r="AC91" s="105" t="str">
        <f t="shared" si="13"/>
        <v>f23t1</v>
      </c>
      <c r="AD91" s="100">
        <v>18</v>
      </c>
      <c r="AE91" s="100">
        <v>23</v>
      </c>
      <c r="AF91" s="100">
        <v>1</v>
      </c>
      <c r="AG91" s="100">
        <v>0.3</v>
      </c>
    </row>
    <row r="92" spans="1:33" x14ac:dyDescent="0.3">
      <c r="A92" s="105" t="str">
        <f t="shared" si="9"/>
        <v>f11t2</v>
      </c>
      <c r="B92" s="109">
        <v>191</v>
      </c>
      <c r="C92" s="109">
        <v>11</v>
      </c>
      <c r="D92" s="109">
        <v>4</v>
      </c>
      <c r="E92" s="109">
        <v>2</v>
      </c>
      <c r="F92" s="109">
        <v>0.2</v>
      </c>
      <c r="G92" s="109">
        <v>1</v>
      </c>
      <c r="H92" s="110">
        <v>41675.480023148149</v>
      </c>
      <c r="I92" s="111" t="s">
        <v>304</v>
      </c>
      <c r="J92" s="106">
        <f t="shared" si="7"/>
        <v>0</v>
      </c>
      <c r="L92" s="105" t="str">
        <f t="shared" si="8"/>
        <v>f57t3</v>
      </c>
      <c r="M92" s="25">
        <v>57</v>
      </c>
      <c r="N92" s="26"/>
      <c r="O92" s="25">
        <v>3</v>
      </c>
      <c r="P92" s="27">
        <v>0.64</v>
      </c>
      <c r="Q92" s="27"/>
      <c r="R92" s="105" t="str">
        <f t="shared" si="10"/>
        <v>f40t1</v>
      </c>
      <c r="S92" s="100">
        <v>191</v>
      </c>
      <c r="T92" s="100">
        <v>40</v>
      </c>
      <c r="U92" s="100">
        <v>1</v>
      </c>
      <c r="V92" s="100">
        <v>0</v>
      </c>
      <c r="W92" s="100">
        <v>0</v>
      </c>
      <c r="X92" s="100">
        <v>55.866726999999997</v>
      </c>
      <c r="Y92" s="100">
        <v>0</v>
      </c>
      <c r="Z92" s="112">
        <f t="shared" si="11"/>
        <v>0</v>
      </c>
      <c r="AA92" s="107" t="e">
        <f t="shared" si="12"/>
        <v>#N/A</v>
      </c>
      <c r="AC92" s="105" t="str">
        <f t="shared" si="13"/>
        <v>f23t2</v>
      </c>
      <c r="AD92" s="100">
        <v>18</v>
      </c>
      <c r="AE92" s="100">
        <v>23</v>
      </c>
      <c r="AF92" s="100">
        <v>2</v>
      </c>
      <c r="AG92" s="100">
        <v>0.3</v>
      </c>
    </row>
    <row r="93" spans="1:33" x14ac:dyDescent="0.3">
      <c r="A93" s="105" t="str">
        <f t="shared" si="9"/>
        <v>f11t3</v>
      </c>
      <c r="B93" s="109">
        <v>191</v>
      </c>
      <c r="C93" s="109">
        <v>11</v>
      </c>
      <c r="D93" s="109">
        <v>4</v>
      </c>
      <c r="E93" s="109">
        <v>3</v>
      </c>
      <c r="F93" s="109">
        <v>0.2</v>
      </c>
      <c r="G93" s="109">
        <v>0.45192574242756001</v>
      </c>
      <c r="H93" s="110">
        <v>41675.480023148149</v>
      </c>
      <c r="I93" s="111" t="s">
        <v>304</v>
      </c>
      <c r="J93" s="106">
        <f t="shared" si="7"/>
        <v>0</v>
      </c>
      <c r="L93" s="105" t="str">
        <f t="shared" si="8"/>
        <v>f57t4</v>
      </c>
      <c r="M93" s="25">
        <v>57</v>
      </c>
      <c r="N93" s="26"/>
      <c r="O93" s="25">
        <v>4</v>
      </c>
      <c r="P93" s="27">
        <v>1.81</v>
      </c>
      <c r="Q93" s="27"/>
      <c r="R93" s="105" t="str">
        <f t="shared" si="10"/>
        <v>f40t3</v>
      </c>
      <c r="S93" s="100">
        <v>191</v>
      </c>
      <c r="T93" s="100">
        <v>40</v>
      </c>
      <c r="U93" s="100">
        <v>3</v>
      </c>
      <c r="V93" s="100">
        <v>0</v>
      </c>
      <c r="W93" s="100">
        <v>0</v>
      </c>
      <c r="X93" s="100">
        <v>12750.999999000001</v>
      </c>
      <c r="Y93" s="100">
        <v>0</v>
      </c>
      <c r="Z93" s="112">
        <f t="shared" si="11"/>
        <v>0</v>
      </c>
      <c r="AA93" s="107" t="e">
        <f t="shared" si="12"/>
        <v>#N/A</v>
      </c>
      <c r="AC93" s="105" t="str">
        <f t="shared" si="13"/>
        <v>f23t3</v>
      </c>
      <c r="AD93" s="100">
        <v>18</v>
      </c>
      <c r="AE93" s="100">
        <v>23</v>
      </c>
      <c r="AF93" s="100">
        <v>3</v>
      </c>
      <c r="AG93" s="100">
        <v>0.3</v>
      </c>
    </row>
    <row r="94" spans="1:33" x14ac:dyDescent="0.3">
      <c r="A94" s="105" t="str">
        <f t="shared" si="9"/>
        <v>f11t4</v>
      </c>
      <c r="B94" s="109">
        <v>191</v>
      </c>
      <c r="C94" s="109">
        <v>11</v>
      </c>
      <c r="D94" s="109">
        <v>4</v>
      </c>
      <c r="E94" s="109">
        <v>4</v>
      </c>
      <c r="F94" s="109">
        <v>0.2</v>
      </c>
      <c r="G94" s="109">
        <v>1</v>
      </c>
      <c r="H94" s="110">
        <v>41675.480023148149</v>
      </c>
      <c r="I94" s="111" t="s">
        <v>304</v>
      </c>
      <c r="J94" s="106">
        <f t="shared" si="7"/>
        <v>0</v>
      </c>
      <c r="L94" s="105" t="str">
        <f t="shared" si="8"/>
        <v>f64t1</v>
      </c>
      <c r="M94" s="25">
        <v>64</v>
      </c>
      <c r="N94" s="26"/>
      <c r="O94" s="25">
        <v>1</v>
      </c>
      <c r="P94" s="27">
        <v>3.226</v>
      </c>
      <c r="Q94" s="27"/>
      <c r="R94" s="105" t="str">
        <f t="shared" si="10"/>
        <v>f40t4</v>
      </c>
      <c r="S94" s="100">
        <v>191</v>
      </c>
      <c r="T94" s="100">
        <v>40</v>
      </c>
      <c r="U94" s="100">
        <v>4</v>
      </c>
      <c r="V94" s="100">
        <v>0</v>
      </c>
      <c r="W94" s="100">
        <v>0</v>
      </c>
      <c r="X94" s="100">
        <v>243.99999900000003</v>
      </c>
      <c r="Y94" s="100">
        <v>0</v>
      </c>
      <c r="Z94" s="112">
        <f t="shared" si="11"/>
        <v>0</v>
      </c>
      <c r="AA94" s="107" t="e">
        <f t="shared" si="12"/>
        <v>#N/A</v>
      </c>
      <c r="AC94" s="105" t="str">
        <f t="shared" si="13"/>
        <v>f23t4</v>
      </c>
      <c r="AD94" s="100">
        <v>18</v>
      </c>
      <c r="AE94" s="100">
        <v>23</v>
      </c>
      <c r="AF94" s="100">
        <v>4</v>
      </c>
      <c r="AG94" s="100">
        <v>0.3</v>
      </c>
    </row>
    <row r="95" spans="1:33" x14ac:dyDescent="0.3">
      <c r="A95" s="105" t="str">
        <f t="shared" si="9"/>
        <v>f11t1</v>
      </c>
      <c r="B95" s="109">
        <v>191</v>
      </c>
      <c r="C95" s="109">
        <v>11</v>
      </c>
      <c r="D95" s="109">
        <v>5</v>
      </c>
      <c r="E95" s="109">
        <v>1</v>
      </c>
      <c r="F95" s="109">
        <v>0.2</v>
      </c>
      <c r="G95" s="109">
        <v>1</v>
      </c>
      <c r="H95" s="110">
        <v>41675.480023148149</v>
      </c>
      <c r="I95" s="111" t="s">
        <v>304</v>
      </c>
      <c r="J95" s="106">
        <f t="shared" si="7"/>
        <v>0</v>
      </c>
      <c r="L95" s="105" t="str">
        <f t="shared" si="8"/>
        <v>f64t3</v>
      </c>
      <c r="M95" s="25">
        <v>64</v>
      </c>
      <c r="N95" s="26"/>
      <c r="O95" s="25">
        <v>3</v>
      </c>
      <c r="P95" s="27">
        <v>1.87</v>
      </c>
      <c r="Q95" s="27"/>
      <c r="R95" s="105" t="str">
        <f t="shared" si="10"/>
        <v>f41t2</v>
      </c>
      <c r="S95" s="100">
        <v>191</v>
      </c>
      <c r="T95" s="100">
        <v>41</v>
      </c>
      <c r="U95" s="100">
        <v>2</v>
      </c>
      <c r="V95" s="100">
        <v>0</v>
      </c>
      <c r="W95" s="100">
        <v>0</v>
      </c>
      <c r="X95" s="100">
        <v>499.99999799999995</v>
      </c>
      <c r="Y95" s="100">
        <v>47.94752299999999</v>
      </c>
      <c r="Z95" s="112">
        <f t="shared" si="11"/>
        <v>0.37605900542580462</v>
      </c>
      <c r="AA95" s="107" t="e">
        <f t="shared" si="12"/>
        <v>#N/A</v>
      </c>
      <c r="AC95" s="105" t="str">
        <f t="shared" si="13"/>
        <v>f24t1</v>
      </c>
      <c r="AD95" s="100">
        <v>18</v>
      </c>
      <c r="AE95" s="100">
        <v>24</v>
      </c>
      <c r="AF95" s="100">
        <v>1</v>
      </c>
      <c r="AG95" s="100">
        <v>0.3</v>
      </c>
    </row>
    <row r="96" spans="1:33" x14ac:dyDescent="0.3">
      <c r="A96" s="105" t="str">
        <f t="shared" si="9"/>
        <v>f11t2</v>
      </c>
      <c r="B96" s="109">
        <v>191</v>
      </c>
      <c r="C96" s="109">
        <v>11</v>
      </c>
      <c r="D96" s="109">
        <v>5</v>
      </c>
      <c r="E96" s="109">
        <v>2</v>
      </c>
      <c r="F96" s="109">
        <v>0.2</v>
      </c>
      <c r="G96" s="109">
        <v>1</v>
      </c>
      <c r="H96" s="110">
        <v>41675.480023148149</v>
      </c>
      <c r="I96" s="111" t="s">
        <v>304</v>
      </c>
      <c r="J96" s="106">
        <f t="shared" si="7"/>
        <v>0</v>
      </c>
      <c r="L96" s="105" t="str">
        <f t="shared" si="8"/>
        <v>f64t4</v>
      </c>
      <c r="M96" s="25">
        <v>64</v>
      </c>
      <c r="N96" s="26"/>
      <c r="O96" s="25">
        <v>4</v>
      </c>
      <c r="P96" s="27">
        <v>3.226</v>
      </c>
      <c r="Q96" s="27"/>
      <c r="R96" s="105" t="str">
        <f t="shared" si="10"/>
        <v>f41t3</v>
      </c>
      <c r="S96" s="100">
        <v>191</v>
      </c>
      <c r="T96" s="100">
        <v>41</v>
      </c>
      <c r="U96" s="100">
        <v>3</v>
      </c>
      <c r="V96" s="100">
        <v>0</v>
      </c>
      <c r="W96" s="100">
        <v>0</v>
      </c>
      <c r="X96" s="100">
        <v>350.00000100000005</v>
      </c>
      <c r="Y96" s="100">
        <v>60.16084899999997</v>
      </c>
      <c r="Z96" s="112">
        <f t="shared" si="11"/>
        <v>0.67407113532898399</v>
      </c>
      <c r="AA96" s="107" t="e">
        <f t="shared" si="12"/>
        <v>#N/A</v>
      </c>
      <c r="AC96" s="105" t="str">
        <f t="shared" si="13"/>
        <v>f24t2</v>
      </c>
      <c r="AD96" s="100">
        <v>18</v>
      </c>
      <c r="AE96" s="100">
        <v>24</v>
      </c>
      <c r="AF96" s="100">
        <v>2</v>
      </c>
      <c r="AG96" s="100">
        <v>0.3</v>
      </c>
    </row>
    <row r="97" spans="1:33" x14ac:dyDescent="0.3">
      <c r="A97" s="105" t="str">
        <f t="shared" si="9"/>
        <v>f11t3</v>
      </c>
      <c r="B97" s="109">
        <v>191</v>
      </c>
      <c r="C97" s="109">
        <v>11</v>
      </c>
      <c r="D97" s="109">
        <v>5</v>
      </c>
      <c r="E97" s="109">
        <v>3</v>
      </c>
      <c r="F97" s="109">
        <v>0.2</v>
      </c>
      <c r="G97" s="109">
        <v>0.45192574242756001</v>
      </c>
      <c r="H97" s="110">
        <v>41675.480023148149</v>
      </c>
      <c r="I97" s="111" t="s">
        <v>304</v>
      </c>
      <c r="J97" s="106">
        <f t="shared" si="7"/>
        <v>0</v>
      </c>
      <c r="L97" s="105" t="str">
        <f t="shared" si="8"/>
        <v>f67t1</v>
      </c>
      <c r="M97" s="25">
        <v>67</v>
      </c>
      <c r="N97" s="26"/>
      <c r="O97" s="25">
        <v>1</v>
      </c>
      <c r="P97" s="27">
        <v>9.3699999999999992</v>
      </c>
      <c r="Q97" s="27"/>
      <c r="R97" s="105" t="str">
        <f t="shared" si="10"/>
        <v>f41t4</v>
      </c>
      <c r="S97" s="100">
        <v>191</v>
      </c>
      <c r="T97" s="100">
        <v>41</v>
      </c>
      <c r="U97" s="100">
        <v>4</v>
      </c>
      <c r="V97" s="100">
        <v>0</v>
      </c>
      <c r="W97" s="100">
        <v>0</v>
      </c>
      <c r="X97" s="100">
        <v>537.00000099999988</v>
      </c>
      <c r="Y97" s="100">
        <v>32.992674000000001</v>
      </c>
      <c r="Z97" s="112">
        <f t="shared" si="11"/>
        <v>0.24093675056458275</v>
      </c>
      <c r="AA97" s="107" t="e">
        <f t="shared" si="12"/>
        <v>#N/A</v>
      </c>
      <c r="AC97" s="105" t="str">
        <f t="shared" si="13"/>
        <v>f24t3</v>
      </c>
      <c r="AD97" s="100">
        <v>18</v>
      </c>
      <c r="AE97" s="100">
        <v>24</v>
      </c>
      <c r="AF97" s="100">
        <v>3</v>
      </c>
      <c r="AG97" s="100">
        <v>0.3</v>
      </c>
    </row>
    <row r="98" spans="1:33" x14ac:dyDescent="0.3">
      <c r="A98" s="105" t="str">
        <f t="shared" si="9"/>
        <v>f11t4</v>
      </c>
      <c r="B98" s="109">
        <v>191</v>
      </c>
      <c r="C98" s="109">
        <v>11</v>
      </c>
      <c r="D98" s="109">
        <v>5</v>
      </c>
      <c r="E98" s="109">
        <v>4</v>
      </c>
      <c r="F98" s="109">
        <v>0.2</v>
      </c>
      <c r="G98" s="109">
        <v>1</v>
      </c>
      <c r="H98" s="110">
        <v>41675.480023148149</v>
      </c>
      <c r="I98" s="111" t="s">
        <v>304</v>
      </c>
      <c r="J98" s="106">
        <f t="shared" si="7"/>
        <v>0</v>
      </c>
      <c r="L98" s="105" t="str">
        <f t="shared" si="8"/>
        <v>f67t2</v>
      </c>
      <c r="M98" s="25">
        <v>67</v>
      </c>
      <c r="N98" s="26"/>
      <c r="O98" s="25">
        <v>2</v>
      </c>
      <c r="P98" s="27">
        <v>1.47</v>
      </c>
      <c r="Q98" s="27"/>
      <c r="R98" s="105" t="str">
        <f t="shared" si="10"/>
        <v>f42t1</v>
      </c>
      <c r="S98" s="100">
        <v>191</v>
      </c>
      <c r="T98" s="100">
        <v>42</v>
      </c>
      <c r="U98" s="100">
        <v>1</v>
      </c>
      <c r="V98" s="100">
        <v>0</v>
      </c>
      <c r="W98" s="100">
        <v>0</v>
      </c>
      <c r="X98" s="100">
        <v>686.49778200000026</v>
      </c>
      <c r="Y98" s="100">
        <v>263.6151450000001</v>
      </c>
      <c r="Z98" s="112">
        <f t="shared" si="11"/>
        <v>1.9199999760523623</v>
      </c>
      <c r="AA98" s="107">
        <f t="shared" si="12"/>
        <v>-2.3947637650678644E-8</v>
      </c>
      <c r="AC98" s="105" t="str">
        <f t="shared" si="13"/>
        <v>f24t4</v>
      </c>
      <c r="AD98" s="100">
        <v>18</v>
      </c>
      <c r="AE98" s="100">
        <v>24</v>
      </c>
      <c r="AF98" s="100">
        <v>4</v>
      </c>
      <c r="AG98" s="100">
        <v>0.3</v>
      </c>
    </row>
    <row r="99" spans="1:33" x14ac:dyDescent="0.3">
      <c r="A99" s="105" t="str">
        <f t="shared" si="9"/>
        <v>f13t1</v>
      </c>
      <c r="B99" s="109">
        <v>191</v>
      </c>
      <c r="C99" s="109">
        <v>13</v>
      </c>
      <c r="D99" s="109">
        <v>2</v>
      </c>
      <c r="E99" s="109">
        <v>1</v>
      </c>
      <c r="F99" s="109">
        <v>0.61199999999999999</v>
      </c>
      <c r="G99" s="109">
        <v>5.3892310846533098</v>
      </c>
      <c r="H99" s="110">
        <v>41675.480023148149</v>
      </c>
      <c r="I99" s="111" t="s">
        <v>304</v>
      </c>
      <c r="J99" s="106">
        <f t="shared" si="7"/>
        <v>0</v>
      </c>
      <c r="L99" s="105" t="str">
        <f t="shared" si="8"/>
        <v>f67t3</v>
      </c>
      <c r="M99">
        <v>67</v>
      </c>
      <c r="O99">
        <v>3</v>
      </c>
      <c r="P99">
        <v>1.47</v>
      </c>
      <c r="R99" s="105" t="str">
        <f t="shared" si="10"/>
        <v>f42t3</v>
      </c>
      <c r="S99" s="100">
        <v>191</v>
      </c>
      <c r="T99" s="100">
        <v>42</v>
      </c>
      <c r="U99" s="100">
        <v>3</v>
      </c>
      <c r="V99" s="100">
        <v>8962.0889219999972</v>
      </c>
      <c r="W99" s="100">
        <v>1444.6887349999995</v>
      </c>
      <c r="X99" s="100">
        <v>0</v>
      </c>
      <c r="Y99" s="100">
        <v>0</v>
      </c>
      <c r="Z99" s="112">
        <f t="shared" si="11"/>
        <v>0.8060000004315957</v>
      </c>
      <c r="AA99" s="107">
        <f t="shared" si="12"/>
        <v>4.315956481093508E-10</v>
      </c>
      <c r="AC99" s="105" t="str">
        <f t="shared" si="13"/>
        <v>f25t1</v>
      </c>
      <c r="AD99" s="100">
        <v>18</v>
      </c>
      <c r="AE99" s="100">
        <v>25</v>
      </c>
      <c r="AF99" s="100">
        <v>1</v>
      </c>
      <c r="AG99" s="100">
        <v>0.3</v>
      </c>
    </row>
    <row r="100" spans="1:33" x14ac:dyDescent="0.3">
      <c r="A100" s="105" t="str">
        <f t="shared" si="9"/>
        <v>f13t2</v>
      </c>
      <c r="B100" s="109">
        <v>191</v>
      </c>
      <c r="C100" s="109">
        <v>13</v>
      </c>
      <c r="D100" s="109">
        <v>2</v>
      </c>
      <c r="E100" s="109">
        <v>2</v>
      </c>
      <c r="F100" s="109">
        <v>0.61199999999999999</v>
      </c>
      <c r="G100" s="109">
        <v>13.763160810886699</v>
      </c>
      <c r="H100" s="110">
        <v>41675.480023148149</v>
      </c>
      <c r="I100" s="111" t="s">
        <v>304</v>
      </c>
      <c r="J100" s="106">
        <f>F100-VLOOKUP(A100,L$3:P$100,5,FALSE)</f>
        <v>0</v>
      </c>
      <c r="L100" s="105" t="str">
        <f t="shared" si="8"/>
        <v>f67t4</v>
      </c>
      <c r="M100">
        <v>67</v>
      </c>
      <c r="O100">
        <v>4</v>
      </c>
      <c r="P100">
        <v>9.3699999999999992</v>
      </c>
      <c r="R100" s="105" t="str">
        <f t="shared" si="10"/>
        <v>f42t4</v>
      </c>
      <c r="S100" s="100">
        <v>191</v>
      </c>
      <c r="T100" s="100">
        <v>42</v>
      </c>
      <c r="U100" s="100">
        <v>4</v>
      </c>
      <c r="V100" s="100">
        <v>0</v>
      </c>
      <c r="W100" s="100">
        <v>0</v>
      </c>
      <c r="X100" s="100">
        <v>732.2468809999998</v>
      </c>
      <c r="Y100" s="100">
        <v>281.18280000000004</v>
      </c>
      <c r="Z100" s="112">
        <f t="shared" si="11"/>
        <v>1.9199999842676019</v>
      </c>
      <c r="AA100" s="107">
        <f t="shared" si="12"/>
        <v>-1.5732398050971597E-8</v>
      </c>
      <c r="AC100" s="105" t="str">
        <f t="shared" si="13"/>
        <v>f25t2</v>
      </c>
      <c r="AD100" s="100">
        <v>18</v>
      </c>
      <c r="AE100" s="100">
        <v>25</v>
      </c>
      <c r="AF100" s="100">
        <v>2</v>
      </c>
      <c r="AG100" s="100">
        <v>0.3</v>
      </c>
    </row>
    <row r="101" spans="1:33" x14ac:dyDescent="0.3">
      <c r="A101" s="105" t="str">
        <f t="shared" si="9"/>
        <v>f13t3</v>
      </c>
      <c r="B101" s="109">
        <v>191</v>
      </c>
      <c r="C101" s="109">
        <v>13</v>
      </c>
      <c r="D101" s="109">
        <v>2</v>
      </c>
      <c r="E101" s="109">
        <v>3</v>
      </c>
      <c r="F101" s="109">
        <v>0.61199999999999999</v>
      </c>
      <c r="G101" s="109">
        <v>8.7474859408913996</v>
      </c>
      <c r="H101" s="110">
        <v>41675.480023148149</v>
      </c>
      <c r="I101" s="111" t="s">
        <v>304</v>
      </c>
      <c r="J101" s="106">
        <f t="shared" ref="J101:J164" si="14">F101-VLOOKUP(A101,L$3:P$100,5,FALSE)</f>
        <v>0</v>
      </c>
      <c r="R101" s="105" t="str">
        <f t="shared" si="10"/>
        <v>f44t1</v>
      </c>
      <c r="S101" s="100">
        <v>191</v>
      </c>
      <c r="T101" s="100">
        <v>44</v>
      </c>
      <c r="U101" s="100">
        <v>1</v>
      </c>
      <c r="V101" s="100">
        <v>0</v>
      </c>
      <c r="W101" s="100">
        <v>0</v>
      </c>
      <c r="X101" s="100">
        <v>4.0000000000000009</v>
      </c>
      <c r="Y101" s="100">
        <v>0</v>
      </c>
      <c r="Z101" s="112">
        <f t="shared" si="11"/>
        <v>0</v>
      </c>
      <c r="AA101" s="107" t="e">
        <f t="shared" si="12"/>
        <v>#N/A</v>
      </c>
      <c r="AC101" s="105" t="str">
        <f t="shared" si="13"/>
        <v>f25t3</v>
      </c>
      <c r="AD101" s="100">
        <v>18</v>
      </c>
      <c r="AE101" s="100">
        <v>25</v>
      </c>
      <c r="AF101" s="100">
        <v>3</v>
      </c>
      <c r="AG101" s="100">
        <v>0.3</v>
      </c>
    </row>
    <row r="102" spans="1:33" x14ac:dyDescent="0.3">
      <c r="A102" s="105" t="str">
        <f t="shared" si="9"/>
        <v>f13t4</v>
      </c>
      <c r="B102" s="109">
        <v>191</v>
      </c>
      <c r="C102" s="109">
        <v>13</v>
      </c>
      <c r="D102" s="109">
        <v>2</v>
      </c>
      <c r="E102" s="109">
        <v>4</v>
      </c>
      <c r="F102" s="109">
        <v>0.61199999999999999</v>
      </c>
      <c r="G102" s="109">
        <v>9.1288730323654104</v>
      </c>
      <c r="H102" s="110">
        <v>41675.480023148149</v>
      </c>
      <c r="I102" s="111" t="s">
        <v>304</v>
      </c>
      <c r="J102" s="106">
        <f t="shared" si="14"/>
        <v>0</v>
      </c>
      <c r="R102" s="105" t="str">
        <f t="shared" si="10"/>
        <v>f44t2</v>
      </c>
      <c r="S102" s="100">
        <v>191</v>
      </c>
      <c r="T102" s="100">
        <v>44</v>
      </c>
      <c r="U102" s="100">
        <v>2</v>
      </c>
      <c r="V102" s="100">
        <v>0</v>
      </c>
      <c r="W102" s="100">
        <v>0</v>
      </c>
      <c r="X102" s="100">
        <v>17.000000999999997</v>
      </c>
      <c r="Y102" s="100">
        <v>0</v>
      </c>
      <c r="Z102" s="112">
        <f t="shared" si="11"/>
        <v>0</v>
      </c>
      <c r="AA102" s="107" t="e">
        <f t="shared" si="12"/>
        <v>#N/A</v>
      </c>
      <c r="AC102" s="105" t="str">
        <f t="shared" si="13"/>
        <v>f25t4</v>
      </c>
      <c r="AD102" s="100">
        <v>18</v>
      </c>
      <c r="AE102" s="100">
        <v>25</v>
      </c>
      <c r="AF102" s="100">
        <v>4</v>
      </c>
      <c r="AG102" s="100">
        <v>0.3</v>
      </c>
    </row>
    <row r="103" spans="1:33" x14ac:dyDescent="0.3">
      <c r="A103" s="105" t="str">
        <f t="shared" si="9"/>
        <v>f13t1</v>
      </c>
      <c r="B103" s="109">
        <v>191</v>
      </c>
      <c r="C103" s="109">
        <v>13</v>
      </c>
      <c r="D103" s="109">
        <v>3</v>
      </c>
      <c r="E103" s="109">
        <v>1</v>
      </c>
      <c r="F103" s="109">
        <v>0.61199999999999999</v>
      </c>
      <c r="G103" s="109">
        <v>5.3892310846533098</v>
      </c>
      <c r="H103" s="110">
        <v>41675.480023148149</v>
      </c>
      <c r="I103" s="111" t="s">
        <v>304</v>
      </c>
      <c r="J103" s="106">
        <f t="shared" si="14"/>
        <v>0</v>
      </c>
      <c r="R103" s="105" t="str">
        <f t="shared" si="10"/>
        <v>f44t3</v>
      </c>
      <c r="S103" s="100">
        <v>191</v>
      </c>
      <c r="T103" s="100">
        <v>44</v>
      </c>
      <c r="U103" s="100">
        <v>3</v>
      </c>
      <c r="V103" s="100">
        <v>0</v>
      </c>
      <c r="W103" s="100">
        <v>0</v>
      </c>
      <c r="X103" s="100">
        <v>1177.9999989999999</v>
      </c>
      <c r="Y103" s="100">
        <v>0</v>
      </c>
      <c r="Z103" s="112">
        <f t="shared" si="11"/>
        <v>0</v>
      </c>
      <c r="AA103" s="107" t="e">
        <f t="shared" si="12"/>
        <v>#N/A</v>
      </c>
      <c r="AC103" s="105" t="str">
        <f t="shared" si="13"/>
        <v>f26t1</v>
      </c>
      <c r="AD103" s="100">
        <v>18</v>
      </c>
      <c r="AE103" s="100">
        <v>26</v>
      </c>
      <c r="AF103" s="100">
        <v>1</v>
      </c>
      <c r="AG103" s="100">
        <v>0.255</v>
      </c>
    </row>
    <row r="104" spans="1:33" x14ac:dyDescent="0.3">
      <c r="A104" s="105" t="str">
        <f t="shared" si="9"/>
        <v>f13t2</v>
      </c>
      <c r="B104" s="109">
        <v>191</v>
      </c>
      <c r="C104" s="109">
        <v>13</v>
      </c>
      <c r="D104" s="109">
        <v>3</v>
      </c>
      <c r="E104" s="109">
        <v>2</v>
      </c>
      <c r="F104" s="109">
        <v>0.61199999999999999</v>
      </c>
      <c r="G104" s="109">
        <v>13.763160810886699</v>
      </c>
      <c r="H104" s="110">
        <v>41675.480023148149</v>
      </c>
      <c r="I104" s="111" t="s">
        <v>304</v>
      </c>
      <c r="J104" s="106">
        <f t="shared" si="14"/>
        <v>0</v>
      </c>
      <c r="R104" s="105" t="str">
        <f t="shared" si="10"/>
        <v>f44t4</v>
      </c>
      <c r="S104" s="100">
        <v>191</v>
      </c>
      <c r="T104" s="100">
        <v>44</v>
      </c>
      <c r="U104" s="100">
        <v>4</v>
      </c>
      <c r="V104" s="100">
        <v>0</v>
      </c>
      <c r="W104" s="100">
        <v>0</v>
      </c>
      <c r="X104" s="100">
        <v>67</v>
      </c>
      <c r="Y104" s="100">
        <v>0</v>
      </c>
      <c r="Z104" s="112">
        <f t="shared" si="11"/>
        <v>0</v>
      </c>
      <c r="AA104" s="107" t="e">
        <f t="shared" si="12"/>
        <v>#N/A</v>
      </c>
      <c r="AC104" s="105" t="str">
        <f t="shared" si="13"/>
        <v>f26t2</v>
      </c>
      <c r="AD104" s="100">
        <v>18</v>
      </c>
      <c r="AE104" s="100">
        <v>26</v>
      </c>
      <c r="AF104" s="100">
        <v>2</v>
      </c>
      <c r="AG104" s="100">
        <v>0.255</v>
      </c>
    </row>
    <row r="105" spans="1:33" x14ac:dyDescent="0.3">
      <c r="A105" s="105" t="str">
        <f t="shared" si="9"/>
        <v>f13t3</v>
      </c>
      <c r="B105" s="109">
        <v>191</v>
      </c>
      <c r="C105" s="109">
        <v>13</v>
      </c>
      <c r="D105" s="109">
        <v>3</v>
      </c>
      <c r="E105" s="109">
        <v>3</v>
      </c>
      <c r="F105" s="109">
        <v>0.61199999999999999</v>
      </c>
      <c r="G105" s="109">
        <v>8.7474859408913996</v>
      </c>
      <c r="H105" s="110">
        <v>41675.480023148149</v>
      </c>
      <c r="I105" s="111" t="s">
        <v>304</v>
      </c>
      <c r="J105" s="106">
        <f t="shared" si="14"/>
        <v>0</v>
      </c>
      <c r="R105" s="105" t="str">
        <f t="shared" si="10"/>
        <v>f45t1</v>
      </c>
      <c r="S105" s="100">
        <v>191</v>
      </c>
      <c r="T105" s="100">
        <v>45</v>
      </c>
      <c r="U105" s="100">
        <v>1</v>
      </c>
      <c r="V105" s="100">
        <v>3127.6526260000005</v>
      </c>
      <c r="W105" s="100">
        <v>2346.9905310000004</v>
      </c>
      <c r="X105" s="100">
        <v>0</v>
      </c>
      <c r="Y105" s="100">
        <v>0</v>
      </c>
      <c r="Z105" s="112">
        <f t="shared" si="11"/>
        <v>3.7520000007187497</v>
      </c>
      <c r="AA105" s="107">
        <f t="shared" si="12"/>
        <v>7.1874994844733919E-10</v>
      </c>
      <c r="AC105" s="105" t="str">
        <f t="shared" si="13"/>
        <v>f26t3</v>
      </c>
      <c r="AD105" s="100">
        <v>18</v>
      </c>
      <c r="AE105" s="100">
        <v>26</v>
      </c>
      <c r="AF105" s="100">
        <v>3</v>
      </c>
      <c r="AG105" s="100">
        <v>0.255</v>
      </c>
    </row>
    <row r="106" spans="1:33" x14ac:dyDescent="0.3">
      <c r="A106" s="105" t="str">
        <f t="shared" si="9"/>
        <v>f13t4</v>
      </c>
      <c r="B106" s="109">
        <v>191</v>
      </c>
      <c r="C106" s="109">
        <v>13</v>
      </c>
      <c r="D106" s="109">
        <v>3</v>
      </c>
      <c r="E106" s="109">
        <v>4</v>
      </c>
      <c r="F106" s="109">
        <v>0.61199999999999999</v>
      </c>
      <c r="G106" s="109">
        <v>9.1288730323654104</v>
      </c>
      <c r="H106" s="110">
        <v>41675.480023148149</v>
      </c>
      <c r="I106" s="111" t="s">
        <v>304</v>
      </c>
      <c r="J106" s="106">
        <f t="shared" si="14"/>
        <v>0</v>
      </c>
      <c r="R106" s="105" t="str">
        <f t="shared" si="10"/>
        <v>f45t3</v>
      </c>
      <c r="S106" s="100">
        <v>191</v>
      </c>
      <c r="T106" s="100">
        <v>45</v>
      </c>
      <c r="U106" s="100">
        <v>3</v>
      </c>
      <c r="V106" s="100">
        <v>0</v>
      </c>
      <c r="W106" s="100">
        <v>0</v>
      </c>
      <c r="X106" s="100">
        <v>0</v>
      </c>
      <c r="Y106" s="100">
        <v>0</v>
      </c>
      <c r="Z106" s="112" t="e">
        <f t="shared" si="11"/>
        <v>#DIV/0!</v>
      </c>
      <c r="AA106" s="107" t="e">
        <f t="shared" si="12"/>
        <v>#DIV/0!</v>
      </c>
      <c r="AC106" s="105" t="str">
        <f t="shared" si="13"/>
        <v>f26t4</v>
      </c>
      <c r="AD106" s="100">
        <v>18</v>
      </c>
      <c r="AE106" s="100">
        <v>26</v>
      </c>
      <c r="AF106" s="100">
        <v>4</v>
      </c>
      <c r="AG106" s="100">
        <v>0.255</v>
      </c>
    </row>
    <row r="107" spans="1:33" x14ac:dyDescent="0.3">
      <c r="A107" s="105" t="str">
        <f t="shared" si="9"/>
        <v>f13t1</v>
      </c>
      <c r="B107" s="109">
        <v>191</v>
      </c>
      <c r="C107" s="109">
        <v>13</v>
      </c>
      <c r="D107" s="109">
        <v>4</v>
      </c>
      <c r="E107" s="109">
        <v>1</v>
      </c>
      <c r="F107" s="109">
        <v>0.61199999999999999</v>
      </c>
      <c r="G107" s="109">
        <v>5.3892310846533098</v>
      </c>
      <c r="H107" s="110">
        <v>41675.480023148149</v>
      </c>
      <c r="I107" s="111" t="s">
        <v>304</v>
      </c>
      <c r="J107" s="106">
        <f t="shared" si="14"/>
        <v>0</v>
      </c>
      <c r="R107" s="105" t="str">
        <f t="shared" si="10"/>
        <v>f45t4</v>
      </c>
      <c r="S107" s="100">
        <v>191</v>
      </c>
      <c r="T107" s="100">
        <v>45</v>
      </c>
      <c r="U107" s="100">
        <v>4</v>
      </c>
      <c r="V107" s="100">
        <v>3453.894202</v>
      </c>
      <c r="W107" s="100">
        <v>2591.8022110000011</v>
      </c>
      <c r="X107" s="100">
        <v>0</v>
      </c>
      <c r="Y107" s="100">
        <v>0</v>
      </c>
      <c r="Z107" s="112">
        <f t="shared" si="11"/>
        <v>3.7520000026335505</v>
      </c>
      <c r="AA107" s="107">
        <f t="shared" si="12"/>
        <v>2.633550710839927E-9</v>
      </c>
      <c r="AC107" s="105" t="str">
        <f t="shared" si="13"/>
        <v>f27t1</v>
      </c>
      <c r="AD107" s="100">
        <v>18</v>
      </c>
      <c r="AE107" s="100">
        <v>27</v>
      </c>
      <c r="AF107" s="100">
        <v>1</v>
      </c>
      <c r="AG107" s="100">
        <v>0.14000000000000001</v>
      </c>
    </row>
    <row r="108" spans="1:33" x14ac:dyDescent="0.3">
      <c r="A108" s="105" t="str">
        <f t="shared" si="9"/>
        <v>f13t2</v>
      </c>
      <c r="B108" s="109">
        <v>191</v>
      </c>
      <c r="C108" s="109">
        <v>13</v>
      </c>
      <c r="D108" s="109">
        <v>4</v>
      </c>
      <c r="E108" s="109">
        <v>2</v>
      </c>
      <c r="F108" s="109">
        <v>0.61199999999999999</v>
      </c>
      <c r="G108" s="109">
        <v>13.763160810886699</v>
      </c>
      <c r="H108" s="110">
        <v>41675.480023148149</v>
      </c>
      <c r="I108" s="111" t="s">
        <v>304</v>
      </c>
      <c r="J108" s="106">
        <f t="shared" si="14"/>
        <v>0</v>
      </c>
      <c r="R108" s="105" t="str">
        <f t="shared" si="10"/>
        <v>f46t1</v>
      </c>
      <c r="S108" s="100">
        <v>191</v>
      </c>
      <c r="T108" s="100">
        <v>46</v>
      </c>
      <c r="U108" s="100">
        <v>1</v>
      </c>
      <c r="V108" s="100">
        <v>0</v>
      </c>
      <c r="W108" s="100">
        <v>0</v>
      </c>
      <c r="X108" s="100">
        <v>417.92817100000002</v>
      </c>
      <c r="Y108" s="100">
        <v>0</v>
      </c>
      <c r="Z108" s="112">
        <f t="shared" si="11"/>
        <v>0</v>
      </c>
      <c r="AA108" s="107" t="e">
        <f t="shared" si="12"/>
        <v>#N/A</v>
      </c>
      <c r="AC108" s="105" t="str">
        <f t="shared" si="13"/>
        <v>f27t2</v>
      </c>
      <c r="AD108" s="100">
        <v>18</v>
      </c>
      <c r="AE108" s="100">
        <v>27</v>
      </c>
      <c r="AF108" s="100">
        <v>2</v>
      </c>
      <c r="AG108" s="100">
        <v>0.14000000000000001</v>
      </c>
    </row>
    <row r="109" spans="1:33" x14ac:dyDescent="0.3">
      <c r="A109" s="105" t="str">
        <f t="shared" si="9"/>
        <v>f13t3</v>
      </c>
      <c r="B109" s="109">
        <v>191</v>
      </c>
      <c r="C109" s="109">
        <v>13</v>
      </c>
      <c r="D109" s="109">
        <v>4</v>
      </c>
      <c r="E109" s="109">
        <v>3</v>
      </c>
      <c r="F109" s="109">
        <v>0.61199999999999999</v>
      </c>
      <c r="G109" s="109">
        <v>8.7474859408913996</v>
      </c>
      <c r="H109" s="110">
        <v>41675.480023148149</v>
      </c>
      <c r="I109" s="111" t="s">
        <v>304</v>
      </c>
      <c r="J109" s="106">
        <f t="shared" si="14"/>
        <v>0</v>
      </c>
      <c r="R109" s="105" t="str">
        <f t="shared" si="10"/>
        <v>f46t3</v>
      </c>
      <c r="S109" s="100">
        <v>191</v>
      </c>
      <c r="T109" s="100">
        <v>46</v>
      </c>
      <c r="U109" s="100">
        <v>3</v>
      </c>
      <c r="V109" s="100">
        <v>0</v>
      </c>
      <c r="W109" s="100">
        <v>0</v>
      </c>
      <c r="X109" s="100">
        <v>47.028653000000006</v>
      </c>
      <c r="Y109" s="100">
        <v>0</v>
      </c>
      <c r="Z109" s="112">
        <f t="shared" si="11"/>
        <v>0</v>
      </c>
      <c r="AA109" s="107" t="e">
        <f t="shared" si="12"/>
        <v>#N/A</v>
      </c>
      <c r="AC109" s="105" t="str">
        <f t="shared" si="13"/>
        <v>f27t3</v>
      </c>
      <c r="AD109" s="100">
        <v>18</v>
      </c>
      <c r="AE109" s="100">
        <v>27</v>
      </c>
      <c r="AF109" s="100">
        <v>3</v>
      </c>
      <c r="AG109" s="100">
        <v>0.14000000000000001</v>
      </c>
    </row>
    <row r="110" spans="1:33" x14ac:dyDescent="0.3">
      <c r="A110" s="105" t="str">
        <f t="shared" si="9"/>
        <v>f13t4</v>
      </c>
      <c r="B110" s="109">
        <v>191</v>
      </c>
      <c r="C110" s="109">
        <v>13</v>
      </c>
      <c r="D110" s="109">
        <v>4</v>
      </c>
      <c r="E110" s="109">
        <v>4</v>
      </c>
      <c r="F110" s="109">
        <v>0.61199999999999999</v>
      </c>
      <c r="G110" s="109">
        <v>9.1288730323654104</v>
      </c>
      <c r="H110" s="110">
        <v>41675.480023148149</v>
      </c>
      <c r="I110" s="111" t="s">
        <v>304</v>
      </c>
      <c r="J110" s="106">
        <f t="shared" si="14"/>
        <v>0</v>
      </c>
      <c r="R110" s="105" t="str">
        <f t="shared" si="10"/>
        <v>f47t1</v>
      </c>
      <c r="S110" s="100">
        <v>191</v>
      </c>
      <c r="T110" s="100">
        <v>47</v>
      </c>
      <c r="U110" s="100">
        <v>1</v>
      </c>
      <c r="V110" s="100">
        <v>0</v>
      </c>
      <c r="W110" s="100">
        <v>0</v>
      </c>
      <c r="X110" s="100">
        <v>24.832151</v>
      </c>
      <c r="Y110" s="100">
        <v>0</v>
      </c>
      <c r="Z110" s="112">
        <f t="shared" si="11"/>
        <v>0</v>
      </c>
      <c r="AA110" s="107" t="e">
        <f t="shared" si="12"/>
        <v>#N/A</v>
      </c>
      <c r="AC110" s="105" t="str">
        <f t="shared" si="13"/>
        <v>f27t4</v>
      </c>
      <c r="AD110" s="100">
        <v>18</v>
      </c>
      <c r="AE110" s="100">
        <v>27</v>
      </c>
      <c r="AF110" s="100">
        <v>4</v>
      </c>
      <c r="AG110" s="100">
        <v>0.14000000000000001</v>
      </c>
    </row>
    <row r="111" spans="1:33" x14ac:dyDescent="0.3">
      <c r="A111" s="105" t="str">
        <f t="shared" si="9"/>
        <v>f13t1</v>
      </c>
      <c r="B111" s="109">
        <v>191</v>
      </c>
      <c r="C111" s="109">
        <v>13</v>
      </c>
      <c r="D111" s="109">
        <v>5</v>
      </c>
      <c r="E111" s="109">
        <v>1</v>
      </c>
      <c r="F111" s="109">
        <v>0.61199999999999999</v>
      </c>
      <c r="G111" s="109">
        <v>5.3892310846533098</v>
      </c>
      <c r="H111" s="110">
        <v>41675.480023148149</v>
      </c>
      <c r="I111" s="111" t="s">
        <v>304</v>
      </c>
      <c r="J111" s="106">
        <f t="shared" si="14"/>
        <v>0</v>
      </c>
      <c r="R111" s="105" t="str">
        <f t="shared" si="10"/>
        <v>f47t3</v>
      </c>
      <c r="S111" s="100">
        <v>191</v>
      </c>
      <c r="T111" s="100">
        <v>47</v>
      </c>
      <c r="U111" s="100">
        <v>3</v>
      </c>
      <c r="V111" s="100">
        <v>0</v>
      </c>
      <c r="W111" s="100">
        <v>0</v>
      </c>
      <c r="X111" s="100">
        <v>129.87742400000005</v>
      </c>
      <c r="Y111" s="100">
        <v>0</v>
      </c>
      <c r="Z111" s="112">
        <f t="shared" si="11"/>
        <v>0</v>
      </c>
      <c r="AA111" s="107" t="e">
        <f t="shared" si="12"/>
        <v>#N/A</v>
      </c>
      <c r="AC111" s="105" t="str">
        <f t="shared" si="13"/>
        <v>f28t1</v>
      </c>
      <c r="AD111" s="100">
        <v>18</v>
      </c>
      <c r="AE111" s="100">
        <v>28</v>
      </c>
      <c r="AF111" s="100">
        <v>1</v>
      </c>
      <c r="AG111" s="100">
        <v>0.3</v>
      </c>
    </row>
    <row r="112" spans="1:33" x14ac:dyDescent="0.3">
      <c r="A112" s="105" t="str">
        <f t="shared" si="9"/>
        <v>f13t2</v>
      </c>
      <c r="B112" s="109">
        <v>191</v>
      </c>
      <c r="C112" s="109">
        <v>13</v>
      </c>
      <c r="D112" s="109">
        <v>5</v>
      </c>
      <c r="E112" s="109">
        <v>2</v>
      </c>
      <c r="F112" s="109">
        <v>0.61199999999999999</v>
      </c>
      <c r="G112" s="109">
        <v>13.763160810886699</v>
      </c>
      <c r="H112" s="110">
        <v>41675.480023148149</v>
      </c>
      <c r="I112" s="111" t="s">
        <v>304</v>
      </c>
      <c r="J112" s="106">
        <f t="shared" si="14"/>
        <v>0</v>
      </c>
      <c r="R112" s="105" t="str">
        <f t="shared" si="10"/>
        <v>f47t4</v>
      </c>
      <c r="S112" s="100">
        <v>191</v>
      </c>
      <c r="T112" s="100">
        <v>47</v>
      </c>
      <c r="U112" s="100">
        <v>4</v>
      </c>
      <c r="V112" s="100">
        <v>0</v>
      </c>
      <c r="W112" s="100">
        <v>0</v>
      </c>
      <c r="X112" s="100">
        <v>0.22386</v>
      </c>
      <c r="Y112" s="100">
        <v>0</v>
      </c>
      <c r="Z112" s="112">
        <f t="shared" si="11"/>
        <v>0</v>
      </c>
      <c r="AA112" s="107" t="e">
        <f t="shared" si="12"/>
        <v>#N/A</v>
      </c>
      <c r="AC112" s="105" t="str">
        <f t="shared" si="13"/>
        <v>f28t2</v>
      </c>
      <c r="AD112" s="100">
        <v>18</v>
      </c>
      <c r="AE112" s="100">
        <v>28</v>
      </c>
      <c r="AF112" s="100">
        <v>2</v>
      </c>
      <c r="AG112" s="100">
        <v>0.3</v>
      </c>
    </row>
    <row r="113" spans="1:33" x14ac:dyDescent="0.3">
      <c r="A113" s="105" t="str">
        <f t="shared" si="9"/>
        <v>f13t3</v>
      </c>
      <c r="B113" s="109">
        <v>191</v>
      </c>
      <c r="C113" s="109">
        <v>13</v>
      </c>
      <c r="D113" s="109">
        <v>5</v>
      </c>
      <c r="E113" s="109">
        <v>3</v>
      </c>
      <c r="F113" s="109">
        <v>0.61199999999999999</v>
      </c>
      <c r="G113" s="109">
        <v>8.7474859408913996</v>
      </c>
      <c r="H113" s="110">
        <v>41675.480023148149</v>
      </c>
      <c r="I113" s="111" t="s">
        <v>304</v>
      </c>
      <c r="J113" s="106">
        <f t="shared" si="14"/>
        <v>0</v>
      </c>
      <c r="R113" s="105" t="str">
        <f t="shared" si="10"/>
        <v>f48t3</v>
      </c>
      <c r="S113" s="100">
        <v>191</v>
      </c>
      <c r="T113" s="100">
        <v>48</v>
      </c>
      <c r="U113" s="100">
        <v>3</v>
      </c>
      <c r="V113" s="100">
        <v>0</v>
      </c>
      <c r="W113" s="100">
        <v>0</v>
      </c>
      <c r="X113" s="100">
        <v>250.99999900000003</v>
      </c>
      <c r="Y113" s="100">
        <v>0</v>
      </c>
      <c r="Z113" s="112">
        <f t="shared" si="11"/>
        <v>0</v>
      </c>
      <c r="AA113" s="107" t="e">
        <f t="shared" si="12"/>
        <v>#N/A</v>
      </c>
      <c r="AC113" s="105" t="str">
        <f t="shared" si="13"/>
        <v>f28t3</v>
      </c>
      <c r="AD113" s="100">
        <v>18</v>
      </c>
      <c r="AE113" s="100">
        <v>28</v>
      </c>
      <c r="AF113" s="100">
        <v>3</v>
      </c>
      <c r="AG113" s="100">
        <v>0.3</v>
      </c>
    </row>
    <row r="114" spans="1:33" x14ac:dyDescent="0.3">
      <c r="A114" s="105" t="str">
        <f t="shared" si="9"/>
        <v>f13t4</v>
      </c>
      <c r="B114" s="109">
        <v>191</v>
      </c>
      <c r="C114" s="109">
        <v>13</v>
      </c>
      <c r="D114" s="109">
        <v>5</v>
      </c>
      <c r="E114" s="109">
        <v>4</v>
      </c>
      <c r="F114" s="109">
        <v>0.61199999999999999</v>
      </c>
      <c r="G114" s="109">
        <v>9.1288730323654104</v>
      </c>
      <c r="H114" s="110">
        <v>41675.480023148149</v>
      </c>
      <c r="I114" s="111" t="s">
        <v>304</v>
      </c>
      <c r="J114" s="106">
        <f t="shared" si="14"/>
        <v>0</v>
      </c>
      <c r="R114" s="105" t="str">
        <f t="shared" si="10"/>
        <v>f49t1</v>
      </c>
      <c r="S114" s="100">
        <v>191</v>
      </c>
      <c r="T114" s="100">
        <v>49</v>
      </c>
      <c r="U114" s="100">
        <v>1</v>
      </c>
      <c r="V114" s="100">
        <v>0</v>
      </c>
      <c r="W114" s="100">
        <v>0</v>
      </c>
      <c r="X114" s="100">
        <v>90.577370000000002</v>
      </c>
      <c r="Y114" s="100">
        <v>0</v>
      </c>
      <c r="Z114" s="112">
        <f t="shared" si="11"/>
        <v>0</v>
      </c>
      <c r="AA114" s="107" t="e">
        <f t="shared" si="12"/>
        <v>#N/A</v>
      </c>
      <c r="AC114" s="105" t="str">
        <f t="shared" si="13"/>
        <v>f28t4</v>
      </c>
      <c r="AD114" s="100">
        <v>18</v>
      </c>
      <c r="AE114" s="100">
        <v>28</v>
      </c>
      <c r="AF114" s="100">
        <v>4</v>
      </c>
      <c r="AG114" s="100">
        <v>0.3</v>
      </c>
    </row>
    <row r="115" spans="1:33" x14ac:dyDescent="0.3">
      <c r="A115" s="105" t="str">
        <f t="shared" si="9"/>
        <v>f14t1</v>
      </c>
      <c r="B115" s="109">
        <v>191</v>
      </c>
      <c r="C115" s="109">
        <v>14</v>
      </c>
      <c r="D115" s="109">
        <v>2</v>
      </c>
      <c r="E115" s="109">
        <v>1</v>
      </c>
      <c r="F115" s="109">
        <v>1.0780000000000001</v>
      </c>
      <c r="G115" s="109">
        <v>5.3919987904321598</v>
      </c>
      <c r="H115" s="110">
        <v>41675.480023148149</v>
      </c>
      <c r="I115" s="111" t="s">
        <v>304</v>
      </c>
      <c r="J115" s="106">
        <f t="shared" si="14"/>
        <v>0</v>
      </c>
      <c r="R115" s="105" t="str">
        <f t="shared" si="10"/>
        <v>f49t3</v>
      </c>
      <c r="S115" s="100">
        <v>191</v>
      </c>
      <c r="T115" s="100">
        <v>49</v>
      </c>
      <c r="U115" s="100">
        <v>3</v>
      </c>
      <c r="V115" s="100">
        <v>0</v>
      </c>
      <c r="W115" s="100">
        <v>0</v>
      </c>
      <c r="X115" s="100">
        <v>98.823198999999988</v>
      </c>
      <c r="Y115" s="100">
        <v>0</v>
      </c>
      <c r="Z115" s="112">
        <f t="shared" si="11"/>
        <v>0</v>
      </c>
      <c r="AA115" s="107" t="e">
        <f t="shared" si="12"/>
        <v>#N/A</v>
      </c>
      <c r="AC115" s="105" t="str">
        <f t="shared" si="13"/>
        <v>f29t1</v>
      </c>
      <c r="AD115" s="100">
        <v>18</v>
      </c>
      <c r="AE115" s="100">
        <v>29</v>
      </c>
      <c r="AF115" s="100">
        <v>1</v>
      </c>
      <c r="AG115" s="100">
        <v>0.14000000000000001</v>
      </c>
    </row>
    <row r="116" spans="1:33" x14ac:dyDescent="0.3">
      <c r="A116" s="105" t="str">
        <f t="shared" si="9"/>
        <v>f14t2</v>
      </c>
      <c r="B116" s="109">
        <v>191</v>
      </c>
      <c r="C116" s="109">
        <v>14</v>
      </c>
      <c r="D116" s="109">
        <v>2</v>
      </c>
      <c r="E116" s="109">
        <v>2</v>
      </c>
      <c r="F116" s="109">
        <v>1.0780000000000001</v>
      </c>
      <c r="G116" s="109">
        <v>15.0629191831471</v>
      </c>
      <c r="H116" s="110">
        <v>41675.480023148149</v>
      </c>
      <c r="I116" s="111" t="s">
        <v>304</v>
      </c>
      <c r="J116" s="106">
        <f t="shared" si="14"/>
        <v>0</v>
      </c>
      <c r="R116" s="105" t="str">
        <f t="shared" si="10"/>
        <v>f49t4</v>
      </c>
      <c r="S116" s="100">
        <v>191</v>
      </c>
      <c r="T116" s="100">
        <v>49</v>
      </c>
      <c r="U116" s="100">
        <v>4</v>
      </c>
      <c r="V116" s="100">
        <v>0</v>
      </c>
      <c r="W116" s="100">
        <v>0</v>
      </c>
      <c r="X116" s="100">
        <v>0.20168000000000003</v>
      </c>
      <c r="Y116" s="100">
        <v>0</v>
      </c>
      <c r="Z116" s="112">
        <f t="shared" si="11"/>
        <v>0</v>
      </c>
      <c r="AA116" s="107" t="e">
        <f t="shared" si="12"/>
        <v>#N/A</v>
      </c>
      <c r="AC116" s="105" t="str">
        <f t="shared" si="13"/>
        <v>f29t2</v>
      </c>
      <c r="AD116" s="100">
        <v>18</v>
      </c>
      <c r="AE116" s="100">
        <v>29</v>
      </c>
      <c r="AF116" s="100">
        <v>2</v>
      </c>
      <c r="AG116" s="100">
        <v>0.14000000000000001</v>
      </c>
    </row>
    <row r="117" spans="1:33" x14ac:dyDescent="0.3">
      <c r="A117" s="105" t="str">
        <f t="shared" si="9"/>
        <v>f14t3</v>
      </c>
      <c r="B117" s="109">
        <v>191</v>
      </c>
      <c r="C117" s="109">
        <v>14</v>
      </c>
      <c r="D117" s="109">
        <v>2</v>
      </c>
      <c r="E117" s="109">
        <v>3</v>
      </c>
      <c r="F117" s="109">
        <v>1.0780000000000001</v>
      </c>
      <c r="G117" s="109">
        <v>18.368131797026901</v>
      </c>
      <c r="H117" s="110">
        <v>41675.480023148149</v>
      </c>
      <c r="I117" s="111" t="s">
        <v>304</v>
      </c>
      <c r="J117" s="106">
        <f t="shared" si="14"/>
        <v>0</v>
      </c>
      <c r="R117" s="105" t="str">
        <f t="shared" si="10"/>
        <v>f50t1</v>
      </c>
      <c r="S117" s="100">
        <v>191</v>
      </c>
      <c r="T117" s="100">
        <v>50</v>
      </c>
      <c r="U117" s="100">
        <v>1</v>
      </c>
      <c r="V117" s="100">
        <v>0</v>
      </c>
      <c r="W117" s="100">
        <v>0</v>
      </c>
      <c r="X117" s="100">
        <v>2002.751319</v>
      </c>
      <c r="Y117" s="100">
        <v>0</v>
      </c>
      <c r="Z117" s="112">
        <f t="shared" si="11"/>
        <v>0</v>
      </c>
      <c r="AA117" s="107" t="e">
        <f t="shared" si="12"/>
        <v>#N/A</v>
      </c>
      <c r="AC117" s="105" t="str">
        <f t="shared" si="13"/>
        <v>f29t3</v>
      </c>
      <c r="AD117" s="100">
        <v>18</v>
      </c>
      <c r="AE117" s="100">
        <v>29</v>
      </c>
      <c r="AF117" s="100">
        <v>3</v>
      </c>
      <c r="AG117" s="100">
        <v>0.14000000000000001</v>
      </c>
    </row>
    <row r="118" spans="1:33" x14ac:dyDescent="0.3">
      <c r="A118" s="105" t="str">
        <f t="shared" si="9"/>
        <v>f14t4</v>
      </c>
      <c r="B118" s="109">
        <v>191</v>
      </c>
      <c r="C118" s="109">
        <v>14</v>
      </c>
      <c r="D118" s="109">
        <v>2</v>
      </c>
      <c r="E118" s="109">
        <v>4</v>
      </c>
      <c r="F118" s="109">
        <v>1.0780000000000001</v>
      </c>
      <c r="G118" s="109">
        <v>12.292623344682999</v>
      </c>
      <c r="H118" s="110">
        <v>41675.480023148149</v>
      </c>
      <c r="I118" s="111" t="s">
        <v>304</v>
      </c>
      <c r="J118" s="106">
        <f t="shared" si="14"/>
        <v>0</v>
      </c>
      <c r="R118" s="105" t="str">
        <f t="shared" si="10"/>
        <v>f50t3</v>
      </c>
      <c r="S118" s="100">
        <v>191</v>
      </c>
      <c r="T118" s="100">
        <v>50</v>
      </c>
      <c r="U118" s="100">
        <v>3</v>
      </c>
      <c r="V118" s="100">
        <v>0</v>
      </c>
      <c r="W118" s="100">
        <v>0</v>
      </c>
      <c r="X118" s="100">
        <v>1025.784758</v>
      </c>
      <c r="Y118" s="100">
        <v>0</v>
      </c>
      <c r="Z118" s="112">
        <f t="shared" si="11"/>
        <v>0</v>
      </c>
      <c r="AA118" s="107" t="e">
        <f t="shared" si="12"/>
        <v>#N/A</v>
      </c>
      <c r="AC118" s="105" t="str">
        <f t="shared" si="13"/>
        <v>f29t4</v>
      </c>
      <c r="AD118" s="100">
        <v>18</v>
      </c>
      <c r="AE118" s="100">
        <v>29</v>
      </c>
      <c r="AF118" s="100">
        <v>4</v>
      </c>
      <c r="AG118" s="100">
        <v>0.14000000000000001</v>
      </c>
    </row>
    <row r="119" spans="1:33" x14ac:dyDescent="0.3">
      <c r="A119" s="105" t="str">
        <f t="shared" si="9"/>
        <v>f14t1</v>
      </c>
      <c r="B119" s="109">
        <v>191</v>
      </c>
      <c r="C119" s="109">
        <v>14</v>
      </c>
      <c r="D119" s="109">
        <v>3</v>
      </c>
      <c r="E119" s="109">
        <v>1</v>
      </c>
      <c r="F119" s="109">
        <v>1.0780000000000001</v>
      </c>
      <c r="G119" s="109">
        <v>5.3919987904321598</v>
      </c>
      <c r="H119" s="110">
        <v>41675.480023148149</v>
      </c>
      <c r="I119" s="111" t="s">
        <v>304</v>
      </c>
      <c r="J119" s="106">
        <f t="shared" si="14"/>
        <v>0</v>
      </c>
      <c r="R119" s="105" t="str">
        <f t="shared" si="10"/>
        <v>f50t4</v>
      </c>
      <c r="S119" s="100">
        <v>191</v>
      </c>
      <c r="T119" s="100">
        <v>50</v>
      </c>
      <c r="U119" s="100">
        <v>4</v>
      </c>
      <c r="V119" s="100">
        <v>0</v>
      </c>
      <c r="W119" s="100">
        <v>0</v>
      </c>
      <c r="X119" s="100">
        <v>2.8900719999999995</v>
      </c>
      <c r="Y119" s="100">
        <v>0</v>
      </c>
      <c r="Z119" s="112">
        <f t="shared" si="11"/>
        <v>0</v>
      </c>
      <c r="AA119" s="107" t="e">
        <f t="shared" si="12"/>
        <v>#N/A</v>
      </c>
      <c r="AC119" s="105" t="str">
        <f t="shared" si="13"/>
        <v>f30t1</v>
      </c>
      <c r="AD119" s="100">
        <v>18</v>
      </c>
      <c r="AE119" s="100">
        <v>30</v>
      </c>
      <c r="AF119" s="100">
        <v>1</v>
      </c>
      <c r="AG119" s="100">
        <v>0.255</v>
      </c>
    </row>
    <row r="120" spans="1:33" x14ac:dyDescent="0.3">
      <c r="A120" s="105" t="str">
        <f t="shared" si="9"/>
        <v>f14t2</v>
      </c>
      <c r="B120" s="109">
        <v>191</v>
      </c>
      <c r="C120" s="109">
        <v>14</v>
      </c>
      <c r="D120" s="109">
        <v>3</v>
      </c>
      <c r="E120" s="109">
        <v>2</v>
      </c>
      <c r="F120" s="109">
        <v>1.0780000000000001</v>
      </c>
      <c r="G120" s="109">
        <v>15.0629191831471</v>
      </c>
      <c r="H120" s="110">
        <v>41675.480023148149</v>
      </c>
      <c r="I120" s="111" t="s">
        <v>304</v>
      </c>
      <c r="J120" s="106">
        <f t="shared" si="14"/>
        <v>0</v>
      </c>
      <c r="R120" s="105" t="str">
        <f t="shared" si="10"/>
        <v>f51t1</v>
      </c>
      <c r="S120" s="100">
        <v>191</v>
      </c>
      <c r="T120" s="100">
        <v>51</v>
      </c>
      <c r="U120" s="100">
        <v>1</v>
      </c>
      <c r="V120" s="100">
        <v>0</v>
      </c>
      <c r="W120" s="100">
        <v>0</v>
      </c>
      <c r="X120" s="100">
        <v>1.0502000000000001E-2</v>
      </c>
      <c r="Y120" s="100">
        <v>0</v>
      </c>
      <c r="Z120" s="112">
        <f t="shared" si="11"/>
        <v>0</v>
      </c>
      <c r="AA120" s="107" t="e">
        <f t="shared" si="12"/>
        <v>#N/A</v>
      </c>
      <c r="AC120" s="105" t="str">
        <f t="shared" si="13"/>
        <v>f30t2</v>
      </c>
      <c r="AD120" s="100">
        <v>18</v>
      </c>
      <c r="AE120" s="100">
        <v>30</v>
      </c>
      <c r="AF120" s="100">
        <v>2</v>
      </c>
      <c r="AG120" s="100">
        <v>0.255</v>
      </c>
    </row>
    <row r="121" spans="1:33" x14ac:dyDescent="0.3">
      <c r="A121" s="105" t="str">
        <f t="shared" si="9"/>
        <v>f14t3</v>
      </c>
      <c r="B121" s="109">
        <v>191</v>
      </c>
      <c r="C121" s="109">
        <v>14</v>
      </c>
      <c r="D121" s="109">
        <v>3</v>
      </c>
      <c r="E121" s="109">
        <v>3</v>
      </c>
      <c r="F121" s="109">
        <v>1.0780000000000001</v>
      </c>
      <c r="G121" s="109">
        <v>18.368131797026901</v>
      </c>
      <c r="H121" s="110">
        <v>41675.480023148149</v>
      </c>
      <c r="I121" s="111" t="s">
        <v>304</v>
      </c>
      <c r="J121" s="106">
        <f t="shared" si="14"/>
        <v>0</v>
      </c>
      <c r="R121" s="105" t="str">
        <f t="shared" si="10"/>
        <v>f52t1</v>
      </c>
      <c r="S121" s="100">
        <v>191</v>
      </c>
      <c r="T121" s="100">
        <v>52</v>
      </c>
      <c r="U121" s="100">
        <v>1</v>
      </c>
      <c r="V121" s="100">
        <v>0</v>
      </c>
      <c r="W121" s="100">
        <v>0</v>
      </c>
      <c r="X121" s="100">
        <v>5.0442530000000003</v>
      </c>
      <c r="Y121" s="100">
        <v>0</v>
      </c>
      <c r="Z121" s="112">
        <f t="shared" si="11"/>
        <v>0</v>
      </c>
      <c r="AA121" s="107" t="e">
        <f t="shared" si="12"/>
        <v>#N/A</v>
      </c>
      <c r="AC121" s="105" t="str">
        <f t="shared" si="13"/>
        <v>f30t3</v>
      </c>
      <c r="AD121" s="100">
        <v>18</v>
      </c>
      <c r="AE121" s="100">
        <v>30</v>
      </c>
      <c r="AF121" s="100">
        <v>3</v>
      </c>
      <c r="AG121" s="100">
        <v>0.255</v>
      </c>
    </row>
    <row r="122" spans="1:33" x14ac:dyDescent="0.3">
      <c r="A122" s="105" t="str">
        <f t="shared" si="9"/>
        <v>f14t4</v>
      </c>
      <c r="B122" s="109">
        <v>191</v>
      </c>
      <c r="C122" s="109">
        <v>14</v>
      </c>
      <c r="D122" s="109">
        <v>3</v>
      </c>
      <c r="E122" s="109">
        <v>4</v>
      </c>
      <c r="F122" s="109">
        <v>1.0780000000000001</v>
      </c>
      <c r="G122" s="109">
        <v>12.292623344682999</v>
      </c>
      <c r="H122" s="110">
        <v>41675.480023148149</v>
      </c>
      <c r="I122" s="111" t="s">
        <v>304</v>
      </c>
      <c r="J122" s="106">
        <f t="shared" si="14"/>
        <v>0</v>
      </c>
      <c r="R122" s="105" t="str">
        <f t="shared" si="10"/>
        <v>f52t3</v>
      </c>
      <c r="S122" s="100">
        <v>191</v>
      </c>
      <c r="T122" s="100">
        <v>52</v>
      </c>
      <c r="U122" s="100">
        <v>3</v>
      </c>
      <c r="V122" s="100">
        <v>0</v>
      </c>
      <c r="W122" s="100">
        <v>0</v>
      </c>
      <c r="X122" s="100">
        <v>7826.6247169999979</v>
      </c>
      <c r="Y122" s="100">
        <v>0</v>
      </c>
      <c r="Z122" s="112">
        <f t="shared" si="11"/>
        <v>0</v>
      </c>
      <c r="AA122" s="107" t="e">
        <f t="shared" si="12"/>
        <v>#N/A</v>
      </c>
      <c r="AC122" s="105" t="str">
        <f t="shared" si="13"/>
        <v>f30t4</v>
      </c>
      <c r="AD122" s="100">
        <v>18</v>
      </c>
      <c r="AE122" s="100">
        <v>30</v>
      </c>
      <c r="AF122" s="100">
        <v>4</v>
      </c>
      <c r="AG122" s="100">
        <v>0.255</v>
      </c>
    </row>
    <row r="123" spans="1:33" x14ac:dyDescent="0.3">
      <c r="A123" s="105" t="str">
        <f t="shared" si="9"/>
        <v>f14t1</v>
      </c>
      <c r="B123" s="109">
        <v>191</v>
      </c>
      <c r="C123" s="109">
        <v>14</v>
      </c>
      <c r="D123" s="109">
        <v>4</v>
      </c>
      <c r="E123" s="109">
        <v>1</v>
      </c>
      <c r="F123" s="109">
        <v>1.0780000000000001</v>
      </c>
      <c r="G123" s="109">
        <v>5.3919987904321598</v>
      </c>
      <c r="H123" s="110">
        <v>41675.480023148149</v>
      </c>
      <c r="I123" s="111" t="s">
        <v>304</v>
      </c>
      <c r="J123" s="106">
        <f t="shared" si="14"/>
        <v>0</v>
      </c>
      <c r="R123" s="105" t="str">
        <f t="shared" si="10"/>
        <v>f52t4</v>
      </c>
      <c r="S123" s="100">
        <v>191</v>
      </c>
      <c r="T123" s="100">
        <v>52</v>
      </c>
      <c r="U123" s="100">
        <v>4</v>
      </c>
      <c r="V123" s="100">
        <v>0</v>
      </c>
      <c r="W123" s="100">
        <v>0</v>
      </c>
      <c r="X123" s="100">
        <v>35</v>
      </c>
      <c r="Y123" s="100">
        <v>0</v>
      </c>
      <c r="Z123" s="112">
        <f t="shared" si="11"/>
        <v>0</v>
      </c>
      <c r="AA123" s="107" t="e">
        <f t="shared" si="12"/>
        <v>#N/A</v>
      </c>
      <c r="AC123" s="105" t="str">
        <f t="shared" si="13"/>
        <v>f31t1</v>
      </c>
      <c r="AD123" s="100">
        <v>18</v>
      </c>
      <c r="AE123" s="100">
        <v>31</v>
      </c>
      <c r="AF123" s="100">
        <v>1</v>
      </c>
      <c r="AG123" s="100">
        <v>0.14000000000000001</v>
      </c>
    </row>
    <row r="124" spans="1:33" x14ac:dyDescent="0.3">
      <c r="A124" s="105" t="str">
        <f t="shared" si="9"/>
        <v>f14t2</v>
      </c>
      <c r="B124" s="109">
        <v>191</v>
      </c>
      <c r="C124" s="109">
        <v>14</v>
      </c>
      <c r="D124" s="109">
        <v>4</v>
      </c>
      <c r="E124" s="109">
        <v>2</v>
      </c>
      <c r="F124" s="109">
        <v>1.0780000000000001</v>
      </c>
      <c r="G124" s="109">
        <v>15.0629191831471</v>
      </c>
      <c r="H124" s="110">
        <v>41675.480023148149</v>
      </c>
      <c r="I124" s="111" t="s">
        <v>304</v>
      </c>
      <c r="J124" s="106">
        <f t="shared" si="14"/>
        <v>0</v>
      </c>
      <c r="R124" s="105" t="str">
        <f t="shared" si="10"/>
        <v>f53t1</v>
      </c>
      <c r="S124" s="100">
        <v>191</v>
      </c>
      <c r="T124" s="100">
        <v>53</v>
      </c>
      <c r="U124" s="100">
        <v>1</v>
      </c>
      <c r="V124" s="100">
        <v>1807.8773860000006</v>
      </c>
      <c r="W124" s="100">
        <v>894.8993059999998</v>
      </c>
      <c r="X124" s="100">
        <v>0</v>
      </c>
      <c r="Y124" s="100">
        <v>0</v>
      </c>
      <c r="Z124" s="112">
        <f t="shared" si="11"/>
        <v>2.4749999998064012</v>
      </c>
      <c r="AA124" s="107">
        <f t="shared" si="12"/>
        <v>-1.935989146772954E-10</v>
      </c>
      <c r="AC124" s="105" t="str">
        <f t="shared" si="13"/>
        <v>f31t2</v>
      </c>
      <c r="AD124" s="100">
        <v>18</v>
      </c>
      <c r="AE124" s="100">
        <v>31</v>
      </c>
      <c r="AF124" s="100">
        <v>2</v>
      </c>
      <c r="AG124" s="100">
        <v>0.14000000000000001</v>
      </c>
    </row>
    <row r="125" spans="1:33" x14ac:dyDescent="0.3">
      <c r="A125" s="105" t="str">
        <f t="shared" si="9"/>
        <v>f14t3</v>
      </c>
      <c r="B125" s="109">
        <v>191</v>
      </c>
      <c r="C125" s="109">
        <v>14</v>
      </c>
      <c r="D125" s="109">
        <v>4</v>
      </c>
      <c r="E125" s="109">
        <v>3</v>
      </c>
      <c r="F125" s="109">
        <v>1.0780000000000001</v>
      </c>
      <c r="G125" s="109">
        <v>18.368131797026901</v>
      </c>
      <c r="H125" s="110">
        <v>41675.480023148149</v>
      </c>
      <c r="I125" s="111" t="s">
        <v>304</v>
      </c>
      <c r="J125" s="106">
        <f t="shared" si="14"/>
        <v>0</v>
      </c>
      <c r="R125" s="105" t="str">
        <f t="shared" si="10"/>
        <v>f53t3</v>
      </c>
      <c r="S125" s="100">
        <v>191</v>
      </c>
      <c r="T125" s="100">
        <v>53</v>
      </c>
      <c r="U125" s="100">
        <v>3</v>
      </c>
      <c r="V125" s="100">
        <v>6528.0342709999995</v>
      </c>
      <c r="W125" s="100">
        <v>1121.5162869999997</v>
      </c>
      <c r="X125" s="100">
        <v>0</v>
      </c>
      <c r="Y125" s="100">
        <v>0</v>
      </c>
      <c r="Z125" s="112">
        <f t="shared" si="11"/>
        <v>0.85899999941958005</v>
      </c>
      <c r="AA125" s="107">
        <f t="shared" si="12"/>
        <v>-5.8041993433732841E-10</v>
      </c>
      <c r="AC125" s="105" t="str">
        <f t="shared" si="13"/>
        <v>f31t3</v>
      </c>
      <c r="AD125" s="100">
        <v>18</v>
      </c>
      <c r="AE125" s="100">
        <v>31</v>
      </c>
      <c r="AF125" s="100">
        <v>3</v>
      </c>
      <c r="AG125" s="100">
        <v>0.14000000000000001</v>
      </c>
    </row>
    <row r="126" spans="1:33" x14ac:dyDescent="0.3">
      <c r="A126" s="105" t="str">
        <f t="shared" si="9"/>
        <v>f14t4</v>
      </c>
      <c r="B126" s="109">
        <v>191</v>
      </c>
      <c r="C126" s="109">
        <v>14</v>
      </c>
      <c r="D126" s="109">
        <v>4</v>
      </c>
      <c r="E126" s="109">
        <v>4</v>
      </c>
      <c r="F126" s="109">
        <v>1.0780000000000001</v>
      </c>
      <c r="G126" s="109">
        <v>12.292623344682999</v>
      </c>
      <c r="H126" s="110">
        <v>41675.480023148149</v>
      </c>
      <c r="I126" s="111" t="s">
        <v>304</v>
      </c>
      <c r="J126" s="106">
        <f t="shared" si="14"/>
        <v>0</v>
      </c>
      <c r="R126" s="105" t="str">
        <f t="shared" si="10"/>
        <v>f53t4</v>
      </c>
      <c r="S126" s="100">
        <v>191</v>
      </c>
      <c r="T126" s="100">
        <v>53</v>
      </c>
      <c r="U126" s="100">
        <v>4</v>
      </c>
      <c r="V126" s="100">
        <v>1841.0652680000001</v>
      </c>
      <c r="W126" s="100">
        <v>911.32730700000013</v>
      </c>
      <c r="X126" s="100">
        <v>0</v>
      </c>
      <c r="Y126" s="100">
        <v>0</v>
      </c>
      <c r="Z126" s="112">
        <f t="shared" si="11"/>
        <v>2.4749999982075597</v>
      </c>
      <c r="AA126" s="107">
        <f t="shared" si="12"/>
        <v>-1.7924404183133902E-9</v>
      </c>
      <c r="AC126" s="105" t="str">
        <f t="shared" si="13"/>
        <v>f31t4</v>
      </c>
      <c r="AD126" s="100">
        <v>18</v>
      </c>
      <c r="AE126" s="100">
        <v>31</v>
      </c>
      <c r="AF126" s="100">
        <v>4</v>
      </c>
      <c r="AG126" s="100">
        <v>0.14000000000000001</v>
      </c>
    </row>
    <row r="127" spans="1:33" x14ac:dyDescent="0.3">
      <c r="A127" s="105" t="str">
        <f t="shared" si="9"/>
        <v>f14t1</v>
      </c>
      <c r="B127" s="109">
        <v>191</v>
      </c>
      <c r="C127" s="109">
        <v>14</v>
      </c>
      <c r="D127" s="109">
        <v>5</v>
      </c>
      <c r="E127" s="109">
        <v>1</v>
      </c>
      <c r="F127" s="109">
        <v>1.0780000000000001</v>
      </c>
      <c r="G127" s="109">
        <v>5.3919987904321598</v>
      </c>
      <c r="H127" s="110">
        <v>41675.480023148149</v>
      </c>
      <c r="I127" s="111" t="s">
        <v>304</v>
      </c>
      <c r="J127" s="106">
        <f t="shared" si="14"/>
        <v>0</v>
      </c>
      <c r="R127" s="105" t="str">
        <f t="shared" si="10"/>
        <v>f54t1</v>
      </c>
      <c r="S127" s="100">
        <v>191</v>
      </c>
      <c r="T127" s="100">
        <v>54</v>
      </c>
      <c r="U127" s="100">
        <v>1</v>
      </c>
      <c r="V127" s="100">
        <v>2108.5288890000006</v>
      </c>
      <c r="W127" s="100">
        <v>271.156812</v>
      </c>
      <c r="X127" s="100">
        <v>160.18281399999995</v>
      </c>
      <c r="Y127" s="100">
        <v>20.599512999999984</v>
      </c>
      <c r="Z127" s="112">
        <f t="shared" si="11"/>
        <v>0.64299999998721724</v>
      </c>
      <c r="AA127" s="107">
        <f t="shared" si="12"/>
        <v>-1.2782774838626665E-11</v>
      </c>
      <c r="AC127" s="105" t="str">
        <f t="shared" si="13"/>
        <v>f32t1</v>
      </c>
      <c r="AD127" s="100">
        <v>18</v>
      </c>
      <c r="AE127" s="100">
        <v>32</v>
      </c>
      <c r="AF127" s="100">
        <v>1</v>
      </c>
      <c r="AG127" s="100">
        <v>0.255</v>
      </c>
    </row>
    <row r="128" spans="1:33" x14ac:dyDescent="0.3">
      <c r="A128" s="105" t="str">
        <f t="shared" si="9"/>
        <v>f14t2</v>
      </c>
      <c r="B128" s="109">
        <v>191</v>
      </c>
      <c r="C128" s="109">
        <v>14</v>
      </c>
      <c r="D128" s="109">
        <v>5</v>
      </c>
      <c r="E128" s="109">
        <v>2</v>
      </c>
      <c r="F128" s="109">
        <v>1.0780000000000001</v>
      </c>
      <c r="G128" s="109">
        <v>15.0629191831471</v>
      </c>
      <c r="H128" s="110">
        <v>41675.480023148149</v>
      </c>
      <c r="I128" s="111" t="s">
        <v>304</v>
      </c>
      <c r="J128" s="106">
        <f t="shared" si="14"/>
        <v>0</v>
      </c>
      <c r="R128" s="105" t="str">
        <f t="shared" si="10"/>
        <v>f54t3</v>
      </c>
      <c r="S128" s="100">
        <v>191</v>
      </c>
      <c r="T128" s="100">
        <v>54</v>
      </c>
      <c r="U128" s="100">
        <v>3</v>
      </c>
      <c r="V128" s="100">
        <v>2815.2967180000001</v>
      </c>
      <c r="W128" s="100">
        <v>16.891782000000006</v>
      </c>
      <c r="X128" s="100">
        <v>0</v>
      </c>
      <c r="Y128" s="100">
        <v>0</v>
      </c>
      <c r="Z128" s="112">
        <f t="shared" si="11"/>
        <v>3.000000300501186E-2</v>
      </c>
      <c r="AA128" s="107">
        <f t="shared" si="12"/>
        <v>3.005011860873763E-9</v>
      </c>
      <c r="AC128" s="105" t="str">
        <f t="shared" si="13"/>
        <v>f32t2</v>
      </c>
      <c r="AD128" s="100">
        <v>18</v>
      </c>
      <c r="AE128" s="100">
        <v>32</v>
      </c>
      <c r="AF128" s="100">
        <v>2</v>
      </c>
      <c r="AG128" s="100">
        <v>0.255</v>
      </c>
    </row>
    <row r="129" spans="1:33" x14ac:dyDescent="0.3">
      <c r="A129" s="105" t="str">
        <f t="shared" si="9"/>
        <v>f14t3</v>
      </c>
      <c r="B129" s="109">
        <v>191</v>
      </c>
      <c r="C129" s="109">
        <v>14</v>
      </c>
      <c r="D129" s="109">
        <v>5</v>
      </c>
      <c r="E129" s="109">
        <v>3</v>
      </c>
      <c r="F129" s="109">
        <v>1.0780000000000001</v>
      </c>
      <c r="G129" s="109">
        <v>18.368131797026901</v>
      </c>
      <c r="H129" s="110">
        <v>41675.480023148149</v>
      </c>
      <c r="I129" s="111" t="s">
        <v>304</v>
      </c>
      <c r="J129" s="106">
        <f t="shared" si="14"/>
        <v>0</v>
      </c>
      <c r="R129" s="105" t="str">
        <f t="shared" si="10"/>
        <v>f54t4</v>
      </c>
      <c r="S129" s="100">
        <v>191</v>
      </c>
      <c r="T129" s="100">
        <v>54</v>
      </c>
      <c r="U129" s="100">
        <v>4</v>
      </c>
      <c r="V129" s="100">
        <v>2250.8756229999999</v>
      </c>
      <c r="W129" s="100">
        <v>289.46261000000021</v>
      </c>
      <c r="X129" s="100">
        <v>170.952583</v>
      </c>
      <c r="Y129" s="100">
        <v>21.984502000000003</v>
      </c>
      <c r="Z129" s="112">
        <f t="shared" si="11"/>
        <v>0.64300000972075588</v>
      </c>
      <c r="AA129" s="107">
        <f t="shared" si="12"/>
        <v>9.7207558669154537E-9</v>
      </c>
      <c r="AC129" s="105" t="str">
        <f t="shared" si="13"/>
        <v>f32t3</v>
      </c>
      <c r="AD129" s="100">
        <v>18</v>
      </c>
      <c r="AE129" s="100">
        <v>32</v>
      </c>
      <c r="AF129" s="100">
        <v>3</v>
      </c>
      <c r="AG129" s="100">
        <v>0.255</v>
      </c>
    </row>
    <row r="130" spans="1:33" x14ac:dyDescent="0.3">
      <c r="A130" s="105" t="str">
        <f t="shared" si="9"/>
        <v>f14t4</v>
      </c>
      <c r="B130" s="109">
        <v>191</v>
      </c>
      <c r="C130" s="109">
        <v>14</v>
      </c>
      <c r="D130" s="109">
        <v>5</v>
      </c>
      <c r="E130" s="109">
        <v>4</v>
      </c>
      <c r="F130" s="109">
        <v>1.0780000000000001</v>
      </c>
      <c r="G130" s="109">
        <v>12.292623344682999</v>
      </c>
      <c r="H130" s="110">
        <v>41675.480023148149</v>
      </c>
      <c r="I130" s="111" t="s">
        <v>304</v>
      </c>
      <c r="J130" s="106">
        <f t="shared" si="14"/>
        <v>0</v>
      </c>
      <c r="R130" s="105" t="str">
        <f t="shared" si="10"/>
        <v>f55t3</v>
      </c>
      <c r="S130" s="100">
        <v>191</v>
      </c>
      <c r="T130" s="100">
        <v>55</v>
      </c>
      <c r="U130" s="100">
        <v>3</v>
      </c>
      <c r="V130" s="100">
        <v>0</v>
      </c>
      <c r="W130" s="100">
        <v>0</v>
      </c>
      <c r="X130" s="100">
        <v>500.00000500000016</v>
      </c>
      <c r="Y130" s="100">
        <v>219.16522900000001</v>
      </c>
      <c r="Z130" s="112">
        <f t="shared" si="11"/>
        <v>1.4611015120556512</v>
      </c>
      <c r="AA130" s="107" t="e">
        <f t="shared" si="12"/>
        <v>#N/A</v>
      </c>
      <c r="AC130" s="105" t="str">
        <f t="shared" si="13"/>
        <v>f32t4</v>
      </c>
      <c r="AD130" s="100">
        <v>18</v>
      </c>
      <c r="AE130" s="100">
        <v>32</v>
      </c>
      <c r="AF130" s="100">
        <v>4</v>
      </c>
      <c r="AG130" s="100">
        <v>0.255</v>
      </c>
    </row>
    <row r="131" spans="1:33" x14ac:dyDescent="0.3">
      <c r="A131" s="105" t="str">
        <f t="shared" si="9"/>
        <v>f15t1</v>
      </c>
      <c r="B131" s="109">
        <v>191</v>
      </c>
      <c r="C131" s="109">
        <v>15</v>
      </c>
      <c r="D131" s="109">
        <v>2</v>
      </c>
      <c r="E131" s="109">
        <v>1</v>
      </c>
      <c r="F131" s="109">
        <v>0.442</v>
      </c>
      <c r="G131" s="109">
        <v>4.6253328594360399</v>
      </c>
      <c r="H131" s="110">
        <v>41675.480023148149</v>
      </c>
      <c r="I131" s="111" t="s">
        <v>304</v>
      </c>
      <c r="J131" s="106">
        <f t="shared" si="14"/>
        <v>0</v>
      </c>
      <c r="R131" s="105" t="str">
        <f t="shared" si="10"/>
        <v>f56t1</v>
      </c>
      <c r="S131" s="100">
        <v>191</v>
      </c>
      <c r="T131" s="100">
        <v>56</v>
      </c>
      <c r="U131" s="100">
        <v>1</v>
      </c>
      <c r="V131" s="100">
        <v>3313.4586770000024</v>
      </c>
      <c r="W131" s="100">
        <v>4554.0176060000022</v>
      </c>
      <c r="X131" s="100">
        <v>0</v>
      </c>
      <c r="Y131" s="100">
        <v>0</v>
      </c>
      <c r="Z131" s="112">
        <f t="shared" si="11"/>
        <v>6.8720000004997779</v>
      </c>
      <c r="AA131" s="107">
        <f t="shared" si="12"/>
        <v>4.9977799676526047E-10</v>
      </c>
      <c r="AC131" s="105" t="str">
        <f t="shared" si="13"/>
        <v>f33t1</v>
      </c>
      <c r="AD131" s="100">
        <v>18</v>
      </c>
      <c r="AE131" s="100">
        <v>33</v>
      </c>
      <c r="AF131" s="100">
        <v>1</v>
      </c>
      <c r="AG131" s="100">
        <v>0.23</v>
      </c>
    </row>
    <row r="132" spans="1:33" x14ac:dyDescent="0.3">
      <c r="A132" s="105" t="str">
        <f t="shared" ref="A132:A195" si="15">"f"&amp;C132&amp;"t"&amp;E132</f>
        <v>f15t2</v>
      </c>
      <c r="B132" s="109">
        <v>191</v>
      </c>
      <c r="C132" s="109">
        <v>15</v>
      </c>
      <c r="D132" s="109">
        <v>2</v>
      </c>
      <c r="E132" s="109">
        <v>2</v>
      </c>
      <c r="F132" s="109">
        <v>0.442</v>
      </c>
      <c r="G132" s="109">
        <v>5.8571922118220696</v>
      </c>
      <c r="H132" s="110">
        <v>41675.480023148149</v>
      </c>
      <c r="I132" s="111" t="s">
        <v>304</v>
      </c>
      <c r="J132" s="106">
        <f t="shared" si="14"/>
        <v>0</v>
      </c>
      <c r="R132" s="105" t="str">
        <f t="shared" ref="R132:R174" si="16">"f"&amp;T132&amp;"t"&amp;U132</f>
        <v>f56t2</v>
      </c>
      <c r="S132" s="100">
        <v>191</v>
      </c>
      <c r="T132" s="100">
        <v>56</v>
      </c>
      <c r="U132" s="100">
        <v>2</v>
      </c>
      <c r="V132" s="100">
        <v>0</v>
      </c>
      <c r="W132" s="100">
        <v>0</v>
      </c>
      <c r="X132" s="100">
        <v>0</v>
      </c>
      <c r="Y132" s="100">
        <v>0</v>
      </c>
      <c r="Z132" s="112" t="e">
        <f t="shared" ref="Z132:Z174" si="17">((Y132+W132)/VLOOKUP(R132,AC$3:AG$294,5,FALSE))/(X132+V132)</f>
        <v>#DIV/0!</v>
      </c>
      <c r="AA132" s="107" t="e">
        <f t="shared" ref="AA132:AA174" si="18">Z132-VLOOKUP(R132,L$3:P$100,5,FALSE)</f>
        <v>#DIV/0!</v>
      </c>
      <c r="AC132" s="105" t="str">
        <f t="shared" ref="AC132:AC195" si="19">"f"&amp;AE132&amp;"t"&amp;AF132</f>
        <v>f33t2</v>
      </c>
      <c r="AD132" s="100">
        <v>18</v>
      </c>
      <c r="AE132" s="100">
        <v>33</v>
      </c>
      <c r="AF132" s="100">
        <v>2</v>
      </c>
      <c r="AG132" s="100">
        <v>0.23</v>
      </c>
    </row>
    <row r="133" spans="1:33" x14ac:dyDescent="0.3">
      <c r="A133" s="105" t="str">
        <f t="shared" si="15"/>
        <v>f15t3</v>
      </c>
      <c r="B133" s="109">
        <v>191</v>
      </c>
      <c r="C133" s="109">
        <v>15</v>
      </c>
      <c r="D133" s="109">
        <v>2</v>
      </c>
      <c r="E133" s="109">
        <v>3</v>
      </c>
      <c r="F133" s="109">
        <v>0.442</v>
      </c>
      <c r="G133" s="109">
        <v>6.5413689736994201</v>
      </c>
      <c r="H133" s="110">
        <v>41675.480023148149</v>
      </c>
      <c r="I133" s="111" t="s">
        <v>304</v>
      </c>
      <c r="J133" s="106">
        <f t="shared" si="14"/>
        <v>0</v>
      </c>
      <c r="R133" s="105" t="str">
        <f t="shared" si="16"/>
        <v>f56t3</v>
      </c>
      <c r="S133" s="100">
        <v>191</v>
      </c>
      <c r="T133" s="100">
        <v>56</v>
      </c>
      <c r="U133" s="100">
        <v>3</v>
      </c>
      <c r="V133" s="100">
        <v>3871.2682729999992</v>
      </c>
      <c r="W133" s="100">
        <v>908.97378799999979</v>
      </c>
      <c r="X133" s="100">
        <v>0</v>
      </c>
      <c r="Y133" s="100">
        <v>0</v>
      </c>
      <c r="Z133" s="112">
        <f t="shared" si="17"/>
        <v>1.1739999967705672</v>
      </c>
      <c r="AA133" s="107">
        <f t="shared" si="18"/>
        <v>-3.2294327212412099E-9</v>
      </c>
      <c r="AC133" s="105" t="str">
        <f t="shared" si="19"/>
        <v>f33t3</v>
      </c>
      <c r="AD133" s="100">
        <v>18</v>
      </c>
      <c r="AE133" s="100">
        <v>33</v>
      </c>
      <c r="AF133" s="100">
        <v>3</v>
      </c>
      <c r="AG133" s="100">
        <v>0.23</v>
      </c>
    </row>
    <row r="134" spans="1:33" x14ac:dyDescent="0.3">
      <c r="A134" s="105" t="str">
        <f t="shared" si="15"/>
        <v>f15t4</v>
      </c>
      <c r="B134" s="109">
        <v>191</v>
      </c>
      <c r="C134" s="109">
        <v>15</v>
      </c>
      <c r="D134" s="109">
        <v>2</v>
      </c>
      <c r="E134" s="109">
        <v>4</v>
      </c>
      <c r="F134" s="109">
        <v>0.442</v>
      </c>
      <c r="G134" s="109">
        <v>14.5321016079979</v>
      </c>
      <c r="H134" s="110">
        <v>41675.480023148149</v>
      </c>
      <c r="I134" s="111" t="s">
        <v>304</v>
      </c>
      <c r="J134" s="106">
        <f t="shared" si="14"/>
        <v>0</v>
      </c>
      <c r="R134" s="105" t="str">
        <f t="shared" si="16"/>
        <v>f56t4</v>
      </c>
      <c r="S134" s="100">
        <v>191</v>
      </c>
      <c r="T134" s="100">
        <v>56</v>
      </c>
      <c r="U134" s="100">
        <v>4</v>
      </c>
      <c r="V134" s="100">
        <v>3179.1941589999997</v>
      </c>
      <c r="W134" s="100">
        <v>4369.4844549999989</v>
      </c>
      <c r="X134" s="100">
        <v>0</v>
      </c>
      <c r="Y134" s="100">
        <v>0</v>
      </c>
      <c r="Z134" s="112">
        <f t="shared" si="17"/>
        <v>6.8720000045143506</v>
      </c>
      <c r="AA134" s="107">
        <f t="shared" si="18"/>
        <v>4.5143506710587644E-9</v>
      </c>
      <c r="AC134" s="105" t="str">
        <f t="shared" si="19"/>
        <v>f33t4</v>
      </c>
      <c r="AD134" s="100">
        <v>18</v>
      </c>
      <c r="AE134" s="100">
        <v>33</v>
      </c>
      <c r="AF134" s="100">
        <v>4</v>
      </c>
      <c r="AG134" s="100">
        <v>0.23</v>
      </c>
    </row>
    <row r="135" spans="1:33" x14ac:dyDescent="0.3">
      <c r="A135" s="105" t="str">
        <f t="shared" si="15"/>
        <v>f15t1</v>
      </c>
      <c r="B135" s="109">
        <v>191</v>
      </c>
      <c r="C135" s="109">
        <v>15</v>
      </c>
      <c r="D135" s="109">
        <v>3</v>
      </c>
      <c r="E135" s="109">
        <v>1</v>
      </c>
      <c r="F135" s="109">
        <v>0.442</v>
      </c>
      <c r="G135" s="109">
        <v>4.6253328594360399</v>
      </c>
      <c r="H135" s="110">
        <v>41675.480023148149</v>
      </c>
      <c r="I135" s="111" t="s">
        <v>304</v>
      </c>
      <c r="J135" s="106">
        <f t="shared" si="14"/>
        <v>0</v>
      </c>
      <c r="R135" s="105" t="str">
        <f t="shared" si="16"/>
        <v>f57t1</v>
      </c>
      <c r="S135" s="100">
        <v>191</v>
      </c>
      <c r="T135" s="100">
        <v>57</v>
      </c>
      <c r="U135" s="100">
        <v>1</v>
      </c>
      <c r="V135" s="100">
        <v>682.62697600000001</v>
      </c>
      <c r="W135" s="100">
        <v>247.11096799999999</v>
      </c>
      <c r="X135" s="100">
        <v>877.271612</v>
      </c>
      <c r="Y135" s="100">
        <v>317.5723210000001</v>
      </c>
      <c r="Z135" s="112">
        <f t="shared" si="17"/>
        <v>1.8100000004615686</v>
      </c>
      <c r="AA135" s="107">
        <f t="shared" si="18"/>
        <v>4.6156856114976108E-10</v>
      </c>
      <c r="AC135" s="105" t="str">
        <f t="shared" si="19"/>
        <v>f34t1</v>
      </c>
      <c r="AD135" s="100">
        <v>18</v>
      </c>
      <c r="AE135" s="100">
        <v>34</v>
      </c>
      <c r="AF135" s="100">
        <v>1</v>
      </c>
      <c r="AG135" s="100">
        <v>0.255</v>
      </c>
    </row>
    <row r="136" spans="1:33" x14ac:dyDescent="0.3">
      <c r="A136" s="105" t="str">
        <f t="shared" si="15"/>
        <v>f15t2</v>
      </c>
      <c r="B136" s="109">
        <v>191</v>
      </c>
      <c r="C136" s="109">
        <v>15</v>
      </c>
      <c r="D136" s="109">
        <v>3</v>
      </c>
      <c r="E136" s="109">
        <v>2</v>
      </c>
      <c r="F136" s="109">
        <v>0.442</v>
      </c>
      <c r="G136" s="109">
        <v>5.8571922118220696</v>
      </c>
      <c r="H136" s="110">
        <v>41675.480023148149</v>
      </c>
      <c r="I136" s="111" t="s">
        <v>304</v>
      </c>
      <c r="J136" s="106">
        <f t="shared" si="14"/>
        <v>0</v>
      </c>
      <c r="R136" s="105" t="str">
        <f t="shared" si="16"/>
        <v>f57t2</v>
      </c>
      <c r="S136" s="100">
        <v>191</v>
      </c>
      <c r="T136" s="100">
        <v>57</v>
      </c>
      <c r="U136" s="100">
        <v>2</v>
      </c>
      <c r="V136" s="100">
        <v>1037.449744</v>
      </c>
      <c r="W136" s="100">
        <v>132.79356900000005</v>
      </c>
      <c r="X136" s="100">
        <v>0</v>
      </c>
      <c r="Y136" s="100">
        <v>0</v>
      </c>
      <c r="Z136" s="112">
        <f t="shared" si="17"/>
        <v>0.64000000852089489</v>
      </c>
      <c r="AA136" s="107">
        <f t="shared" si="18"/>
        <v>8.520894878571994E-9</v>
      </c>
      <c r="AC136" s="105" t="str">
        <f t="shared" si="19"/>
        <v>f34t2</v>
      </c>
      <c r="AD136" s="100">
        <v>18</v>
      </c>
      <c r="AE136" s="100">
        <v>34</v>
      </c>
      <c r="AF136" s="100">
        <v>2</v>
      </c>
      <c r="AG136" s="100">
        <v>0.255</v>
      </c>
    </row>
    <row r="137" spans="1:33" x14ac:dyDescent="0.3">
      <c r="A137" s="105" t="str">
        <f t="shared" si="15"/>
        <v>f15t3</v>
      </c>
      <c r="B137" s="109">
        <v>191</v>
      </c>
      <c r="C137" s="109">
        <v>15</v>
      </c>
      <c r="D137" s="109">
        <v>3</v>
      </c>
      <c r="E137" s="109">
        <v>3</v>
      </c>
      <c r="F137" s="109">
        <v>0.442</v>
      </c>
      <c r="G137" s="109">
        <v>6.5413689736994201</v>
      </c>
      <c r="H137" s="110">
        <v>41675.480023148149</v>
      </c>
      <c r="I137" s="111" t="s">
        <v>304</v>
      </c>
      <c r="J137" s="106">
        <f t="shared" si="14"/>
        <v>0</v>
      </c>
      <c r="R137" s="105" t="str">
        <f t="shared" si="16"/>
        <v>f57t3</v>
      </c>
      <c r="S137" s="100">
        <v>191</v>
      </c>
      <c r="T137" s="100">
        <v>57</v>
      </c>
      <c r="U137" s="100">
        <v>3</v>
      </c>
      <c r="V137" s="100">
        <v>6932.168181</v>
      </c>
      <c r="W137" s="100">
        <v>887.3175279999997</v>
      </c>
      <c r="X137" s="100">
        <v>0</v>
      </c>
      <c r="Y137" s="100">
        <v>0</v>
      </c>
      <c r="Z137" s="112">
        <f t="shared" si="17"/>
        <v>0.64000000060010054</v>
      </c>
      <c r="AA137" s="107">
        <f t="shared" si="18"/>
        <v>6.0010052482795118E-10</v>
      </c>
      <c r="AC137" s="105" t="str">
        <f t="shared" si="19"/>
        <v>f34t3</v>
      </c>
      <c r="AD137" s="100">
        <v>18</v>
      </c>
      <c r="AE137" s="100">
        <v>34</v>
      </c>
      <c r="AF137" s="100">
        <v>3</v>
      </c>
      <c r="AG137" s="100">
        <v>0.255</v>
      </c>
    </row>
    <row r="138" spans="1:33" x14ac:dyDescent="0.3">
      <c r="A138" s="105" t="str">
        <f t="shared" si="15"/>
        <v>f15t4</v>
      </c>
      <c r="B138" s="109">
        <v>191</v>
      </c>
      <c r="C138" s="109">
        <v>15</v>
      </c>
      <c r="D138" s="109">
        <v>3</v>
      </c>
      <c r="E138" s="109">
        <v>4</v>
      </c>
      <c r="F138" s="109">
        <v>0.442</v>
      </c>
      <c r="G138" s="109">
        <v>14.5321016079979</v>
      </c>
      <c r="H138" s="110">
        <v>41675.480023148149</v>
      </c>
      <c r="I138" s="111" t="s">
        <v>304</v>
      </c>
      <c r="J138" s="106">
        <f t="shared" si="14"/>
        <v>0</v>
      </c>
      <c r="R138" s="105" t="str">
        <f t="shared" si="16"/>
        <v>f57t4</v>
      </c>
      <c r="S138" s="100">
        <v>191</v>
      </c>
      <c r="T138" s="100">
        <v>57</v>
      </c>
      <c r="U138" s="100">
        <v>4</v>
      </c>
      <c r="V138" s="100">
        <v>559.86856499999999</v>
      </c>
      <c r="W138" s="100">
        <v>202.67242299999995</v>
      </c>
      <c r="X138" s="100">
        <v>719.18076299999996</v>
      </c>
      <c r="Y138" s="100">
        <v>260.34343399999989</v>
      </c>
      <c r="Z138" s="112">
        <f t="shared" si="17"/>
        <v>1.8100000010320159</v>
      </c>
      <c r="AA138" s="107">
        <f t="shared" si="18"/>
        <v>1.0320158061460916E-9</v>
      </c>
      <c r="AC138" s="105" t="str">
        <f t="shared" si="19"/>
        <v>f34t4</v>
      </c>
      <c r="AD138" s="100">
        <v>18</v>
      </c>
      <c r="AE138" s="100">
        <v>34</v>
      </c>
      <c r="AF138" s="100">
        <v>4</v>
      </c>
      <c r="AG138" s="100">
        <v>0.255</v>
      </c>
    </row>
    <row r="139" spans="1:33" x14ac:dyDescent="0.3">
      <c r="A139" s="105" t="str">
        <f t="shared" si="15"/>
        <v>f15t1</v>
      </c>
      <c r="B139" s="109">
        <v>191</v>
      </c>
      <c r="C139" s="109">
        <v>15</v>
      </c>
      <c r="D139" s="109">
        <v>4</v>
      </c>
      <c r="E139" s="109">
        <v>1</v>
      </c>
      <c r="F139" s="109">
        <v>0.442</v>
      </c>
      <c r="G139" s="109">
        <v>4.6253328594360399</v>
      </c>
      <c r="H139" s="110">
        <v>41675.480023148149</v>
      </c>
      <c r="I139" s="111" t="s">
        <v>304</v>
      </c>
      <c r="J139" s="106">
        <f t="shared" si="14"/>
        <v>0</v>
      </c>
      <c r="R139" s="105" t="str">
        <f t="shared" si="16"/>
        <v>f58t1</v>
      </c>
      <c r="S139" s="100">
        <v>191</v>
      </c>
      <c r="T139" s="100">
        <v>58</v>
      </c>
      <c r="U139" s="100">
        <v>1</v>
      </c>
      <c r="V139" s="100">
        <v>0</v>
      </c>
      <c r="W139" s="100">
        <v>0</v>
      </c>
      <c r="X139" s="100">
        <v>1077.9425920000001</v>
      </c>
      <c r="Y139" s="100">
        <v>0</v>
      </c>
      <c r="Z139" s="112">
        <f t="shared" si="17"/>
        <v>0</v>
      </c>
      <c r="AA139" s="107" t="e">
        <f t="shared" si="18"/>
        <v>#N/A</v>
      </c>
      <c r="AC139" s="105" t="str">
        <f t="shared" si="19"/>
        <v>f35t1</v>
      </c>
      <c r="AD139" s="100">
        <v>18</v>
      </c>
      <c r="AE139" s="100">
        <v>35</v>
      </c>
      <c r="AF139" s="100">
        <v>1</v>
      </c>
      <c r="AG139" s="100">
        <v>0.23</v>
      </c>
    </row>
    <row r="140" spans="1:33" x14ac:dyDescent="0.3">
      <c r="A140" s="105" t="str">
        <f t="shared" si="15"/>
        <v>f15t2</v>
      </c>
      <c r="B140" s="109">
        <v>191</v>
      </c>
      <c r="C140" s="109">
        <v>15</v>
      </c>
      <c r="D140" s="109">
        <v>4</v>
      </c>
      <c r="E140" s="109">
        <v>2</v>
      </c>
      <c r="F140" s="109">
        <v>0.442</v>
      </c>
      <c r="G140" s="109">
        <v>5.8571922118220696</v>
      </c>
      <c r="H140" s="110">
        <v>41675.480023148149</v>
      </c>
      <c r="I140" s="111" t="s">
        <v>304</v>
      </c>
      <c r="J140" s="106">
        <f t="shared" si="14"/>
        <v>0</v>
      </c>
      <c r="R140" s="105" t="str">
        <f t="shared" si="16"/>
        <v>f58t3</v>
      </c>
      <c r="S140" s="100">
        <v>191</v>
      </c>
      <c r="T140" s="100">
        <v>58</v>
      </c>
      <c r="U140" s="100">
        <v>3</v>
      </c>
      <c r="V140" s="100">
        <v>0</v>
      </c>
      <c r="W140" s="100">
        <v>0</v>
      </c>
      <c r="X140" s="100">
        <v>173.49999699999998</v>
      </c>
      <c r="Y140" s="100">
        <v>0</v>
      </c>
      <c r="Z140" s="112">
        <f t="shared" si="17"/>
        <v>0</v>
      </c>
      <c r="AA140" s="107" t="e">
        <f t="shared" si="18"/>
        <v>#N/A</v>
      </c>
      <c r="AC140" s="105" t="str">
        <f t="shared" si="19"/>
        <v>f35t2</v>
      </c>
      <c r="AD140" s="100">
        <v>18</v>
      </c>
      <c r="AE140" s="100">
        <v>35</v>
      </c>
      <c r="AF140" s="100">
        <v>2</v>
      </c>
      <c r="AG140" s="100">
        <v>0.23</v>
      </c>
    </row>
    <row r="141" spans="1:33" x14ac:dyDescent="0.3">
      <c r="A141" s="105" t="str">
        <f t="shared" si="15"/>
        <v>f15t3</v>
      </c>
      <c r="B141" s="109">
        <v>191</v>
      </c>
      <c r="C141" s="109">
        <v>15</v>
      </c>
      <c r="D141" s="109">
        <v>4</v>
      </c>
      <c r="E141" s="109">
        <v>3</v>
      </c>
      <c r="F141" s="109">
        <v>0.442</v>
      </c>
      <c r="G141" s="109">
        <v>6.5413689736994201</v>
      </c>
      <c r="H141" s="110">
        <v>41675.480023148149</v>
      </c>
      <c r="I141" s="111" t="s">
        <v>304</v>
      </c>
      <c r="J141" s="106">
        <f t="shared" si="14"/>
        <v>0</v>
      </c>
      <c r="R141" s="105" t="str">
        <f t="shared" si="16"/>
        <v>f58t4</v>
      </c>
      <c r="S141" s="100">
        <v>191</v>
      </c>
      <c r="T141" s="100">
        <v>58</v>
      </c>
      <c r="U141" s="100">
        <v>4</v>
      </c>
      <c r="V141" s="100">
        <v>0</v>
      </c>
      <c r="W141" s="100">
        <v>0</v>
      </c>
      <c r="X141" s="100">
        <v>140.00000200000002</v>
      </c>
      <c r="Y141" s="100">
        <v>0</v>
      </c>
      <c r="Z141" s="112">
        <f t="shared" si="17"/>
        <v>0</v>
      </c>
      <c r="AA141" s="107" t="e">
        <f t="shared" si="18"/>
        <v>#N/A</v>
      </c>
      <c r="AC141" s="105" t="str">
        <f t="shared" si="19"/>
        <v>f35t3</v>
      </c>
      <c r="AD141" s="100">
        <v>18</v>
      </c>
      <c r="AE141" s="100">
        <v>35</v>
      </c>
      <c r="AF141" s="100">
        <v>3</v>
      </c>
      <c r="AG141" s="100">
        <v>0.23</v>
      </c>
    </row>
    <row r="142" spans="1:33" x14ac:dyDescent="0.3">
      <c r="A142" s="105" t="str">
        <f t="shared" si="15"/>
        <v>f15t4</v>
      </c>
      <c r="B142" s="109">
        <v>191</v>
      </c>
      <c r="C142" s="109">
        <v>15</v>
      </c>
      <c r="D142" s="109">
        <v>4</v>
      </c>
      <c r="E142" s="109">
        <v>4</v>
      </c>
      <c r="F142" s="109">
        <v>0.442</v>
      </c>
      <c r="G142" s="109">
        <v>14.5321016079979</v>
      </c>
      <c r="H142" s="110">
        <v>41675.480023148149</v>
      </c>
      <c r="I142" s="111" t="s">
        <v>304</v>
      </c>
      <c r="J142" s="106">
        <f t="shared" si="14"/>
        <v>0</v>
      </c>
      <c r="R142" s="105" t="str">
        <f t="shared" si="16"/>
        <v>f59t1</v>
      </c>
      <c r="S142" s="100">
        <v>191</v>
      </c>
      <c r="T142" s="100">
        <v>59</v>
      </c>
      <c r="U142" s="100">
        <v>1</v>
      </c>
      <c r="V142" s="100">
        <v>0</v>
      </c>
      <c r="W142" s="100">
        <v>0</v>
      </c>
      <c r="X142" s="100">
        <v>559.19401399999992</v>
      </c>
      <c r="Y142" s="100">
        <v>0</v>
      </c>
      <c r="Z142" s="112">
        <f t="shared" si="17"/>
        <v>0</v>
      </c>
      <c r="AA142" s="107" t="e">
        <f t="shared" si="18"/>
        <v>#N/A</v>
      </c>
      <c r="AC142" s="105" t="str">
        <f t="shared" si="19"/>
        <v>f35t4</v>
      </c>
      <c r="AD142" s="100">
        <v>18</v>
      </c>
      <c r="AE142" s="100">
        <v>35</v>
      </c>
      <c r="AF142" s="100">
        <v>4</v>
      </c>
      <c r="AG142" s="100">
        <v>0.23</v>
      </c>
    </row>
    <row r="143" spans="1:33" x14ac:dyDescent="0.3">
      <c r="A143" s="105" t="str">
        <f t="shared" si="15"/>
        <v>f15t1</v>
      </c>
      <c r="B143" s="109">
        <v>191</v>
      </c>
      <c r="C143" s="109">
        <v>15</v>
      </c>
      <c r="D143" s="109">
        <v>5</v>
      </c>
      <c r="E143" s="109">
        <v>1</v>
      </c>
      <c r="F143" s="109">
        <v>0.442</v>
      </c>
      <c r="G143" s="109">
        <v>4.6253328594360399</v>
      </c>
      <c r="H143" s="110">
        <v>41675.480023148149</v>
      </c>
      <c r="I143" s="111" t="s">
        <v>304</v>
      </c>
      <c r="J143" s="106">
        <f t="shared" si="14"/>
        <v>0</v>
      </c>
      <c r="R143" s="105" t="str">
        <f t="shared" si="16"/>
        <v>f59t3</v>
      </c>
      <c r="S143" s="100">
        <v>191</v>
      </c>
      <c r="T143" s="100">
        <v>59</v>
      </c>
      <c r="U143" s="100">
        <v>3</v>
      </c>
      <c r="V143" s="100">
        <v>0</v>
      </c>
      <c r="W143" s="100">
        <v>0</v>
      </c>
      <c r="X143" s="100">
        <v>273.50000199999999</v>
      </c>
      <c r="Y143" s="100">
        <v>0</v>
      </c>
      <c r="Z143" s="112">
        <f t="shared" si="17"/>
        <v>0</v>
      </c>
      <c r="AA143" s="107" t="e">
        <f t="shared" si="18"/>
        <v>#N/A</v>
      </c>
      <c r="AC143" s="105" t="str">
        <f t="shared" si="19"/>
        <v>f36t1</v>
      </c>
      <c r="AD143" s="100">
        <v>18</v>
      </c>
      <c r="AE143" s="100">
        <v>36</v>
      </c>
      <c r="AF143" s="100">
        <v>1</v>
      </c>
      <c r="AG143" s="100">
        <v>0.2</v>
      </c>
    </row>
    <row r="144" spans="1:33" x14ac:dyDescent="0.3">
      <c r="A144" s="105" t="str">
        <f t="shared" si="15"/>
        <v>f15t2</v>
      </c>
      <c r="B144" s="109">
        <v>191</v>
      </c>
      <c r="C144" s="109">
        <v>15</v>
      </c>
      <c r="D144" s="109">
        <v>5</v>
      </c>
      <c r="E144" s="109">
        <v>2</v>
      </c>
      <c r="F144" s="109">
        <v>0.442</v>
      </c>
      <c r="G144" s="109">
        <v>5.8571922118220696</v>
      </c>
      <c r="H144" s="110">
        <v>41675.480023148149</v>
      </c>
      <c r="I144" s="111" t="s">
        <v>304</v>
      </c>
      <c r="J144" s="106">
        <f t="shared" si="14"/>
        <v>0</v>
      </c>
      <c r="R144" s="105" t="str">
        <f t="shared" si="16"/>
        <v>f59t4</v>
      </c>
      <c r="S144" s="100">
        <v>191</v>
      </c>
      <c r="T144" s="100">
        <v>59</v>
      </c>
      <c r="U144" s="100">
        <v>4</v>
      </c>
      <c r="V144" s="100">
        <v>0</v>
      </c>
      <c r="W144" s="100">
        <v>0</v>
      </c>
      <c r="X144" s="100">
        <v>26.999998999999999</v>
      </c>
      <c r="Y144" s="100">
        <v>0</v>
      </c>
      <c r="Z144" s="112">
        <f t="shared" si="17"/>
        <v>0</v>
      </c>
      <c r="AA144" s="107" t="e">
        <f t="shared" si="18"/>
        <v>#N/A</v>
      </c>
      <c r="AC144" s="105" t="str">
        <f t="shared" si="19"/>
        <v>f36t2</v>
      </c>
      <c r="AD144" s="100">
        <v>18</v>
      </c>
      <c r="AE144" s="100">
        <v>36</v>
      </c>
      <c r="AF144" s="100">
        <v>2</v>
      </c>
      <c r="AG144" s="100">
        <v>0.2</v>
      </c>
    </row>
    <row r="145" spans="1:33" x14ac:dyDescent="0.3">
      <c r="A145" s="105" t="str">
        <f t="shared" si="15"/>
        <v>f15t3</v>
      </c>
      <c r="B145" s="109">
        <v>191</v>
      </c>
      <c r="C145" s="109">
        <v>15</v>
      </c>
      <c r="D145" s="109">
        <v>5</v>
      </c>
      <c r="E145" s="109">
        <v>3</v>
      </c>
      <c r="F145" s="109">
        <v>0.442</v>
      </c>
      <c r="G145" s="109">
        <v>6.5413689736994201</v>
      </c>
      <c r="H145" s="110">
        <v>41675.480023148149</v>
      </c>
      <c r="I145" s="111" t="s">
        <v>304</v>
      </c>
      <c r="J145" s="106">
        <f t="shared" si="14"/>
        <v>0</v>
      </c>
      <c r="R145" s="105" t="str">
        <f t="shared" si="16"/>
        <v>f60t1</v>
      </c>
      <c r="S145" s="100">
        <v>191</v>
      </c>
      <c r="T145" s="100">
        <v>60</v>
      </c>
      <c r="U145" s="100">
        <v>1</v>
      </c>
      <c r="V145" s="100">
        <v>0</v>
      </c>
      <c r="W145" s="100">
        <v>0</v>
      </c>
      <c r="X145" s="100">
        <v>1.7767000000000002E-2</v>
      </c>
      <c r="Y145" s="100">
        <v>0</v>
      </c>
      <c r="Z145" s="112">
        <f t="shared" si="17"/>
        <v>0</v>
      </c>
      <c r="AA145" s="107" t="e">
        <f t="shared" si="18"/>
        <v>#N/A</v>
      </c>
      <c r="AC145" s="105" t="str">
        <f t="shared" si="19"/>
        <v>f36t3</v>
      </c>
      <c r="AD145" s="100">
        <v>18</v>
      </c>
      <c r="AE145" s="100">
        <v>36</v>
      </c>
      <c r="AF145" s="100">
        <v>3</v>
      </c>
      <c r="AG145" s="100">
        <v>0.2</v>
      </c>
    </row>
    <row r="146" spans="1:33" x14ac:dyDescent="0.3">
      <c r="A146" s="105" t="str">
        <f t="shared" si="15"/>
        <v>f15t4</v>
      </c>
      <c r="B146" s="109">
        <v>191</v>
      </c>
      <c r="C146" s="109">
        <v>15</v>
      </c>
      <c r="D146" s="109">
        <v>5</v>
      </c>
      <c r="E146" s="109">
        <v>4</v>
      </c>
      <c r="F146" s="109">
        <v>0.442</v>
      </c>
      <c r="G146" s="109">
        <v>14.5321016079979</v>
      </c>
      <c r="H146" s="110">
        <v>41675.480023148149</v>
      </c>
      <c r="I146" s="111" t="s">
        <v>304</v>
      </c>
      <c r="J146" s="106">
        <f t="shared" si="14"/>
        <v>0</v>
      </c>
      <c r="R146" s="105" t="str">
        <f t="shared" si="16"/>
        <v>f60t3</v>
      </c>
      <c r="S146" s="100">
        <v>191</v>
      </c>
      <c r="T146" s="100">
        <v>60</v>
      </c>
      <c r="U146" s="100">
        <v>3</v>
      </c>
      <c r="V146" s="100">
        <v>0</v>
      </c>
      <c r="W146" s="100">
        <v>0</v>
      </c>
      <c r="X146" s="100">
        <v>43.000001999999995</v>
      </c>
      <c r="Y146" s="100">
        <v>0</v>
      </c>
      <c r="Z146" s="112">
        <f t="shared" si="17"/>
        <v>0</v>
      </c>
      <c r="AA146" s="107" t="e">
        <f t="shared" si="18"/>
        <v>#N/A</v>
      </c>
      <c r="AC146" s="105" t="str">
        <f t="shared" si="19"/>
        <v>f36t4</v>
      </c>
      <c r="AD146" s="100">
        <v>18</v>
      </c>
      <c r="AE146" s="100">
        <v>36</v>
      </c>
      <c r="AF146" s="100">
        <v>4</v>
      </c>
      <c r="AG146" s="100">
        <v>0.2</v>
      </c>
    </row>
    <row r="147" spans="1:33" x14ac:dyDescent="0.3">
      <c r="A147" s="105" t="str">
        <f t="shared" si="15"/>
        <v>f16t2</v>
      </c>
      <c r="B147" s="109">
        <v>191</v>
      </c>
      <c r="C147" s="109">
        <v>16</v>
      </c>
      <c r="D147" s="109">
        <v>2</v>
      </c>
      <c r="E147" s="109">
        <v>2</v>
      </c>
      <c r="F147" s="109">
        <v>0.93700000000000006</v>
      </c>
      <c r="G147" s="109">
        <v>3.3857831051329899</v>
      </c>
      <c r="H147" s="110">
        <v>41675.480023148149</v>
      </c>
      <c r="I147" s="111" t="s">
        <v>304</v>
      </c>
      <c r="J147" s="106">
        <f t="shared" si="14"/>
        <v>0</v>
      </c>
      <c r="R147" s="105" t="str">
        <f t="shared" si="16"/>
        <v>f61t1</v>
      </c>
      <c r="S147" s="100">
        <v>191</v>
      </c>
      <c r="T147" s="100">
        <v>61</v>
      </c>
      <c r="U147" s="100">
        <v>1</v>
      </c>
      <c r="V147" s="100">
        <v>0</v>
      </c>
      <c r="W147" s="100">
        <v>0</v>
      </c>
      <c r="X147" s="100">
        <v>105.97643300000001</v>
      </c>
      <c r="Y147" s="100">
        <v>0</v>
      </c>
      <c r="Z147" s="112">
        <f t="shared" si="17"/>
        <v>0</v>
      </c>
      <c r="AA147" s="107" t="e">
        <f t="shared" si="18"/>
        <v>#N/A</v>
      </c>
      <c r="AC147" s="105" t="str">
        <f t="shared" si="19"/>
        <v>f37t1</v>
      </c>
      <c r="AD147" s="100">
        <v>18</v>
      </c>
      <c r="AE147" s="100">
        <v>37</v>
      </c>
      <c r="AF147" s="100">
        <v>1</v>
      </c>
      <c r="AG147" s="100">
        <v>0.3</v>
      </c>
    </row>
    <row r="148" spans="1:33" x14ac:dyDescent="0.3">
      <c r="A148" s="105" t="str">
        <f t="shared" si="15"/>
        <v>f16t3</v>
      </c>
      <c r="B148" s="109">
        <v>191</v>
      </c>
      <c r="C148" s="109">
        <v>16</v>
      </c>
      <c r="D148" s="109">
        <v>2</v>
      </c>
      <c r="E148" s="109">
        <v>3</v>
      </c>
      <c r="F148" s="109">
        <v>0.48199999999999998</v>
      </c>
      <c r="G148" s="109">
        <v>1.4635040866139799</v>
      </c>
      <c r="H148" s="110">
        <v>41675.480023148149</v>
      </c>
      <c r="I148" s="111" t="s">
        <v>304</v>
      </c>
      <c r="J148" s="106">
        <f t="shared" si="14"/>
        <v>0</v>
      </c>
      <c r="R148" s="105" t="str">
        <f t="shared" si="16"/>
        <v>f61t3</v>
      </c>
      <c r="S148" s="100">
        <v>191</v>
      </c>
      <c r="T148" s="100">
        <v>61</v>
      </c>
      <c r="U148" s="100">
        <v>3</v>
      </c>
      <c r="V148" s="100">
        <v>0</v>
      </c>
      <c r="W148" s="100">
        <v>0</v>
      </c>
      <c r="X148" s="100">
        <v>241.999999</v>
      </c>
      <c r="Y148" s="100">
        <v>0</v>
      </c>
      <c r="Z148" s="112">
        <f t="shared" si="17"/>
        <v>0</v>
      </c>
      <c r="AA148" s="107" t="e">
        <f t="shared" si="18"/>
        <v>#N/A</v>
      </c>
      <c r="AC148" s="105" t="str">
        <f t="shared" si="19"/>
        <v>f37t2</v>
      </c>
      <c r="AD148" s="100">
        <v>18</v>
      </c>
      <c r="AE148" s="100">
        <v>37</v>
      </c>
      <c r="AF148" s="100">
        <v>2</v>
      </c>
      <c r="AG148" s="100">
        <v>0.3</v>
      </c>
    </row>
    <row r="149" spans="1:33" x14ac:dyDescent="0.3">
      <c r="A149" s="105" t="str">
        <f t="shared" si="15"/>
        <v>f16t2</v>
      </c>
      <c r="B149" s="109">
        <v>191</v>
      </c>
      <c r="C149" s="109">
        <v>16</v>
      </c>
      <c r="D149" s="109">
        <v>3</v>
      </c>
      <c r="E149" s="109">
        <v>2</v>
      </c>
      <c r="F149" s="109">
        <v>0.93700000000000006</v>
      </c>
      <c r="G149" s="109">
        <v>3.3857831051329899</v>
      </c>
      <c r="H149" s="110">
        <v>41675.480023148149</v>
      </c>
      <c r="I149" s="111" t="s">
        <v>304</v>
      </c>
      <c r="J149" s="106">
        <f t="shared" si="14"/>
        <v>0</v>
      </c>
      <c r="R149" s="105" t="str">
        <f t="shared" si="16"/>
        <v>f61t4</v>
      </c>
      <c r="S149" s="100">
        <v>191</v>
      </c>
      <c r="T149" s="100">
        <v>61</v>
      </c>
      <c r="U149" s="100">
        <v>4</v>
      </c>
      <c r="V149" s="100">
        <v>0</v>
      </c>
      <c r="W149" s="100">
        <v>0</v>
      </c>
      <c r="X149" s="100">
        <v>2.0000010000000001</v>
      </c>
      <c r="Y149" s="100">
        <v>0</v>
      </c>
      <c r="Z149" s="112">
        <f t="shared" si="17"/>
        <v>0</v>
      </c>
      <c r="AA149" s="107" t="e">
        <f t="shared" si="18"/>
        <v>#N/A</v>
      </c>
      <c r="AC149" s="105" t="str">
        <f t="shared" si="19"/>
        <v>f37t3</v>
      </c>
      <c r="AD149" s="100">
        <v>18</v>
      </c>
      <c r="AE149" s="100">
        <v>37</v>
      </c>
      <c r="AF149" s="100">
        <v>3</v>
      </c>
      <c r="AG149" s="100">
        <v>0.3</v>
      </c>
    </row>
    <row r="150" spans="1:33" x14ac:dyDescent="0.3">
      <c r="A150" s="105" t="str">
        <f t="shared" si="15"/>
        <v>f16t3</v>
      </c>
      <c r="B150" s="109">
        <v>191</v>
      </c>
      <c r="C150" s="109">
        <v>16</v>
      </c>
      <c r="D150" s="109">
        <v>3</v>
      </c>
      <c r="E150" s="109">
        <v>3</v>
      </c>
      <c r="F150" s="109">
        <v>0.48199999999999998</v>
      </c>
      <c r="G150" s="109">
        <v>1.4635040866139799</v>
      </c>
      <c r="H150" s="110">
        <v>41675.480023148149</v>
      </c>
      <c r="I150" s="111" t="s">
        <v>304</v>
      </c>
      <c r="J150" s="106">
        <f t="shared" si="14"/>
        <v>0</v>
      </c>
      <c r="R150" s="105" t="str">
        <f t="shared" si="16"/>
        <v>f62t1</v>
      </c>
      <c r="S150" s="100">
        <v>191</v>
      </c>
      <c r="T150" s="100">
        <v>62</v>
      </c>
      <c r="U150" s="100">
        <v>1</v>
      </c>
      <c r="V150" s="100">
        <v>0</v>
      </c>
      <c r="W150" s="100">
        <v>0</v>
      </c>
      <c r="X150" s="100">
        <v>0.15694900000000001</v>
      </c>
      <c r="Y150" s="100">
        <v>0</v>
      </c>
      <c r="Z150" s="112">
        <f t="shared" si="17"/>
        <v>0</v>
      </c>
      <c r="AA150" s="107" t="e">
        <f t="shared" si="18"/>
        <v>#N/A</v>
      </c>
      <c r="AC150" s="105" t="str">
        <f t="shared" si="19"/>
        <v>f37t4</v>
      </c>
      <c r="AD150" s="100">
        <v>18</v>
      </c>
      <c r="AE150" s="100">
        <v>37</v>
      </c>
      <c r="AF150" s="100">
        <v>4</v>
      </c>
      <c r="AG150" s="100">
        <v>0.3</v>
      </c>
    </row>
    <row r="151" spans="1:33" x14ac:dyDescent="0.3">
      <c r="A151" s="105" t="str">
        <f t="shared" si="15"/>
        <v>f16t2</v>
      </c>
      <c r="B151" s="109">
        <v>191</v>
      </c>
      <c r="C151" s="109">
        <v>16</v>
      </c>
      <c r="D151" s="109">
        <v>4</v>
      </c>
      <c r="E151" s="109">
        <v>2</v>
      </c>
      <c r="F151" s="109">
        <v>0.93700000000000006</v>
      </c>
      <c r="G151" s="109">
        <v>3.3857831051329899</v>
      </c>
      <c r="H151" s="110">
        <v>41675.480023148149</v>
      </c>
      <c r="I151" s="111" t="s">
        <v>304</v>
      </c>
      <c r="J151" s="106">
        <f t="shared" si="14"/>
        <v>0</v>
      </c>
      <c r="R151" s="105" t="str">
        <f t="shared" si="16"/>
        <v>f62t3</v>
      </c>
      <c r="S151" s="100">
        <v>191</v>
      </c>
      <c r="T151" s="100">
        <v>62</v>
      </c>
      <c r="U151" s="100">
        <v>3</v>
      </c>
      <c r="V151" s="100">
        <v>112.969446</v>
      </c>
      <c r="W151" s="100">
        <v>0</v>
      </c>
      <c r="X151" s="100">
        <v>0</v>
      </c>
      <c r="Y151" s="100">
        <v>0</v>
      </c>
      <c r="Z151" s="112">
        <f t="shared" si="17"/>
        <v>0</v>
      </c>
      <c r="AA151" s="107" t="e">
        <f t="shared" si="18"/>
        <v>#N/A</v>
      </c>
      <c r="AC151" s="105" t="str">
        <f t="shared" si="19"/>
        <v>f38t1</v>
      </c>
      <c r="AD151" s="100">
        <v>18</v>
      </c>
      <c r="AE151" s="100">
        <v>38</v>
      </c>
      <c r="AF151" s="100">
        <v>1</v>
      </c>
      <c r="AG151" s="100">
        <v>0.3</v>
      </c>
    </row>
    <row r="152" spans="1:33" x14ac:dyDescent="0.3">
      <c r="A152" s="105" t="str">
        <f t="shared" si="15"/>
        <v>f16t3</v>
      </c>
      <c r="B152" s="109">
        <v>191</v>
      </c>
      <c r="C152" s="109">
        <v>16</v>
      </c>
      <c r="D152" s="109">
        <v>4</v>
      </c>
      <c r="E152" s="109">
        <v>3</v>
      </c>
      <c r="F152" s="109">
        <v>0.48199999999999998</v>
      </c>
      <c r="G152" s="109">
        <v>1.4635040866139799</v>
      </c>
      <c r="H152" s="110">
        <v>41675.480023148149</v>
      </c>
      <c r="I152" s="111" t="s">
        <v>304</v>
      </c>
      <c r="J152" s="106">
        <f t="shared" si="14"/>
        <v>0</v>
      </c>
      <c r="R152" s="105" t="str">
        <f t="shared" si="16"/>
        <v>f63t1</v>
      </c>
      <c r="S152" s="100">
        <v>191</v>
      </c>
      <c r="T152" s="100">
        <v>63</v>
      </c>
      <c r="U152" s="100">
        <v>1</v>
      </c>
      <c r="V152" s="100">
        <v>0</v>
      </c>
      <c r="W152" s="100">
        <v>0</v>
      </c>
      <c r="X152" s="100">
        <v>36.883633000000003</v>
      </c>
      <c r="Y152" s="100">
        <v>0</v>
      </c>
      <c r="Z152" s="112">
        <f t="shared" si="17"/>
        <v>0</v>
      </c>
      <c r="AA152" s="107" t="e">
        <f t="shared" si="18"/>
        <v>#N/A</v>
      </c>
      <c r="AC152" s="105" t="str">
        <f t="shared" si="19"/>
        <v>f38t2</v>
      </c>
      <c r="AD152" s="100">
        <v>18</v>
      </c>
      <c r="AE152" s="100">
        <v>38</v>
      </c>
      <c r="AF152" s="100">
        <v>2</v>
      </c>
      <c r="AG152" s="100">
        <v>0.3</v>
      </c>
    </row>
    <row r="153" spans="1:33" x14ac:dyDescent="0.3">
      <c r="A153" s="105" t="str">
        <f t="shared" si="15"/>
        <v>f16t2</v>
      </c>
      <c r="B153" s="109">
        <v>191</v>
      </c>
      <c r="C153" s="109">
        <v>16</v>
      </c>
      <c r="D153" s="109">
        <v>5</v>
      </c>
      <c r="E153" s="109">
        <v>2</v>
      </c>
      <c r="F153" s="109">
        <v>0.93700000000000006</v>
      </c>
      <c r="G153" s="109">
        <v>3.3857831051329899</v>
      </c>
      <c r="H153" s="110">
        <v>41675.480023148149</v>
      </c>
      <c r="I153" s="111" t="s">
        <v>304</v>
      </c>
      <c r="J153" s="106">
        <f t="shared" si="14"/>
        <v>0</v>
      </c>
      <c r="R153" s="105" t="str">
        <f t="shared" si="16"/>
        <v>f63t3</v>
      </c>
      <c r="S153" s="100">
        <v>191</v>
      </c>
      <c r="T153" s="100">
        <v>63</v>
      </c>
      <c r="U153" s="100">
        <v>3</v>
      </c>
      <c r="V153" s="100">
        <v>0</v>
      </c>
      <c r="W153" s="100">
        <v>0</v>
      </c>
      <c r="X153" s="100">
        <v>3926.8864800000001</v>
      </c>
      <c r="Y153" s="100">
        <v>0</v>
      </c>
      <c r="Z153" s="112">
        <f t="shared" si="17"/>
        <v>0</v>
      </c>
      <c r="AA153" s="107" t="e">
        <f t="shared" si="18"/>
        <v>#N/A</v>
      </c>
      <c r="AC153" s="105" t="str">
        <f t="shared" si="19"/>
        <v>f38t3</v>
      </c>
      <c r="AD153" s="100">
        <v>18</v>
      </c>
      <c r="AE153" s="100">
        <v>38</v>
      </c>
      <c r="AF153" s="100">
        <v>3</v>
      </c>
      <c r="AG153" s="100">
        <v>0.3</v>
      </c>
    </row>
    <row r="154" spans="1:33" x14ac:dyDescent="0.3">
      <c r="A154" s="105" t="str">
        <f t="shared" si="15"/>
        <v>f16t3</v>
      </c>
      <c r="B154" s="109">
        <v>191</v>
      </c>
      <c r="C154" s="109">
        <v>16</v>
      </c>
      <c r="D154" s="109">
        <v>5</v>
      </c>
      <c r="E154" s="109">
        <v>3</v>
      </c>
      <c r="F154" s="109">
        <v>0.48199999999999998</v>
      </c>
      <c r="G154" s="109">
        <v>1.4635040866139799</v>
      </c>
      <c r="H154" s="110">
        <v>41675.480023148149</v>
      </c>
      <c r="I154" s="111" t="s">
        <v>304</v>
      </c>
      <c r="J154" s="106">
        <f t="shared" si="14"/>
        <v>0</v>
      </c>
      <c r="R154" s="105" t="str">
        <f t="shared" si="16"/>
        <v>f64t1</v>
      </c>
      <c r="S154" s="100">
        <v>191</v>
      </c>
      <c r="T154" s="100">
        <v>64</v>
      </c>
      <c r="U154" s="100">
        <v>1</v>
      </c>
      <c r="V154" s="100">
        <v>967.44227999999998</v>
      </c>
      <c r="W154" s="100">
        <v>624.19375899999989</v>
      </c>
      <c r="X154" s="100">
        <v>0</v>
      </c>
      <c r="Y154" s="100">
        <v>0</v>
      </c>
      <c r="Z154" s="112">
        <f t="shared" si="17"/>
        <v>3.2259999997105764</v>
      </c>
      <c r="AA154" s="107">
        <f t="shared" si="18"/>
        <v>-2.8942359620032221E-10</v>
      </c>
      <c r="AC154" s="105" t="str">
        <f t="shared" si="19"/>
        <v>f38t4</v>
      </c>
      <c r="AD154" s="100">
        <v>18</v>
      </c>
      <c r="AE154" s="100">
        <v>38</v>
      </c>
      <c r="AF154" s="100">
        <v>4</v>
      </c>
      <c r="AG154" s="100">
        <v>0.3</v>
      </c>
    </row>
    <row r="155" spans="1:33" x14ac:dyDescent="0.3">
      <c r="A155" s="105" t="str">
        <f t="shared" si="15"/>
        <v>f17t1</v>
      </c>
      <c r="B155" s="109">
        <v>191</v>
      </c>
      <c r="C155" s="109">
        <v>17</v>
      </c>
      <c r="D155" s="109">
        <v>2</v>
      </c>
      <c r="E155" s="109">
        <v>1</v>
      </c>
      <c r="F155" s="109">
        <v>0.93700000000000006</v>
      </c>
      <c r="G155" s="109">
        <v>0.83559299558953104</v>
      </c>
      <c r="H155" s="110">
        <v>41675.480023148149</v>
      </c>
      <c r="I155" s="111" t="s">
        <v>304</v>
      </c>
      <c r="J155" s="106">
        <f t="shared" si="14"/>
        <v>99.936999999999998</v>
      </c>
      <c r="R155" s="105" t="str">
        <f t="shared" si="16"/>
        <v>f64t3</v>
      </c>
      <c r="S155" s="100">
        <v>191</v>
      </c>
      <c r="T155" s="100">
        <v>64</v>
      </c>
      <c r="U155" s="100">
        <v>3</v>
      </c>
      <c r="V155" s="100">
        <v>1128.9418509999998</v>
      </c>
      <c r="W155" s="100">
        <v>422.22425299999998</v>
      </c>
      <c r="X155" s="100">
        <v>0</v>
      </c>
      <c r="Y155" s="100">
        <v>0</v>
      </c>
      <c r="Z155" s="112">
        <f t="shared" si="17"/>
        <v>1.8700000032154005</v>
      </c>
      <c r="AA155" s="107">
        <f t="shared" si="18"/>
        <v>3.2154003903883677E-9</v>
      </c>
      <c r="AC155" s="105" t="str">
        <f t="shared" si="19"/>
        <v>f39t1</v>
      </c>
      <c r="AD155" s="100">
        <v>18</v>
      </c>
      <c r="AE155" s="100">
        <v>39</v>
      </c>
      <c r="AF155" s="100">
        <v>1</v>
      </c>
      <c r="AG155" s="100">
        <v>0.3</v>
      </c>
    </row>
    <row r="156" spans="1:33" x14ac:dyDescent="0.3">
      <c r="A156" s="105" t="str">
        <f t="shared" si="15"/>
        <v>f17t2</v>
      </c>
      <c r="B156" s="109">
        <v>191</v>
      </c>
      <c r="C156" s="109">
        <v>17</v>
      </c>
      <c r="D156" s="109">
        <v>2</v>
      </c>
      <c r="E156" s="109">
        <v>2</v>
      </c>
      <c r="F156" s="109">
        <v>0.93700000000000006</v>
      </c>
      <c r="G156" s="109">
        <v>2.5328498249149201</v>
      </c>
      <c r="H156" s="110">
        <v>41675.480023148149</v>
      </c>
      <c r="I156" s="111" t="s">
        <v>304</v>
      </c>
      <c r="J156" s="106">
        <f t="shared" si="14"/>
        <v>0</v>
      </c>
      <c r="R156" s="105" t="str">
        <f t="shared" si="16"/>
        <v>f64t4</v>
      </c>
      <c r="S156" s="100">
        <v>191</v>
      </c>
      <c r="T156" s="100">
        <v>64</v>
      </c>
      <c r="U156" s="100">
        <v>4</v>
      </c>
      <c r="V156" s="100">
        <v>1060.2356650000002</v>
      </c>
      <c r="W156" s="100">
        <v>684.06405000000029</v>
      </c>
      <c r="X156" s="100">
        <v>0</v>
      </c>
      <c r="Y156" s="100">
        <v>0</v>
      </c>
      <c r="Z156" s="112">
        <f t="shared" si="17"/>
        <v>3.225999995010544</v>
      </c>
      <c r="AA156" s="107">
        <f t="shared" si="18"/>
        <v>-4.9894559595031751E-9</v>
      </c>
      <c r="AC156" s="105" t="str">
        <f t="shared" si="19"/>
        <v>f39t2</v>
      </c>
      <c r="AD156" s="100">
        <v>18</v>
      </c>
      <c r="AE156" s="100">
        <v>39</v>
      </c>
      <c r="AF156" s="100">
        <v>2</v>
      </c>
      <c r="AG156" s="100">
        <v>0.3</v>
      </c>
    </row>
    <row r="157" spans="1:33" x14ac:dyDescent="0.3">
      <c r="A157" s="105" t="str">
        <f t="shared" si="15"/>
        <v>f17t3</v>
      </c>
      <c r="B157" s="109">
        <v>191</v>
      </c>
      <c r="C157" s="109">
        <v>17</v>
      </c>
      <c r="D157" s="109">
        <v>2</v>
      </c>
      <c r="E157" s="109">
        <v>3</v>
      </c>
      <c r="F157" s="109">
        <v>0.48199999999999998</v>
      </c>
      <c r="G157" s="109">
        <v>1.2371282609126699</v>
      </c>
      <c r="H157" s="110">
        <v>41675.480023148149</v>
      </c>
      <c r="I157" s="111" t="s">
        <v>304</v>
      </c>
      <c r="J157" s="106">
        <f t="shared" si="14"/>
        <v>0</v>
      </c>
      <c r="R157" s="105" t="str">
        <f t="shared" si="16"/>
        <v>f65t1</v>
      </c>
      <c r="S157" s="100">
        <v>191</v>
      </c>
      <c r="T157" s="100">
        <v>65</v>
      </c>
      <c r="U157" s="100">
        <v>1</v>
      </c>
      <c r="V157" s="100">
        <v>0</v>
      </c>
      <c r="W157" s="100">
        <v>0</v>
      </c>
      <c r="X157" s="100">
        <v>298.17358999999999</v>
      </c>
      <c r="Y157" s="100">
        <v>0</v>
      </c>
      <c r="Z157" s="112">
        <f t="shared" si="17"/>
        <v>0</v>
      </c>
      <c r="AA157" s="107" t="e">
        <f t="shared" si="18"/>
        <v>#N/A</v>
      </c>
      <c r="AC157" s="105" t="str">
        <f t="shared" si="19"/>
        <v>f39t3</v>
      </c>
      <c r="AD157" s="100">
        <v>18</v>
      </c>
      <c r="AE157" s="100">
        <v>39</v>
      </c>
      <c r="AF157" s="100">
        <v>3</v>
      </c>
      <c r="AG157" s="100">
        <v>0.3</v>
      </c>
    </row>
    <row r="158" spans="1:33" x14ac:dyDescent="0.3">
      <c r="A158" s="105" t="str">
        <f t="shared" si="15"/>
        <v>f17t4</v>
      </c>
      <c r="B158" s="109">
        <v>191</v>
      </c>
      <c r="C158" s="109">
        <v>17</v>
      </c>
      <c r="D158" s="109">
        <v>2</v>
      </c>
      <c r="E158" s="109">
        <v>4</v>
      </c>
      <c r="F158" s="109">
        <v>0.93700000000000006</v>
      </c>
      <c r="G158" s="109">
        <v>1.67864259469845</v>
      </c>
      <c r="H158" s="110">
        <v>41675.480023148149</v>
      </c>
      <c r="I158" s="111" t="s">
        <v>304</v>
      </c>
      <c r="J158" s="106">
        <f t="shared" si="14"/>
        <v>99.936999999999998</v>
      </c>
      <c r="R158" s="105" t="str">
        <f t="shared" si="16"/>
        <v>f65t3</v>
      </c>
      <c r="S158" s="100">
        <v>191</v>
      </c>
      <c r="T158" s="100">
        <v>65</v>
      </c>
      <c r="U158" s="100">
        <v>3</v>
      </c>
      <c r="V158" s="100">
        <v>0</v>
      </c>
      <c r="W158" s="100">
        <v>0</v>
      </c>
      <c r="X158" s="100">
        <v>6.2300000000000013</v>
      </c>
      <c r="Y158" s="100">
        <v>0</v>
      </c>
      <c r="Z158" s="112">
        <f t="shared" si="17"/>
        <v>0</v>
      </c>
      <c r="AA158" s="107" t="e">
        <f t="shared" si="18"/>
        <v>#N/A</v>
      </c>
      <c r="AC158" s="105" t="str">
        <f t="shared" si="19"/>
        <v>f39t4</v>
      </c>
      <c r="AD158" s="100">
        <v>18</v>
      </c>
      <c r="AE158" s="100">
        <v>39</v>
      </c>
      <c r="AF158" s="100">
        <v>4</v>
      </c>
      <c r="AG158" s="100">
        <v>0.3</v>
      </c>
    </row>
    <row r="159" spans="1:33" x14ac:dyDescent="0.3">
      <c r="A159" s="105" t="str">
        <f t="shared" si="15"/>
        <v>f17t1</v>
      </c>
      <c r="B159" s="109">
        <v>191</v>
      </c>
      <c r="C159" s="109">
        <v>17</v>
      </c>
      <c r="D159" s="109">
        <v>3</v>
      </c>
      <c r="E159" s="109">
        <v>1</v>
      </c>
      <c r="F159" s="109">
        <v>0.93700000000000006</v>
      </c>
      <c r="G159" s="109">
        <v>0.83559299558953104</v>
      </c>
      <c r="H159" s="110">
        <v>41675.480023148149</v>
      </c>
      <c r="I159" s="111" t="s">
        <v>304</v>
      </c>
      <c r="J159" s="106">
        <f t="shared" si="14"/>
        <v>99.936999999999998</v>
      </c>
      <c r="R159" s="105" t="str">
        <f t="shared" si="16"/>
        <v>f65t4</v>
      </c>
      <c r="S159" s="100">
        <v>191</v>
      </c>
      <c r="T159" s="100">
        <v>65</v>
      </c>
      <c r="U159" s="100">
        <v>4</v>
      </c>
      <c r="V159" s="100">
        <v>0</v>
      </c>
      <c r="W159" s="100">
        <v>0</v>
      </c>
      <c r="X159" s="100">
        <v>46.769998999999991</v>
      </c>
      <c r="Y159" s="100">
        <v>0</v>
      </c>
      <c r="Z159" s="112">
        <f t="shared" si="17"/>
        <v>0</v>
      </c>
      <c r="AA159" s="107" t="e">
        <f t="shared" si="18"/>
        <v>#N/A</v>
      </c>
      <c r="AC159" s="105" t="str">
        <f t="shared" si="19"/>
        <v>f40t1</v>
      </c>
      <c r="AD159" s="100">
        <v>18</v>
      </c>
      <c r="AE159" s="100">
        <v>40</v>
      </c>
      <c r="AF159" s="100">
        <v>1</v>
      </c>
      <c r="AG159" s="100">
        <v>0.3</v>
      </c>
    </row>
    <row r="160" spans="1:33" x14ac:dyDescent="0.3">
      <c r="A160" s="105" t="str">
        <f t="shared" si="15"/>
        <v>f17t2</v>
      </c>
      <c r="B160" s="109">
        <v>191</v>
      </c>
      <c r="C160" s="109">
        <v>17</v>
      </c>
      <c r="D160" s="109">
        <v>3</v>
      </c>
      <c r="E160" s="109">
        <v>2</v>
      </c>
      <c r="F160" s="109">
        <v>0.93700000000000006</v>
      </c>
      <c r="G160" s="109">
        <v>2.5328498249149201</v>
      </c>
      <c r="H160" s="110">
        <v>41675.480023148149</v>
      </c>
      <c r="I160" s="111" t="s">
        <v>304</v>
      </c>
      <c r="J160" s="106">
        <f t="shared" si="14"/>
        <v>0</v>
      </c>
      <c r="R160" s="105" t="str">
        <f t="shared" si="16"/>
        <v>f66t1</v>
      </c>
      <c r="S160" s="100">
        <v>191</v>
      </c>
      <c r="T160" s="100">
        <v>66</v>
      </c>
      <c r="U160" s="100">
        <v>1</v>
      </c>
      <c r="V160" s="100">
        <v>0</v>
      </c>
      <c r="W160" s="100">
        <v>0</v>
      </c>
      <c r="X160" s="100">
        <v>1178.6733879999999</v>
      </c>
      <c r="Y160" s="100">
        <v>0</v>
      </c>
      <c r="Z160" s="112">
        <f t="shared" si="17"/>
        <v>0</v>
      </c>
      <c r="AA160" s="107" t="e">
        <f t="shared" si="18"/>
        <v>#N/A</v>
      </c>
      <c r="AC160" s="105" t="str">
        <f t="shared" si="19"/>
        <v>f40t2</v>
      </c>
      <c r="AD160" s="100">
        <v>18</v>
      </c>
      <c r="AE160" s="100">
        <v>40</v>
      </c>
      <c r="AF160" s="100">
        <v>2</v>
      </c>
      <c r="AG160" s="100">
        <v>0.3</v>
      </c>
    </row>
    <row r="161" spans="1:33" x14ac:dyDescent="0.3">
      <c r="A161" s="105" t="str">
        <f t="shared" si="15"/>
        <v>f17t3</v>
      </c>
      <c r="B161" s="109">
        <v>191</v>
      </c>
      <c r="C161" s="109">
        <v>17</v>
      </c>
      <c r="D161" s="109">
        <v>3</v>
      </c>
      <c r="E161" s="109">
        <v>3</v>
      </c>
      <c r="F161" s="109">
        <v>0.48199999999999998</v>
      </c>
      <c r="G161" s="109">
        <v>1.2371282609126699</v>
      </c>
      <c r="H161" s="110">
        <v>41675.480023148149</v>
      </c>
      <c r="I161" s="111" t="s">
        <v>304</v>
      </c>
      <c r="J161" s="106">
        <f t="shared" si="14"/>
        <v>0</v>
      </c>
      <c r="R161" s="105" t="str">
        <f t="shared" si="16"/>
        <v>f66t3</v>
      </c>
      <c r="S161" s="100">
        <v>191</v>
      </c>
      <c r="T161" s="100">
        <v>66</v>
      </c>
      <c r="U161" s="100">
        <v>3</v>
      </c>
      <c r="V161" s="100">
        <v>0</v>
      </c>
      <c r="W161" s="100">
        <v>0</v>
      </c>
      <c r="X161" s="100">
        <v>7195.9497839999995</v>
      </c>
      <c r="Y161" s="100">
        <v>0</v>
      </c>
      <c r="Z161" s="112">
        <f t="shared" si="17"/>
        <v>0</v>
      </c>
      <c r="AA161" s="107" t="e">
        <f t="shared" si="18"/>
        <v>#N/A</v>
      </c>
      <c r="AC161" s="105" t="str">
        <f t="shared" si="19"/>
        <v>f40t3</v>
      </c>
      <c r="AD161" s="100">
        <v>18</v>
      </c>
      <c r="AE161" s="100">
        <v>40</v>
      </c>
      <c r="AF161" s="100">
        <v>3</v>
      </c>
      <c r="AG161" s="100">
        <v>0.3</v>
      </c>
    </row>
    <row r="162" spans="1:33" x14ac:dyDescent="0.3">
      <c r="A162" s="105" t="str">
        <f t="shared" si="15"/>
        <v>f17t4</v>
      </c>
      <c r="B162" s="109">
        <v>191</v>
      </c>
      <c r="C162" s="109">
        <v>17</v>
      </c>
      <c r="D162" s="109">
        <v>3</v>
      </c>
      <c r="E162" s="109">
        <v>4</v>
      </c>
      <c r="F162" s="109">
        <v>0.93700000000000006</v>
      </c>
      <c r="G162" s="109">
        <v>1.67864259469845</v>
      </c>
      <c r="H162" s="110">
        <v>41675.480023148149</v>
      </c>
      <c r="I162" s="111" t="s">
        <v>304</v>
      </c>
      <c r="J162" s="106">
        <f t="shared" si="14"/>
        <v>99.936999999999998</v>
      </c>
      <c r="R162" s="105" t="str">
        <f t="shared" si="16"/>
        <v>f66t4</v>
      </c>
      <c r="S162" s="100">
        <v>191</v>
      </c>
      <c r="T162" s="100">
        <v>66</v>
      </c>
      <c r="U162" s="100">
        <v>4</v>
      </c>
      <c r="V162" s="100">
        <v>0</v>
      </c>
      <c r="W162" s="100">
        <v>0</v>
      </c>
      <c r="X162" s="100">
        <v>29.305870000000002</v>
      </c>
      <c r="Y162" s="100">
        <v>0</v>
      </c>
      <c r="Z162" s="112">
        <f t="shared" si="17"/>
        <v>0</v>
      </c>
      <c r="AA162" s="107" t="e">
        <f t="shared" si="18"/>
        <v>#N/A</v>
      </c>
      <c r="AC162" s="105" t="str">
        <f t="shared" si="19"/>
        <v>f40t4</v>
      </c>
      <c r="AD162" s="100">
        <v>18</v>
      </c>
      <c r="AE162" s="100">
        <v>40</v>
      </c>
      <c r="AF162" s="100">
        <v>4</v>
      </c>
      <c r="AG162" s="100">
        <v>0.3</v>
      </c>
    </row>
    <row r="163" spans="1:33" x14ac:dyDescent="0.3">
      <c r="A163" s="105" t="str">
        <f t="shared" si="15"/>
        <v>f17t1</v>
      </c>
      <c r="B163" s="109">
        <v>191</v>
      </c>
      <c r="C163" s="109">
        <v>17</v>
      </c>
      <c r="D163" s="109">
        <v>4</v>
      </c>
      <c r="E163" s="109">
        <v>1</v>
      </c>
      <c r="F163" s="109">
        <v>0.93700000000000006</v>
      </c>
      <c r="G163" s="109">
        <v>0.83559299558953104</v>
      </c>
      <c r="H163" s="110">
        <v>41675.480023148149</v>
      </c>
      <c r="I163" s="111" t="s">
        <v>304</v>
      </c>
      <c r="J163" s="106">
        <f t="shared" si="14"/>
        <v>99.936999999999998</v>
      </c>
      <c r="R163" s="105" t="str">
        <f t="shared" si="16"/>
        <v>f67t1</v>
      </c>
      <c r="S163" s="100">
        <v>191</v>
      </c>
      <c r="T163" s="100">
        <v>67</v>
      </c>
      <c r="U163" s="100">
        <v>1</v>
      </c>
      <c r="V163" s="100">
        <v>0</v>
      </c>
      <c r="W163" s="100">
        <v>0</v>
      </c>
      <c r="X163" s="100">
        <v>205.64249699999996</v>
      </c>
      <c r="Y163" s="100">
        <v>385.37403899999993</v>
      </c>
      <c r="Z163" s="112">
        <f t="shared" si="17"/>
        <v>9.3699999908092924</v>
      </c>
      <c r="AA163" s="107">
        <f t="shared" si="18"/>
        <v>-9.1907068622276711E-9</v>
      </c>
      <c r="AC163" s="105" t="str">
        <f t="shared" si="19"/>
        <v>f41t1</v>
      </c>
      <c r="AD163" s="100">
        <v>18</v>
      </c>
      <c r="AE163" s="100">
        <v>41</v>
      </c>
      <c r="AF163" s="100">
        <v>1</v>
      </c>
      <c r="AG163" s="100">
        <v>0.255</v>
      </c>
    </row>
    <row r="164" spans="1:33" x14ac:dyDescent="0.3">
      <c r="A164" s="105" t="str">
        <f t="shared" si="15"/>
        <v>f17t2</v>
      </c>
      <c r="B164" s="109">
        <v>191</v>
      </c>
      <c r="C164" s="109">
        <v>17</v>
      </c>
      <c r="D164" s="109">
        <v>4</v>
      </c>
      <c r="E164" s="109">
        <v>2</v>
      </c>
      <c r="F164" s="109">
        <v>0.93700000000000006</v>
      </c>
      <c r="G164" s="109">
        <v>2.5328498249149201</v>
      </c>
      <c r="H164" s="110">
        <v>41675.480023148149</v>
      </c>
      <c r="I164" s="111" t="s">
        <v>304</v>
      </c>
      <c r="J164" s="106">
        <f t="shared" si="14"/>
        <v>0</v>
      </c>
      <c r="R164" s="105" t="str">
        <f t="shared" si="16"/>
        <v>f67t2</v>
      </c>
      <c r="S164" s="100">
        <v>191</v>
      </c>
      <c r="T164" s="100">
        <v>67</v>
      </c>
      <c r="U164" s="100">
        <v>2</v>
      </c>
      <c r="V164" s="100">
        <v>330.08925799999997</v>
      </c>
      <c r="W164" s="100">
        <v>97.046242000000021</v>
      </c>
      <c r="X164" s="100">
        <v>0</v>
      </c>
      <c r="Y164" s="100">
        <v>0</v>
      </c>
      <c r="Z164" s="112">
        <f t="shared" si="17"/>
        <v>1.4700000022418183</v>
      </c>
      <c r="AA164" s="107">
        <f t="shared" si="18"/>
        <v>2.2418182865635572E-9</v>
      </c>
      <c r="AC164" s="105" t="str">
        <f t="shared" si="19"/>
        <v>f41t2</v>
      </c>
      <c r="AD164" s="100">
        <v>18</v>
      </c>
      <c r="AE164" s="100">
        <v>41</v>
      </c>
      <c r="AF164" s="100">
        <v>2</v>
      </c>
      <c r="AG164" s="100">
        <v>0.255</v>
      </c>
    </row>
    <row r="165" spans="1:33" x14ac:dyDescent="0.3">
      <c r="A165" s="105" t="str">
        <f t="shared" si="15"/>
        <v>f17t3</v>
      </c>
      <c r="B165" s="109">
        <v>191</v>
      </c>
      <c r="C165" s="109">
        <v>17</v>
      </c>
      <c r="D165" s="109">
        <v>4</v>
      </c>
      <c r="E165" s="109">
        <v>3</v>
      </c>
      <c r="F165" s="109">
        <v>0.48199999999999998</v>
      </c>
      <c r="G165" s="109">
        <v>1.2371282609126699</v>
      </c>
      <c r="H165" s="110">
        <v>41675.480023148149</v>
      </c>
      <c r="I165" s="111" t="s">
        <v>304</v>
      </c>
      <c r="J165" s="106">
        <f t="shared" ref="J165:J228" si="20">F165-VLOOKUP(A165,L$3:P$100,5,FALSE)</f>
        <v>0</v>
      </c>
      <c r="R165" s="105" t="str">
        <f t="shared" si="16"/>
        <v>f67t3</v>
      </c>
      <c r="S165" s="100">
        <v>191</v>
      </c>
      <c r="T165" s="100">
        <v>67</v>
      </c>
      <c r="U165" s="100">
        <v>3</v>
      </c>
      <c r="V165" s="100">
        <v>1632.2219249999996</v>
      </c>
      <c r="W165" s="100">
        <v>479.87324699999999</v>
      </c>
      <c r="X165" s="100">
        <v>0</v>
      </c>
      <c r="Y165" s="100">
        <v>0</v>
      </c>
      <c r="Z165" s="112">
        <f t="shared" si="17"/>
        <v>1.4700000032164746</v>
      </c>
      <c r="AA165" s="107">
        <f t="shared" si="18"/>
        <v>3.216474642186995E-9</v>
      </c>
      <c r="AC165" s="105" t="str">
        <f t="shared" si="19"/>
        <v>f41t3</v>
      </c>
      <c r="AD165" s="100">
        <v>18</v>
      </c>
      <c r="AE165" s="100">
        <v>41</v>
      </c>
      <c r="AF165" s="100">
        <v>3</v>
      </c>
      <c r="AG165" s="100">
        <v>0.255</v>
      </c>
    </row>
    <row r="166" spans="1:33" x14ac:dyDescent="0.3">
      <c r="A166" s="105" t="str">
        <f t="shared" si="15"/>
        <v>f17t4</v>
      </c>
      <c r="B166" s="109">
        <v>191</v>
      </c>
      <c r="C166" s="109">
        <v>17</v>
      </c>
      <c r="D166" s="109">
        <v>4</v>
      </c>
      <c r="E166" s="109">
        <v>4</v>
      </c>
      <c r="F166" s="109">
        <v>0.93700000000000006</v>
      </c>
      <c r="G166" s="109">
        <v>1.67864259469845</v>
      </c>
      <c r="H166" s="110">
        <v>41675.480023148149</v>
      </c>
      <c r="I166" s="111" t="s">
        <v>304</v>
      </c>
      <c r="J166" s="106">
        <f t="shared" si="20"/>
        <v>99.936999999999998</v>
      </c>
      <c r="R166" s="105" t="str">
        <f t="shared" si="16"/>
        <v>f67t4</v>
      </c>
      <c r="S166" s="100">
        <v>191</v>
      </c>
      <c r="T166" s="100">
        <v>67</v>
      </c>
      <c r="U166" s="100">
        <v>4</v>
      </c>
      <c r="V166" s="100">
        <v>0</v>
      </c>
      <c r="W166" s="100">
        <v>0</v>
      </c>
      <c r="X166" s="100">
        <v>218.73275499999997</v>
      </c>
      <c r="Y166" s="100">
        <v>409.90518100000003</v>
      </c>
      <c r="Z166" s="112">
        <f t="shared" si="17"/>
        <v>9.3699999572537749</v>
      </c>
      <c r="AA166" s="107">
        <f t="shared" si="18"/>
        <v>-4.2746224337975036E-8</v>
      </c>
      <c r="AC166" s="105" t="str">
        <f t="shared" si="19"/>
        <v>f41t4</v>
      </c>
      <c r="AD166" s="100">
        <v>18</v>
      </c>
      <c r="AE166" s="100">
        <v>41</v>
      </c>
      <c r="AF166" s="100">
        <v>4</v>
      </c>
      <c r="AG166" s="100">
        <v>0.255</v>
      </c>
    </row>
    <row r="167" spans="1:33" x14ac:dyDescent="0.3">
      <c r="A167" s="105" t="str">
        <f t="shared" si="15"/>
        <v>f17t1</v>
      </c>
      <c r="B167" s="109">
        <v>191</v>
      </c>
      <c r="C167" s="109">
        <v>17</v>
      </c>
      <c r="D167" s="109">
        <v>5</v>
      </c>
      <c r="E167" s="109">
        <v>1</v>
      </c>
      <c r="F167" s="109">
        <v>0.93700000000000006</v>
      </c>
      <c r="G167" s="109">
        <v>0.83559299558953104</v>
      </c>
      <c r="H167" s="110">
        <v>41675.480023148149</v>
      </c>
      <c r="I167" s="111" t="s">
        <v>304</v>
      </c>
      <c r="J167" s="106">
        <f t="shared" si="20"/>
        <v>99.936999999999998</v>
      </c>
      <c r="R167" s="105" t="str">
        <f t="shared" si="16"/>
        <v>f68t1</v>
      </c>
      <c r="S167" s="100">
        <v>191</v>
      </c>
      <c r="T167" s="100">
        <v>68</v>
      </c>
      <c r="U167" s="100">
        <v>1</v>
      </c>
      <c r="V167" s="100">
        <v>0</v>
      </c>
      <c r="W167" s="100">
        <v>0</v>
      </c>
      <c r="X167" s="100">
        <v>0.12844900000000001</v>
      </c>
      <c r="Y167" s="100">
        <v>0</v>
      </c>
      <c r="Z167" s="112">
        <f t="shared" si="17"/>
        <v>0</v>
      </c>
      <c r="AA167" s="107" t="e">
        <f t="shared" si="18"/>
        <v>#N/A</v>
      </c>
      <c r="AC167" s="105" t="str">
        <f t="shared" si="19"/>
        <v>f42t1</v>
      </c>
      <c r="AD167" s="100">
        <v>18</v>
      </c>
      <c r="AE167" s="100">
        <v>42</v>
      </c>
      <c r="AF167" s="100">
        <v>1</v>
      </c>
      <c r="AG167" s="100">
        <v>0.2</v>
      </c>
    </row>
    <row r="168" spans="1:33" x14ac:dyDescent="0.3">
      <c r="A168" s="105" t="str">
        <f t="shared" si="15"/>
        <v>f17t2</v>
      </c>
      <c r="B168" s="109">
        <v>191</v>
      </c>
      <c r="C168" s="109">
        <v>17</v>
      </c>
      <c r="D168" s="109">
        <v>5</v>
      </c>
      <c r="E168" s="109">
        <v>2</v>
      </c>
      <c r="F168" s="109">
        <v>0.93700000000000006</v>
      </c>
      <c r="G168" s="109">
        <v>2.5328498249149201</v>
      </c>
      <c r="H168" s="110">
        <v>41675.480023148149</v>
      </c>
      <c r="I168" s="111" t="s">
        <v>304</v>
      </c>
      <c r="J168" s="106">
        <f t="shared" si="20"/>
        <v>0</v>
      </c>
      <c r="R168" s="105" t="str">
        <f t="shared" si="16"/>
        <v>f69t1</v>
      </c>
      <c r="S168" s="100">
        <v>191</v>
      </c>
      <c r="T168" s="100">
        <v>69</v>
      </c>
      <c r="U168" s="100">
        <v>1</v>
      </c>
      <c r="V168" s="100">
        <v>0</v>
      </c>
      <c r="W168" s="100">
        <v>0</v>
      </c>
      <c r="X168" s="100">
        <v>605.91999600000008</v>
      </c>
      <c r="Y168" s="100">
        <v>0</v>
      </c>
      <c r="Z168" s="112">
        <f t="shared" si="17"/>
        <v>0</v>
      </c>
      <c r="AA168" s="107" t="e">
        <f t="shared" si="18"/>
        <v>#N/A</v>
      </c>
      <c r="AC168" s="105" t="str">
        <f t="shared" si="19"/>
        <v>f42t2</v>
      </c>
      <c r="AD168" s="100">
        <v>18</v>
      </c>
      <c r="AE168" s="100">
        <v>42</v>
      </c>
      <c r="AF168" s="100">
        <v>2</v>
      </c>
      <c r="AG168" s="100">
        <v>0.2</v>
      </c>
    </row>
    <row r="169" spans="1:33" x14ac:dyDescent="0.3">
      <c r="A169" s="105" t="str">
        <f t="shared" si="15"/>
        <v>f17t3</v>
      </c>
      <c r="B169" s="109">
        <v>191</v>
      </c>
      <c r="C169" s="109">
        <v>17</v>
      </c>
      <c r="D169" s="109">
        <v>5</v>
      </c>
      <c r="E169" s="109">
        <v>3</v>
      </c>
      <c r="F169" s="109">
        <v>0.48199999999999998</v>
      </c>
      <c r="G169" s="109">
        <v>1.2371282609126699</v>
      </c>
      <c r="H169" s="110">
        <v>41675.480023148149</v>
      </c>
      <c r="I169" s="111" t="s">
        <v>304</v>
      </c>
      <c r="J169" s="106">
        <f t="shared" si="20"/>
        <v>0</v>
      </c>
      <c r="R169" s="105" t="str">
        <f t="shared" si="16"/>
        <v>f69t3</v>
      </c>
      <c r="S169" s="100">
        <v>191</v>
      </c>
      <c r="T169" s="100">
        <v>69</v>
      </c>
      <c r="U169" s="100">
        <v>3</v>
      </c>
      <c r="V169" s="100">
        <v>0</v>
      </c>
      <c r="W169" s="100">
        <v>0</v>
      </c>
      <c r="X169" s="100">
        <v>4688.9999989999997</v>
      </c>
      <c r="Y169" s="100">
        <v>0</v>
      </c>
      <c r="Z169" s="112">
        <f t="shared" si="17"/>
        <v>0</v>
      </c>
      <c r="AA169" s="107" t="e">
        <f t="shared" si="18"/>
        <v>#N/A</v>
      </c>
      <c r="AC169" s="105" t="str">
        <f t="shared" si="19"/>
        <v>f42t3</v>
      </c>
      <c r="AD169" s="100">
        <v>18</v>
      </c>
      <c r="AE169" s="100">
        <v>42</v>
      </c>
      <c r="AF169" s="100">
        <v>3</v>
      </c>
      <c r="AG169" s="100">
        <v>0.2</v>
      </c>
    </row>
    <row r="170" spans="1:33" x14ac:dyDescent="0.3">
      <c r="A170" s="105" t="str">
        <f t="shared" si="15"/>
        <v>f17t4</v>
      </c>
      <c r="B170" s="109">
        <v>191</v>
      </c>
      <c r="C170" s="109">
        <v>17</v>
      </c>
      <c r="D170" s="109">
        <v>5</v>
      </c>
      <c r="E170" s="109">
        <v>4</v>
      </c>
      <c r="F170" s="109">
        <v>0.93700000000000006</v>
      </c>
      <c r="G170" s="109">
        <v>1.67864259469845</v>
      </c>
      <c r="H170" s="110">
        <v>41675.480023148149</v>
      </c>
      <c r="I170" s="111" t="s">
        <v>304</v>
      </c>
      <c r="J170" s="106">
        <f t="shared" si="20"/>
        <v>99.936999999999998</v>
      </c>
      <c r="R170" s="105" t="str">
        <f t="shared" si="16"/>
        <v>f69t4</v>
      </c>
      <c r="S170" s="100">
        <v>191</v>
      </c>
      <c r="T170" s="100">
        <v>69</v>
      </c>
      <c r="U170" s="100">
        <v>4</v>
      </c>
      <c r="V170" s="100">
        <v>0</v>
      </c>
      <c r="W170" s="100">
        <v>0</v>
      </c>
      <c r="X170" s="100">
        <v>28.000000999999997</v>
      </c>
      <c r="Y170" s="100">
        <v>0</v>
      </c>
      <c r="Z170" s="112">
        <f t="shared" si="17"/>
        <v>0</v>
      </c>
      <c r="AA170" s="107" t="e">
        <f t="shared" si="18"/>
        <v>#N/A</v>
      </c>
      <c r="AC170" s="105" t="str">
        <f t="shared" si="19"/>
        <v>f42t4</v>
      </c>
      <c r="AD170" s="100">
        <v>18</v>
      </c>
      <c r="AE170" s="100">
        <v>42</v>
      </c>
      <c r="AF170" s="100">
        <v>4</v>
      </c>
      <c r="AG170" s="100">
        <v>0.2</v>
      </c>
    </row>
    <row r="171" spans="1:33" x14ac:dyDescent="0.3">
      <c r="A171" s="105" t="str">
        <f t="shared" si="15"/>
        <v>f18t2</v>
      </c>
      <c r="B171" s="109">
        <v>191</v>
      </c>
      <c r="C171" s="109">
        <v>18</v>
      </c>
      <c r="D171" s="109">
        <v>2</v>
      </c>
      <c r="E171" s="109">
        <v>2</v>
      </c>
      <c r="F171" s="109">
        <v>1.113</v>
      </c>
      <c r="G171" s="109">
        <v>1.5339149464605399</v>
      </c>
      <c r="H171" s="110">
        <v>41675.480023148149</v>
      </c>
      <c r="I171" s="111" t="s">
        <v>304</v>
      </c>
      <c r="J171" s="106">
        <f t="shared" si="20"/>
        <v>0</v>
      </c>
      <c r="R171" s="105" t="str">
        <f t="shared" si="16"/>
        <v>f70t1</v>
      </c>
      <c r="S171" s="100">
        <v>191</v>
      </c>
      <c r="T171" s="100">
        <v>70</v>
      </c>
      <c r="U171" s="100">
        <v>1</v>
      </c>
      <c r="V171" s="100">
        <v>0</v>
      </c>
      <c r="W171" s="100">
        <v>0</v>
      </c>
      <c r="X171" s="100">
        <v>3.4390999999999998E-2</v>
      </c>
      <c r="Y171" s="100">
        <v>0</v>
      </c>
      <c r="Z171" s="112">
        <f t="shared" si="17"/>
        <v>0</v>
      </c>
      <c r="AA171" s="107" t="e">
        <f t="shared" si="18"/>
        <v>#N/A</v>
      </c>
      <c r="AC171" s="105" t="str">
        <f t="shared" si="19"/>
        <v>f43t1</v>
      </c>
      <c r="AD171" s="100">
        <v>18</v>
      </c>
      <c r="AE171" s="100">
        <v>43</v>
      </c>
      <c r="AF171" s="100">
        <v>1</v>
      </c>
      <c r="AG171" s="100">
        <v>0.3</v>
      </c>
    </row>
    <row r="172" spans="1:33" x14ac:dyDescent="0.3">
      <c r="A172" s="105" t="str">
        <f t="shared" si="15"/>
        <v>f18t3</v>
      </c>
      <c r="B172" s="109">
        <v>191</v>
      </c>
      <c r="C172" s="109">
        <v>18</v>
      </c>
      <c r="D172" s="109">
        <v>2</v>
      </c>
      <c r="E172" s="109">
        <v>3</v>
      </c>
      <c r="F172" s="109">
        <v>1.113</v>
      </c>
      <c r="G172" s="109">
        <v>1.7181831553534499</v>
      </c>
      <c r="H172" s="110">
        <v>41675.480023148149</v>
      </c>
      <c r="I172" s="111" t="s">
        <v>304</v>
      </c>
      <c r="J172" s="106">
        <f t="shared" si="20"/>
        <v>0</v>
      </c>
      <c r="R172" s="105" t="str">
        <f t="shared" si="16"/>
        <v>f71t1</v>
      </c>
      <c r="S172" s="100">
        <v>191</v>
      </c>
      <c r="T172" s="100">
        <v>71</v>
      </c>
      <c r="U172" s="100">
        <v>1</v>
      </c>
      <c r="V172" s="100">
        <v>0</v>
      </c>
      <c r="W172" s="100">
        <v>0</v>
      </c>
      <c r="X172" s="100">
        <v>178.23514600000001</v>
      </c>
      <c r="Y172" s="100">
        <v>0</v>
      </c>
      <c r="Z172" s="112">
        <f t="shared" si="17"/>
        <v>0</v>
      </c>
      <c r="AA172" s="107" t="e">
        <f t="shared" si="18"/>
        <v>#N/A</v>
      </c>
      <c r="AC172" s="105" t="str">
        <f t="shared" si="19"/>
        <v>f43t2</v>
      </c>
      <c r="AD172" s="100">
        <v>18</v>
      </c>
      <c r="AE172" s="100">
        <v>43</v>
      </c>
      <c r="AF172" s="100">
        <v>2</v>
      </c>
      <c r="AG172" s="100">
        <v>0.3</v>
      </c>
    </row>
    <row r="173" spans="1:33" x14ac:dyDescent="0.3">
      <c r="A173" s="105" t="str">
        <f t="shared" si="15"/>
        <v>f18t2</v>
      </c>
      <c r="B173" s="109">
        <v>191</v>
      </c>
      <c r="C173" s="109">
        <v>18</v>
      </c>
      <c r="D173" s="109">
        <v>3</v>
      </c>
      <c r="E173" s="109">
        <v>2</v>
      </c>
      <c r="F173" s="109">
        <v>1.113</v>
      </c>
      <c r="G173" s="109">
        <v>1.5339149464605399</v>
      </c>
      <c r="H173" s="110">
        <v>41675.480023148149</v>
      </c>
      <c r="I173" s="111" t="s">
        <v>304</v>
      </c>
      <c r="J173" s="106">
        <f t="shared" si="20"/>
        <v>0</v>
      </c>
      <c r="R173" s="105" t="str">
        <f t="shared" si="16"/>
        <v>f71t3</v>
      </c>
      <c r="S173" s="100">
        <v>191</v>
      </c>
      <c r="T173" s="100">
        <v>71</v>
      </c>
      <c r="U173" s="100">
        <v>3</v>
      </c>
      <c r="V173" s="100">
        <v>0</v>
      </c>
      <c r="W173" s="100">
        <v>0</v>
      </c>
      <c r="X173" s="100">
        <v>1693.0000010000001</v>
      </c>
      <c r="Y173" s="100">
        <v>0</v>
      </c>
      <c r="Z173" s="112">
        <f t="shared" si="17"/>
        <v>0</v>
      </c>
      <c r="AA173" s="107" t="e">
        <f t="shared" si="18"/>
        <v>#N/A</v>
      </c>
      <c r="AC173" s="105" t="str">
        <f t="shared" si="19"/>
        <v>f43t3</v>
      </c>
      <c r="AD173" s="100">
        <v>18</v>
      </c>
      <c r="AE173" s="100">
        <v>43</v>
      </c>
      <c r="AF173" s="100">
        <v>3</v>
      </c>
      <c r="AG173" s="100">
        <v>0.3</v>
      </c>
    </row>
    <row r="174" spans="1:33" x14ac:dyDescent="0.3">
      <c r="A174" s="105" t="str">
        <f t="shared" si="15"/>
        <v>f18t3</v>
      </c>
      <c r="B174" s="109">
        <v>191</v>
      </c>
      <c r="C174" s="109">
        <v>18</v>
      </c>
      <c r="D174" s="109">
        <v>3</v>
      </c>
      <c r="E174" s="109">
        <v>3</v>
      </c>
      <c r="F174" s="109">
        <v>1.113</v>
      </c>
      <c r="G174" s="109">
        <v>1.7181831553534499</v>
      </c>
      <c r="H174" s="110">
        <v>41675.480023148149</v>
      </c>
      <c r="I174" s="111" t="s">
        <v>304</v>
      </c>
      <c r="J174" s="106">
        <f t="shared" si="20"/>
        <v>0</v>
      </c>
      <c r="R174" s="105" t="str">
        <f t="shared" si="16"/>
        <v>f71t4</v>
      </c>
      <c r="S174" s="100">
        <v>191</v>
      </c>
      <c r="T174" s="100">
        <v>71</v>
      </c>
      <c r="U174" s="100">
        <v>4</v>
      </c>
      <c r="V174" s="100">
        <v>0</v>
      </c>
      <c r="W174" s="100">
        <v>0</v>
      </c>
      <c r="X174" s="100">
        <v>9.999998999999999</v>
      </c>
      <c r="Y174" s="100">
        <v>0</v>
      </c>
      <c r="Z174" s="112">
        <f t="shared" si="17"/>
        <v>0</v>
      </c>
      <c r="AA174" s="107" t="e">
        <f t="shared" si="18"/>
        <v>#N/A</v>
      </c>
      <c r="AC174" s="105" t="str">
        <f t="shared" si="19"/>
        <v>f43t4</v>
      </c>
      <c r="AD174" s="100">
        <v>18</v>
      </c>
      <c r="AE174" s="100">
        <v>43</v>
      </c>
      <c r="AF174" s="100">
        <v>4</v>
      </c>
      <c r="AG174" s="100">
        <v>0.3</v>
      </c>
    </row>
    <row r="175" spans="1:33" x14ac:dyDescent="0.3">
      <c r="A175" s="105" t="str">
        <f t="shared" si="15"/>
        <v>f18t2</v>
      </c>
      <c r="B175" s="109">
        <v>191</v>
      </c>
      <c r="C175" s="109">
        <v>18</v>
      </c>
      <c r="D175" s="109">
        <v>4</v>
      </c>
      <c r="E175" s="109">
        <v>2</v>
      </c>
      <c r="F175" s="109">
        <v>1.113</v>
      </c>
      <c r="G175" s="109">
        <v>1.5339149464605399</v>
      </c>
      <c r="H175" s="110">
        <v>41675.480023148149</v>
      </c>
      <c r="I175" s="111" t="s">
        <v>304</v>
      </c>
      <c r="J175" s="106">
        <f t="shared" si="20"/>
        <v>0</v>
      </c>
      <c r="R175" s="105"/>
      <c r="S175" s="100"/>
      <c r="T175" s="100"/>
      <c r="U175" s="100"/>
      <c r="V175" s="100"/>
      <c r="W175" s="100"/>
      <c r="X175" s="100"/>
      <c r="Y175" s="100"/>
      <c r="AA175" s="107"/>
      <c r="AC175" s="105" t="str">
        <f t="shared" si="19"/>
        <v>f44t1</v>
      </c>
      <c r="AD175" s="100">
        <v>18</v>
      </c>
      <c r="AE175" s="100">
        <v>44</v>
      </c>
      <c r="AF175" s="100">
        <v>1</v>
      </c>
      <c r="AG175" s="100">
        <v>0.3</v>
      </c>
    </row>
    <row r="176" spans="1:33" x14ac:dyDescent="0.3">
      <c r="A176" s="105" t="str">
        <f t="shared" si="15"/>
        <v>f18t3</v>
      </c>
      <c r="B176" s="109">
        <v>191</v>
      </c>
      <c r="C176" s="109">
        <v>18</v>
      </c>
      <c r="D176" s="109">
        <v>4</v>
      </c>
      <c r="E176" s="109">
        <v>3</v>
      </c>
      <c r="F176" s="109">
        <v>1.113</v>
      </c>
      <c r="G176" s="109">
        <v>1.7181831553534499</v>
      </c>
      <c r="H176" s="110">
        <v>41675.480023148149</v>
      </c>
      <c r="I176" s="111" t="s">
        <v>304</v>
      </c>
      <c r="J176" s="106">
        <f t="shared" si="20"/>
        <v>0</v>
      </c>
      <c r="R176" s="105"/>
      <c r="S176" s="100"/>
      <c r="T176" s="100"/>
      <c r="U176" s="100"/>
      <c r="V176" s="100"/>
      <c r="W176" s="100"/>
      <c r="X176" s="100"/>
      <c r="Y176" s="100"/>
      <c r="AA176" s="107"/>
      <c r="AC176" s="105" t="str">
        <f t="shared" si="19"/>
        <v>f44t2</v>
      </c>
      <c r="AD176" s="100">
        <v>18</v>
      </c>
      <c r="AE176" s="100">
        <v>44</v>
      </c>
      <c r="AF176" s="100">
        <v>2</v>
      </c>
      <c r="AG176" s="100">
        <v>0.3</v>
      </c>
    </row>
    <row r="177" spans="1:33" x14ac:dyDescent="0.3">
      <c r="A177" s="105" t="str">
        <f t="shared" si="15"/>
        <v>f18t2</v>
      </c>
      <c r="B177" s="109">
        <v>191</v>
      </c>
      <c r="C177" s="109">
        <v>18</v>
      </c>
      <c r="D177" s="109">
        <v>5</v>
      </c>
      <c r="E177" s="109">
        <v>2</v>
      </c>
      <c r="F177" s="109">
        <v>1.113</v>
      </c>
      <c r="G177" s="109">
        <v>1.5339149464605399</v>
      </c>
      <c r="H177" s="110">
        <v>41675.480023148149</v>
      </c>
      <c r="I177" s="111" t="s">
        <v>304</v>
      </c>
      <c r="J177" s="106">
        <f t="shared" si="20"/>
        <v>0</v>
      </c>
      <c r="R177" s="105"/>
      <c r="S177" s="100"/>
      <c r="T177" s="100"/>
      <c r="U177" s="100"/>
      <c r="V177" s="100"/>
      <c r="W177" s="100"/>
      <c r="X177" s="100"/>
      <c r="Y177" s="100"/>
      <c r="AA177" s="107"/>
      <c r="AC177" s="105" t="str">
        <f t="shared" si="19"/>
        <v>f44t3</v>
      </c>
      <c r="AD177" s="100">
        <v>18</v>
      </c>
      <c r="AE177" s="100">
        <v>44</v>
      </c>
      <c r="AF177" s="100">
        <v>3</v>
      </c>
      <c r="AG177" s="100">
        <v>0.3</v>
      </c>
    </row>
    <row r="178" spans="1:33" x14ac:dyDescent="0.3">
      <c r="A178" s="105" t="str">
        <f t="shared" si="15"/>
        <v>f18t3</v>
      </c>
      <c r="B178" s="109">
        <v>191</v>
      </c>
      <c r="C178" s="109">
        <v>18</v>
      </c>
      <c r="D178" s="109">
        <v>5</v>
      </c>
      <c r="E178" s="109">
        <v>3</v>
      </c>
      <c r="F178" s="109">
        <v>1.113</v>
      </c>
      <c r="G178" s="109">
        <v>1.7181831553534499</v>
      </c>
      <c r="H178" s="110">
        <v>41675.480023148149</v>
      </c>
      <c r="I178" s="111" t="s">
        <v>304</v>
      </c>
      <c r="J178" s="106">
        <f t="shared" si="20"/>
        <v>0</v>
      </c>
      <c r="R178" s="105"/>
      <c r="S178" s="100"/>
      <c r="T178" s="100"/>
      <c r="U178" s="100"/>
      <c r="V178" s="100"/>
      <c r="W178" s="100"/>
      <c r="X178" s="100"/>
      <c r="Y178" s="100"/>
      <c r="AA178" s="107"/>
      <c r="AC178" s="105" t="str">
        <f t="shared" si="19"/>
        <v>f44t4</v>
      </c>
      <c r="AD178" s="100">
        <v>18</v>
      </c>
      <c r="AE178" s="100">
        <v>44</v>
      </c>
      <c r="AF178" s="100">
        <v>4</v>
      </c>
      <c r="AG178" s="100">
        <v>0.3</v>
      </c>
    </row>
    <row r="179" spans="1:33" x14ac:dyDescent="0.3">
      <c r="A179" s="105" t="str">
        <f t="shared" si="15"/>
        <v>f20t2</v>
      </c>
      <c r="B179" s="109">
        <v>191</v>
      </c>
      <c r="C179" s="109">
        <v>20</v>
      </c>
      <c r="D179" s="109">
        <v>2</v>
      </c>
      <c r="E179" s="109">
        <v>2</v>
      </c>
      <c r="F179" s="109">
        <v>1.147</v>
      </c>
      <c r="G179" s="109">
        <v>1.9195161762342301</v>
      </c>
      <c r="H179" s="110">
        <v>41675.480023148149</v>
      </c>
      <c r="I179" s="111" t="s">
        <v>304</v>
      </c>
      <c r="J179" s="106">
        <f t="shared" si="20"/>
        <v>0</v>
      </c>
      <c r="R179" s="105"/>
      <c r="S179" s="100"/>
      <c r="T179" s="100"/>
      <c r="U179" s="100"/>
      <c r="V179" s="100"/>
      <c r="W179" s="100"/>
      <c r="X179" s="100"/>
      <c r="Y179" s="100"/>
      <c r="AA179" s="107"/>
      <c r="AC179" s="105" t="str">
        <f t="shared" si="19"/>
        <v>f45t1</v>
      </c>
      <c r="AD179" s="100">
        <v>18</v>
      </c>
      <c r="AE179" s="100">
        <v>45</v>
      </c>
      <c r="AF179" s="100">
        <v>1</v>
      </c>
      <c r="AG179" s="100">
        <v>0.2</v>
      </c>
    </row>
    <row r="180" spans="1:33" x14ac:dyDescent="0.3">
      <c r="A180" s="105" t="str">
        <f t="shared" si="15"/>
        <v>f20t3</v>
      </c>
      <c r="B180" s="109">
        <v>191</v>
      </c>
      <c r="C180" s="109">
        <v>20</v>
      </c>
      <c r="D180" s="109">
        <v>2</v>
      </c>
      <c r="E180" s="109">
        <v>3</v>
      </c>
      <c r="F180" s="109">
        <v>1.2</v>
      </c>
      <c r="G180" s="109">
        <v>0.72733922143783702</v>
      </c>
      <c r="H180" s="110">
        <v>41675.480023148149</v>
      </c>
      <c r="I180" s="111" t="s">
        <v>304</v>
      </c>
      <c r="J180" s="106">
        <f t="shared" si="20"/>
        <v>0</v>
      </c>
      <c r="R180" s="105"/>
      <c r="S180" s="100"/>
      <c r="T180" s="100"/>
      <c r="U180" s="100"/>
      <c r="V180" s="100"/>
      <c r="W180" s="100"/>
      <c r="X180" s="100"/>
      <c r="Y180" s="100"/>
      <c r="AA180" s="107"/>
      <c r="AC180" s="105" t="str">
        <f t="shared" si="19"/>
        <v>f45t2</v>
      </c>
      <c r="AD180" s="100">
        <v>18</v>
      </c>
      <c r="AE180" s="100">
        <v>45</v>
      </c>
      <c r="AF180" s="100">
        <v>2</v>
      </c>
      <c r="AG180" s="100">
        <v>0.2</v>
      </c>
    </row>
    <row r="181" spans="1:33" x14ac:dyDescent="0.3">
      <c r="A181" s="105" t="str">
        <f t="shared" si="15"/>
        <v>f20t2</v>
      </c>
      <c r="B181" s="109">
        <v>191</v>
      </c>
      <c r="C181" s="109">
        <v>20</v>
      </c>
      <c r="D181" s="109">
        <v>3</v>
      </c>
      <c r="E181" s="109">
        <v>2</v>
      </c>
      <c r="F181" s="109">
        <v>1.147</v>
      </c>
      <c r="G181" s="109">
        <v>1.9195161762342301</v>
      </c>
      <c r="H181" s="110">
        <v>41675.480023148149</v>
      </c>
      <c r="I181" s="111" t="s">
        <v>304</v>
      </c>
      <c r="J181" s="106">
        <f t="shared" si="20"/>
        <v>0</v>
      </c>
      <c r="R181" s="105"/>
      <c r="S181" s="100"/>
      <c r="T181" s="100"/>
      <c r="U181" s="100"/>
      <c r="V181" s="100"/>
      <c r="W181" s="100"/>
      <c r="X181" s="100"/>
      <c r="Y181" s="100"/>
      <c r="AA181" s="107"/>
      <c r="AC181" s="105" t="str">
        <f t="shared" si="19"/>
        <v>f45t3</v>
      </c>
      <c r="AD181" s="100">
        <v>18</v>
      </c>
      <c r="AE181" s="100">
        <v>45</v>
      </c>
      <c r="AF181" s="100">
        <v>3</v>
      </c>
      <c r="AG181" s="100">
        <v>0.2</v>
      </c>
    </row>
    <row r="182" spans="1:33" x14ac:dyDescent="0.3">
      <c r="A182" s="105" t="str">
        <f t="shared" si="15"/>
        <v>f20t3</v>
      </c>
      <c r="B182" s="109">
        <v>191</v>
      </c>
      <c r="C182" s="109">
        <v>20</v>
      </c>
      <c r="D182" s="109">
        <v>3</v>
      </c>
      <c r="E182" s="109">
        <v>3</v>
      </c>
      <c r="F182" s="109">
        <v>1.2</v>
      </c>
      <c r="G182" s="109">
        <v>0.72733922143783702</v>
      </c>
      <c r="H182" s="110">
        <v>41675.480023148149</v>
      </c>
      <c r="I182" s="111" t="s">
        <v>304</v>
      </c>
      <c r="J182" s="106">
        <f t="shared" si="20"/>
        <v>0</v>
      </c>
      <c r="R182" s="105"/>
      <c r="S182" s="100"/>
      <c r="T182" s="100"/>
      <c r="U182" s="100"/>
      <c r="V182" s="100"/>
      <c r="W182" s="100"/>
      <c r="X182" s="100"/>
      <c r="Y182" s="100"/>
      <c r="AA182" s="107"/>
      <c r="AC182" s="105" t="str">
        <f t="shared" si="19"/>
        <v>f45t4</v>
      </c>
      <c r="AD182" s="100">
        <v>18</v>
      </c>
      <c r="AE182" s="100">
        <v>45</v>
      </c>
      <c r="AF182" s="100">
        <v>4</v>
      </c>
      <c r="AG182" s="100">
        <v>0.2</v>
      </c>
    </row>
    <row r="183" spans="1:33" x14ac:dyDescent="0.3">
      <c r="A183" s="105" t="str">
        <f t="shared" si="15"/>
        <v>f20t2</v>
      </c>
      <c r="B183" s="109">
        <v>191</v>
      </c>
      <c r="C183" s="109">
        <v>20</v>
      </c>
      <c r="D183" s="109">
        <v>4</v>
      </c>
      <c r="E183" s="109">
        <v>2</v>
      </c>
      <c r="F183" s="109">
        <v>1.147</v>
      </c>
      <c r="G183" s="109">
        <v>1.9195161762342301</v>
      </c>
      <c r="H183" s="110">
        <v>41675.480023148149</v>
      </c>
      <c r="I183" s="111" t="s">
        <v>304</v>
      </c>
      <c r="J183" s="106">
        <f t="shared" si="20"/>
        <v>0</v>
      </c>
      <c r="R183" s="105"/>
      <c r="S183" s="100"/>
      <c r="T183" s="100"/>
      <c r="U183" s="100"/>
      <c r="V183" s="100"/>
      <c r="W183" s="100"/>
      <c r="X183" s="100"/>
      <c r="Y183" s="100"/>
      <c r="AA183" s="107"/>
      <c r="AC183" s="105" t="str">
        <f t="shared" si="19"/>
        <v>f46t1</v>
      </c>
      <c r="AD183" s="100">
        <v>18</v>
      </c>
      <c r="AE183" s="100">
        <v>46</v>
      </c>
      <c r="AF183" s="100">
        <v>1</v>
      </c>
      <c r="AG183" s="100">
        <v>0.3</v>
      </c>
    </row>
    <row r="184" spans="1:33" x14ac:dyDescent="0.3">
      <c r="A184" s="105" t="str">
        <f t="shared" si="15"/>
        <v>f20t3</v>
      </c>
      <c r="B184" s="109">
        <v>191</v>
      </c>
      <c r="C184" s="109">
        <v>20</v>
      </c>
      <c r="D184" s="109">
        <v>4</v>
      </c>
      <c r="E184" s="109">
        <v>3</v>
      </c>
      <c r="F184" s="109">
        <v>1.2</v>
      </c>
      <c r="G184" s="109">
        <v>0.72733922143783702</v>
      </c>
      <c r="H184" s="110">
        <v>41675.480023148149</v>
      </c>
      <c r="I184" s="111" t="s">
        <v>304</v>
      </c>
      <c r="J184" s="106">
        <f t="shared" si="20"/>
        <v>0</v>
      </c>
      <c r="R184" s="105"/>
      <c r="S184" s="100"/>
      <c r="T184" s="100"/>
      <c r="U184" s="100"/>
      <c r="V184" s="100"/>
      <c r="W184" s="100"/>
      <c r="X184" s="100"/>
      <c r="Y184" s="100"/>
      <c r="AA184" s="107"/>
      <c r="AC184" s="105" t="str">
        <f t="shared" si="19"/>
        <v>f46t2</v>
      </c>
      <c r="AD184" s="100">
        <v>18</v>
      </c>
      <c r="AE184" s="100">
        <v>46</v>
      </c>
      <c r="AF184" s="100">
        <v>2</v>
      </c>
      <c r="AG184" s="100">
        <v>0.3</v>
      </c>
    </row>
    <row r="185" spans="1:33" x14ac:dyDescent="0.3">
      <c r="A185" s="105" t="str">
        <f t="shared" si="15"/>
        <v>f20t2</v>
      </c>
      <c r="B185" s="109">
        <v>191</v>
      </c>
      <c r="C185" s="109">
        <v>20</v>
      </c>
      <c r="D185" s="109">
        <v>5</v>
      </c>
      <c r="E185" s="109">
        <v>2</v>
      </c>
      <c r="F185" s="109">
        <v>1.147</v>
      </c>
      <c r="G185" s="109">
        <v>1.9195161762342301</v>
      </c>
      <c r="H185" s="110">
        <v>41675.480023148149</v>
      </c>
      <c r="I185" s="111" t="s">
        <v>304</v>
      </c>
      <c r="J185" s="106">
        <f t="shared" si="20"/>
        <v>0</v>
      </c>
      <c r="R185" s="105"/>
      <c r="S185" s="100"/>
      <c r="T185" s="100"/>
      <c r="U185" s="100"/>
      <c r="V185" s="100"/>
      <c r="W185" s="100"/>
      <c r="X185" s="100"/>
      <c r="Y185" s="100"/>
      <c r="AA185" s="107"/>
      <c r="AC185" s="105" t="str">
        <f t="shared" si="19"/>
        <v>f46t3</v>
      </c>
      <c r="AD185" s="100">
        <v>18</v>
      </c>
      <c r="AE185" s="100">
        <v>46</v>
      </c>
      <c r="AF185" s="100">
        <v>3</v>
      </c>
      <c r="AG185" s="100">
        <v>0.3</v>
      </c>
    </row>
    <row r="186" spans="1:33" x14ac:dyDescent="0.3">
      <c r="A186" s="105" t="str">
        <f t="shared" si="15"/>
        <v>f20t3</v>
      </c>
      <c r="B186" s="109">
        <v>191</v>
      </c>
      <c r="C186" s="109">
        <v>20</v>
      </c>
      <c r="D186" s="109">
        <v>5</v>
      </c>
      <c r="E186" s="109">
        <v>3</v>
      </c>
      <c r="F186" s="109">
        <v>1.2</v>
      </c>
      <c r="G186" s="109">
        <v>0.72733922143783702</v>
      </c>
      <c r="H186" s="110">
        <v>41675.480023148149</v>
      </c>
      <c r="I186" s="111" t="s">
        <v>304</v>
      </c>
      <c r="J186" s="106">
        <f t="shared" si="20"/>
        <v>0</v>
      </c>
      <c r="R186" s="105"/>
      <c r="S186" s="100"/>
      <c r="T186" s="100"/>
      <c r="U186" s="100"/>
      <c r="V186" s="100"/>
      <c r="W186" s="100"/>
      <c r="X186" s="100"/>
      <c r="Y186" s="100"/>
      <c r="AA186" s="107"/>
      <c r="AC186" s="105" t="str">
        <f t="shared" si="19"/>
        <v>f46t4</v>
      </c>
      <c r="AD186" s="100">
        <v>18</v>
      </c>
      <c r="AE186" s="100">
        <v>46</v>
      </c>
      <c r="AF186" s="100">
        <v>4</v>
      </c>
      <c r="AG186" s="100">
        <v>0.3</v>
      </c>
    </row>
    <row r="187" spans="1:33" x14ac:dyDescent="0.3">
      <c r="A187" s="105" t="str">
        <f t="shared" si="15"/>
        <v>f21t2</v>
      </c>
      <c r="B187" s="109">
        <v>191</v>
      </c>
      <c r="C187" s="109">
        <v>21</v>
      </c>
      <c r="D187" s="109">
        <v>2</v>
      </c>
      <c r="E187" s="109">
        <v>2</v>
      </c>
      <c r="F187" s="109">
        <v>1.147</v>
      </c>
      <c r="G187" s="109">
        <v>11.0348866908107</v>
      </c>
      <c r="H187" s="110">
        <v>41675.480023148149</v>
      </c>
      <c r="I187" s="111" t="s">
        <v>304</v>
      </c>
      <c r="J187" s="106">
        <f t="shared" si="20"/>
        <v>0</v>
      </c>
      <c r="R187" s="105"/>
      <c r="S187" s="100"/>
      <c r="T187" s="100"/>
      <c r="U187" s="100"/>
      <c r="V187" s="100"/>
      <c r="W187" s="100"/>
      <c r="X187" s="100"/>
      <c r="Y187" s="100"/>
      <c r="AA187" s="107"/>
      <c r="AC187" s="105" t="str">
        <f t="shared" si="19"/>
        <v>f47t1</v>
      </c>
      <c r="AD187" s="100">
        <v>18</v>
      </c>
      <c r="AE187" s="100">
        <v>47</v>
      </c>
      <c r="AF187" s="100">
        <v>1</v>
      </c>
      <c r="AG187" s="100">
        <v>0.3</v>
      </c>
    </row>
    <row r="188" spans="1:33" x14ac:dyDescent="0.3">
      <c r="A188" s="105" t="str">
        <f t="shared" si="15"/>
        <v>f21t3</v>
      </c>
      <c r="B188" s="109">
        <v>191</v>
      </c>
      <c r="C188" s="109">
        <v>21</v>
      </c>
      <c r="D188" s="109">
        <v>2</v>
      </c>
      <c r="E188" s="109">
        <v>3</v>
      </c>
      <c r="F188" s="109">
        <v>1.2</v>
      </c>
      <c r="G188" s="109">
        <v>3.96135558628312</v>
      </c>
      <c r="H188" s="110">
        <v>41675.480023148149</v>
      </c>
      <c r="I188" s="111" t="s">
        <v>304</v>
      </c>
      <c r="J188" s="106">
        <f t="shared" si="20"/>
        <v>0</v>
      </c>
      <c r="R188" s="105"/>
      <c r="S188" s="100"/>
      <c r="T188" s="100"/>
      <c r="U188" s="100"/>
      <c r="V188" s="100"/>
      <c r="W188" s="100"/>
      <c r="X188" s="100"/>
      <c r="Y188" s="100"/>
      <c r="AA188" s="107"/>
      <c r="AC188" s="105" t="str">
        <f t="shared" si="19"/>
        <v>f47t2</v>
      </c>
      <c r="AD188" s="100">
        <v>18</v>
      </c>
      <c r="AE188" s="100">
        <v>47</v>
      </c>
      <c r="AF188" s="100">
        <v>2</v>
      </c>
      <c r="AG188" s="100">
        <v>0.3</v>
      </c>
    </row>
    <row r="189" spans="1:33" x14ac:dyDescent="0.3">
      <c r="A189" s="105" t="str">
        <f t="shared" si="15"/>
        <v>f21t2</v>
      </c>
      <c r="B189" s="109">
        <v>191</v>
      </c>
      <c r="C189" s="109">
        <v>21</v>
      </c>
      <c r="D189" s="109">
        <v>3</v>
      </c>
      <c r="E189" s="109">
        <v>2</v>
      </c>
      <c r="F189" s="109">
        <v>1.147</v>
      </c>
      <c r="G189" s="109">
        <v>11.0348866908107</v>
      </c>
      <c r="H189" s="110">
        <v>41675.480023148149</v>
      </c>
      <c r="I189" s="111" t="s">
        <v>304</v>
      </c>
      <c r="J189" s="106">
        <f t="shared" si="20"/>
        <v>0</v>
      </c>
      <c r="AC189" s="105" t="str">
        <f t="shared" si="19"/>
        <v>f47t3</v>
      </c>
      <c r="AD189" s="100">
        <v>18</v>
      </c>
      <c r="AE189" s="100">
        <v>47</v>
      </c>
      <c r="AF189" s="100">
        <v>3</v>
      </c>
      <c r="AG189" s="100">
        <v>0.3</v>
      </c>
    </row>
    <row r="190" spans="1:33" x14ac:dyDescent="0.3">
      <c r="A190" s="105" t="str">
        <f t="shared" si="15"/>
        <v>f21t3</v>
      </c>
      <c r="B190" s="109">
        <v>191</v>
      </c>
      <c r="C190" s="109">
        <v>21</v>
      </c>
      <c r="D190" s="109">
        <v>3</v>
      </c>
      <c r="E190" s="109">
        <v>3</v>
      </c>
      <c r="F190" s="109">
        <v>1.2</v>
      </c>
      <c r="G190" s="109">
        <v>3.96135558628312</v>
      </c>
      <c r="H190" s="110">
        <v>41675.480023148149</v>
      </c>
      <c r="I190" s="111" t="s">
        <v>304</v>
      </c>
      <c r="J190" s="106">
        <f t="shared" si="20"/>
        <v>0</v>
      </c>
      <c r="AC190" s="105" t="str">
        <f t="shared" si="19"/>
        <v>f47t4</v>
      </c>
      <c r="AD190" s="100">
        <v>18</v>
      </c>
      <c r="AE190" s="100">
        <v>47</v>
      </c>
      <c r="AF190" s="100">
        <v>4</v>
      </c>
      <c r="AG190" s="100">
        <v>0.3</v>
      </c>
    </row>
    <row r="191" spans="1:33" x14ac:dyDescent="0.3">
      <c r="A191" s="105" t="str">
        <f t="shared" si="15"/>
        <v>f21t2</v>
      </c>
      <c r="B191" s="109">
        <v>191</v>
      </c>
      <c r="C191" s="109">
        <v>21</v>
      </c>
      <c r="D191" s="109">
        <v>4</v>
      </c>
      <c r="E191" s="109">
        <v>2</v>
      </c>
      <c r="F191" s="109">
        <v>1.147</v>
      </c>
      <c r="G191" s="109">
        <v>11.0348866908107</v>
      </c>
      <c r="H191" s="110">
        <v>41675.480023148149</v>
      </c>
      <c r="I191" s="111" t="s">
        <v>304</v>
      </c>
      <c r="J191" s="106">
        <f t="shared" si="20"/>
        <v>0</v>
      </c>
      <c r="AC191" s="105" t="str">
        <f t="shared" si="19"/>
        <v>f48t1</v>
      </c>
      <c r="AD191" s="100">
        <v>18</v>
      </c>
      <c r="AE191" s="100">
        <v>48</v>
      </c>
      <c r="AF191" s="100">
        <v>1</v>
      </c>
      <c r="AG191" s="100">
        <v>0.2</v>
      </c>
    </row>
    <row r="192" spans="1:33" x14ac:dyDescent="0.3">
      <c r="A192" s="105" t="str">
        <f t="shared" si="15"/>
        <v>f21t3</v>
      </c>
      <c r="B192" s="109">
        <v>191</v>
      </c>
      <c r="C192" s="109">
        <v>21</v>
      </c>
      <c r="D192" s="109">
        <v>4</v>
      </c>
      <c r="E192" s="109">
        <v>3</v>
      </c>
      <c r="F192" s="109">
        <v>1.2</v>
      </c>
      <c r="G192" s="109">
        <v>3.96135558628312</v>
      </c>
      <c r="H192" s="110">
        <v>41675.480023148149</v>
      </c>
      <c r="I192" s="111" t="s">
        <v>304</v>
      </c>
      <c r="J192" s="106">
        <f t="shared" si="20"/>
        <v>0</v>
      </c>
      <c r="AC192" s="105" t="str">
        <f t="shared" si="19"/>
        <v>f48t2</v>
      </c>
      <c r="AD192" s="100">
        <v>18</v>
      </c>
      <c r="AE192" s="100">
        <v>48</v>
      </c>
      <c r="AF192" s="100">
        <v>2</v>
      </c>
      <c r="AG192" s="100">
        <v>0.2</v>
      </c>
    </row>
    <row r="193" spans="1:33" x14ac:dyDescent="0.3">
      <c r="A193" s="105" t="str">
        <f t="shared" si="15"/>
        <v>f21t2</v>
      </c>
      <c r="B193" s="109">
        <v>191</v>
      </c>
      <c r="C193" s="109">
        <v>21</v>
      </c>
      <c r="D193" s="109">
        <v>5</v>
      </c>
      <c r="E193" s="109">
        <v>2</v>
      </c>
      <c r="F193" s="109">
        <v>1.147</v>
      </c>
      <c r="G193" s="109">
        <v>11.0348866908107</v>
      </c>
      <c r="H193" s="110">
        <v>41675.480023148149</v>
      </c>
      <c r="I193" s="111" t="s">
        <v>304</v>
      </c>
      <c r="J193" s="106">
        <f t="shared" si="20"/>
        <v>0</v>
      </c>
      <c r="AC193" s="105" t="str">
        <f t="shared" si="19"/>
        <v>f48t3</v>
      </c>
      <c r="AD193" s="100">
        <v>18</v>
      </c>
      <c r="AE193" s="100">
        <v>48</v>
      </c>
      <c r="AF193" s="100">
        <v>3</v>
      </c>
      <c r="AG193" s="100">
        <v>0.2</v>
      </c>
    </row>
    <row r="194" spans="1:33" x14ac:dyDescent="0.3">
      <c r="A194" s="105" t="str">
        <f t="shared" si="15"/>
        <v>f21t3</v>
      </c>
      <c r="B194" s="109">
        <v>191</v>
      </c>
      <c r="C194" s="109">
        <v>21</v>
      </c>
      <c r="D194" s="109">
        <v>5</v>
      </c>
      <c r="E194" s="109">
        <v>3</v>
      </c>
      <c r="F194" s="109">
        <v>1.2</v>
      </c>
      <c r="G194" s="109">
        <v>3.96135558628312</v>
      </c>
      <c r="H194" s="110">
        <v>41675.480023148149</v>
      </c>
      <c r="I194" s="111" t="s">
        <v>304</v>
      </c>
      <c r="J194" s="106">
        <f t="shared" si="20"/>
        <v>0</v>
      </c>
      <c r="AC194" s="105" t="str">
        <f t="shared" si="19"/>
        <v>f48t4</v>
      </c>
      <c r="AD194" s="100">
        <v>18</v>
      </c>
      <c r="AE194" s="100">
        <v>48</v>
      </c>
      <c r="AF194" s="100">
        <v>4</v>
      </c>
      <c r="AG194" s="100">
        <v>0.2</v>
      </c>
    </row>
    <row r="195" spans="1:33" x14ac:dyDescent="0.3">
      <c r="A195" s="105" t="str">
        <f t="shared" si="15"/>
        <v>f22t2</v>
      </c>
      <c r="B195" s="109">
        <v>191</v>
      </c>
      <c r="C195" s="109">
        <v>22</v>
      </c>
      <c r="D195" s="109">
        <v>2</v>
      </c>
      <c r="E195" s="109">
        <v>2</v>
      </c>
      <c r="F195" s="109">
        <v>0.66300000000000003</v>
      </c>
      <c r="G195" s="109">
        <v>1.5021125696398401</v>
      </c>
      <c r="H195" s="110">
        <v>41675.480023148149</v>
      </c>
      <c r="I195" s="111" t="s">
        <v>304</v>
      </c>
      <c r="J195" s="106">
        <f t="shared" si="20"/>
        <v>0</v>
      </c>
      <c r="AC195" s="105" t="str">
        <f t="shared" si="19"/>
        <v>f49t1</v>
      </c>
      <c r="AD195" s="100">
        <v>18</v>
      </c>
      <c r="AE195" s="100">
        <v>49</v>
      </c>
      <c r="AF195" s="100">
        <v>1</v>
      </c>
      <c r="AG195" s="100">
        <v>0.3</v>
      </c>
    </row>
    <row r="196" spans="1:33" x14ac:dyDescent="0.3">
      <c r="A196" s="105" t="str">
        <f t="shared" ref="A196:A259" si="21">"f"&amp;C196&amp;"t"&amp;E196</f>
        <v>f22t3</v>
      </c>
      <c r="B196" s="109">
        <v>191</v>
      </c>
      <c r="C196" s="109">
        <v>22</v>
      </c>
      <c r="D196" s="109">
        <v>2</v>
      </c>
      <c r="E196" s="109">
        <v>3</v>
      </c>
      <c r="F196" s="109">
        <v>0.66300000000000003</v>
      </c>
      <c r="G196" s="109">
        <v>1.6530884432133801</v>
      </c>
      <c r="H196" s="110">
        <v>41675.480023148149</v>
      </c>
      <c r="I196" s="111" t="s">
        <v>304</v>
      </c>
      <c r="J196" s="106">
        <f t="shared" si="20"/>
        <v>0</v>
      </c>
      <c r="AC196" s="105" t="str">
        <f t="shared" ref="AC196:AC259" si="22">"f"&amp;AE196&amp;"t"&amp;AF196</f>
        <v>f49t2</v>
      </c>
      <c r="AD196" s="100">
        <v>18</v>
      </c>
      <c r="AE196" s="100">
        <v>49</v>
      </c>
      <c r="AF196" s="100">
        <v>2</v>
      </c>
      <c r="AG196" s="100">
        <v>0.3</v>
      </c>
    </row>
    <row r="197" spans="1:33" x14ac:dyDescent="0.3">
      <c r="A197" s="105" t="str">
        <f t="shared" si="21"/>
        <v>f22t2</v>
      </c>
      <c r="B197" s="109">
        <v>191</v>
      </c>
      <c r="C197" s="109">
        <v>22</v>
      </c>
      <c r="D197" s="109">
        <v>3</v>
      </c>
      <c r="E197" s="109">
        <v>2</v>
      </c>
      <c r="F197" s="109">
        <v>0.66300000000000003</v>
      </c>
      <c r="G197" s="109">
        <v>1.5021125696398401</v>
      </c>
      <c r="H197" s="110">
        <v>41675.480023148149</v>
      </c>
      <c r="I197" s="111" t="s">
        <v>304</v>
      </c>
      <c r="J197" s="106">
        <f t="shared" si="20"/>
        <v>0</v>
      </c>
      <c r="AC197" s="105" t="str">
        <f t="shared" si="22"/>
        <v>f49t3</v>
      </c>
      <c r="AD197" s="100">
        <v>18</v>
      </c>
      <c r="AE197" s="100">
        <v>49</v>
      </c>
      <c r="AF197" s="100">
        <v>3</v>
      </c>
      <c r="AG197" s="100">
        <v>0.3</v>
      </c>
    </row>
    <row r="198" spans="1:33" x14ac:dyDescent="0.3">
      <c r="A198" s="105" t="str">
        <f t="shared" si="21"/>
        <v>f22t3</v>
      </c>
      <c r="B198" s="109">
        <v>191</v>
      </c>
      <c r="C198" s="109">
        <v>22</v>
      </c>
      <c r="D198" s="109">
        <v>3</v>
      </c>
      <c r="E198" s="109">
        <v>3</v>
      </c>
      <c r="F198" s="109">
        <v>0.66300000000000003</v>
      </c>
      <c r="G198" s="109">
        <v>1.6530884432133801</v>
      </c>
      <c r="H198" s="110">
        <v>41675.480023148149</v>
      </c>
      <c r="I198" s="111" t="s">
        <v>304</v>
      </c>
      <c r="J198" s="106">
        <f t="shared" si="20"/>
        <v>0</v>
      </c>
      <c r="AC198" s="105" t="str">
        <f t="shared" si="22"/>
        <v>f49t4</v>
      </c>
      <c r="AD198" s="100">
        <v>18</v>
      </c>
      <c r="AE198" s="100">
        <v>49</v>
      </c>
      <c r="AF198" s="100">
        <v>4</v>
      </c>
      <c r="AG198" s="100">
        <v>0.3</v>
      </c>
    </row>
    <row r="199" spans="1:33" x14ac:dyDescent="0.3">
      <c r="A199" s="105" t="str">
        <f t="shared" si="21"/>
        <v>f22t2</v>
      </c>
      <c r="B199" s="109">
        <v>191</v>
      </c>
      <c r="C199" s="109">
        <v>22</v>
      </c>
      <c r="D199" s="109">
        <v>4</v>
      </c>
      <c r="E199" s="109">
        <v>2</v>
      </c>
      <c r="F199" s="109">
        <v>0.66300000000000003</v>
      </c>
      <c r="G199" s="109">
        <v>1.5021125696398401</v>
      </c>
      <c r="H199" s="110">
        <v>41675.480023148149</v>
      </c>
      <c r="I199" s="111" t="s">
        <v>304</v>
      </c>
      <c r="J199" s="106">
        <f t="shared" si="20"/>
        <v>0</v>
      </c>
      <c r="AC199" s="105" t="str">
        <f t="shared" si="22"/>
        <v>f50t1</v>
      </c>
      <c r="AD199" s="100">
        <v>18</v>
      </c>
      <c r="AE199" s="100">
        <v>50</v>
      </c>
      <c r="AF199" s="100">
        <v>1</v>
      </c>
      <c r="AG199" s="100">
        <v>0.3</v>
      </c>
    </row>
    <row r="200" spans="1:33" x14ac:dyDescent="0.3">
      <c r="A200" s="105" t="str">
        <f t="shared" si="21"/>
        <v>f22t3</v>
      </c>
      <c r="B200" s="109">
        <v>191</v>
      </c>
      <c r="C200" s="109">
        <v>22</v>
      </c>
      <c r="D200" s="109">
        <v>4</v>
      </c>
      <c r="E200" s="109">
        <v>3</v>
      </c>
      <c r="F200" s="109">
        <v>0.66300000000000003</v>
      </c>
      <c r="G200" s="109">
        <v>1.6530884432133801</v>
      </c>
      <c r="H200" s="110">
        <v>41675.480023148149</v>
      </c>
      <c r="I200" s="111" t="s">
        <v>304</v>
      </c>
      <c r="J200" s="106">
        <f t="shared" si="20"/>
        <v>0</v>
      </c>
      <c r="AC200" s="105" t="str">
        <f t="shared" si="22"/>
        <v>f50t2</v>
      </c>
      <c r="AD200" s="100">
        <v>18</v>
      </c>
      <c r="AE200" s="100">
        <v>50</v>
      </c>
      <c r="AF200" s="100">
        <v>2</v>
      </c>
      <c r="AG200" s="100">
        <v>0.3</v>
      </c>
    </row>
    <row r="201" spans="1:33" x14ac:dyDescent="0.3">
      <c r="A201" s="105" t="str">
        <f t="shared" si="21"/>
        <v>f22t2</v>
      </c>
      <c r="B201" s="109">
        <v>191</v>
      </c>
      <c r="C201" s="109">
        <v>22</v>
      </c>
      <c r="D201" s="109">
        <v>5</v>
      </c>
      <c r="E201" s="109">
        <v>2</v>
      </c>
      <c r="F201" s="109">
        <v>0.66300000000000003</v>
      </c>
      <c r="G201" s="109">
        <v>1.5021125696398401</v>
      </c>
      <c r="H201" s="110">
        <v>41675.480023148149</v>
      </c>
      <c r="I201" s="111" t="s">
        <v>304</v>
      </c>
      <c r="J201" s="106">
        <f t="shared" si="20"/>
        <v>0</v>
      </c>
      <c r="AC201" s="105" t="str">
        <f t="shared" si="22"/>
        <v>f50t3</v>
      </c>
      <c r="AD201" s="100">
        <v>18</v>
      </c>
      <c r="AE201" s="100">
        <v>50</v>
      </c>
      <c r="AF201" s="100">
        <v>3</v>
      </c>
      <c r="AG201" s="100">
        <v>0.3</v>
      </c>
    </row>
    <row r="202" spans="1:33" x14ac:dyDescent="0.3">
      <c r="A202" s="105" t="str">
        <f t="shared" si="21"/>
        <v>f22t3</v>
      </c>
      <c r="B202" s="109">
        <v>191</v>
      </c>
      <c r="C202" s="109">
        <v>22</v>
      </c>
      <c r="D202" s="109">
        <v>5</v>
      </c>
      <c r="E202" s="109">
        <v>3</v>
      </c>
      <c r="F202" s="109">
        <v>0.66300000000000003</v>
      </c>
      <c r="G202" s="109">
        <v>1.6530884432133801</v>
      </c>
      <c r="H202" s="110">
        <v>41675.480023148149</v>
      </c>
      <c r="I202" s="111" t="s">
        <v>304</v>
      </c>
      <c r="J202" s="106">
        <f t="shared" si="20"/>
        <v>0</v>
      </c>
      <c r="AC202" s="105" t="str">
        <f t="shared" si="22"/>
        <v>f50t4</v>
      </c>
      <c r="AD202" s="100">
        <v>18</v>
      </c>
      <c r="AE202" s="100">
        <v>50</v>
      </c>
      <c r="AF202" s="100">
        <v>4</v>
      </c>
      <c r="AG202" s="100">
        <v>0.3</v>
      </c>
    </row>
    <row r="203" spans="1:33" x14ac:dyDescent="0.3">
      <c r="A203" s="105" t="str">
        <f t="shared" si="21"/>
        <v>f26t2</v>
      </c>
      <c r="B203" s="109">
        <v>191</v>
      </c>
      <c r="C203" s="109">
        <v>26</v>
      </c>
      <c r="D203" s="109">
        <v>2</v>
      </c>
      <c r="E203" s="109">
        <v>2</v>
      </c>
      <c r="F203" s="109">
        <v>4.4749999999999996</v>
      </c>
      <c r="G203" s="109">
        <v>3.4283818984419798</v>
      </c>
      <c r="H203" s="110">
        <v>41675.480023148149</v>
      </c>
      <c r="I203" s="111" t="s">
        <v>304</v>
      </c>
      <c r="J203" s="106">
        <f t="shared" si="20"/>
        <v>0</v>
      </c>
      <c r="AC203" s="105" t="str">
        <f t="shared" si="22"/>
        <v>f51t1</v>
      </c>
      <c r="AD203" s="100">
        <v>18</v>
      </c>
      <c r="AE203" s="100">
        <v>51</v>
      </c>
      <c r="AF203" s="100">
        <v>1</v>
      </c>
      <c r="AG203" s="100">
        <v>0.3</v>
      </c>
    </row>
    <row r="204" spans="1:33" x14ac:dyDescent="0.3">
      <c r="A204" s="105" t="str">
        <f t="shared" si="21"/>
        <v>f26t3</v>
      </c>
      <c r="B204" s="109">
        <v>191</v>
      </c>
      <c r="C204" s="109">
        <v>26</v>
      </c>
      <c r="D204" s="109">
        <v>2</v>
      </c>
      <c r="E204" s="109">
        <v>3</v>
      </c>
      <c r="F204" s="109">
        <v>4.6820000000000004</v>
      </c>
      <c r="G204" s="109">
        <v>1.2712316162877899</v>
      </c>
      <c r="H204" s="110">
        <v>41675.480023148149</v>
      </c>
      <c r="I204" s="111" t="s">
        <v>304</v>
      </c>
      <c r="J204" s="106">
        <f t="shared" si="20"/>
        <v>0</v>
      </c>
      <c r="AC204" s="105" t="str">
        <f t="shared" si="22"/>
        <v>f51t2</v>
      </c>
      <c r="AD204" s="100">
        <v>18</v>
      </c>
      <c r="AE204" s="100">
        <v>51</v>
      </c>
      <c r="AF204" s="100">
        <v>2</v>
      </c>
      <c r="AG204" s="100">
        <v>0.3</v>
      </c>
    </row>
    <row r="205" spans="1:33" x14ac:dyDescent="0.3">
      <c r="A205" s="105" t="str">
        <f t="shared" si="21"/>
        <v>f26t2</v>
      </c>
      <c r="B205" s="109">
        <v>191</v>
      </c>
      <c r="C205" s="109">
        <v>26</v>
      </c>
      <c r="D205" s="109">
        <v>3</v>
      </c>
      <c r="E205" s="109">
        <v>2</v>
      </c>
      <c r="F205" s="109">
        <v>4.4749999999999996</v>
      </c>
      <c r="G205" s="109">
        <v>3.4283818984419798</v>
      </c>
      <c r="H205" s="110">
        <v>41675.480023148149</v>
      </c>
      <c r="I205" s="111" t="s">
        <v>304</v>
      </c>
      <c r="J205" s="106">
        <f t="shared" si="20"/>
        <v>0</v>
      </c>
      <c r="AC205" s="105" t="str">
        <f t="shared" si="22"/>
        <v>f51t3</v>
      </c>
      <c r="AD205" s="100">
        <v>18</v>
      </c>
      <c r="AE205" s="100">
        <v>51</v>
      </c>
      <c r="AF205" s="100">
        <v>3</v>
      </c>
      <c r="AG205" s="100">
        <v>0.3</v>
      </c>
    </row>
    <row r="206" spans="1:33" x14ac:dyDescent="0.3">
      <c r="A206" s="105" t="str">
        <f t="shared" si="21"/>
        <v>f26t3</v>
      </c>
      <c r="B206" s="109">
        <v>191</v>
      </c>
      <c r="C206" s="109">
        <v>26</v>
      </c>
      <c r="D206" s="109">
        <v>3</v>
      </c>
      <c r="E206" s="109">
        <v>3</v>
      </c>
      <c r="F206" s="109">
        <v>4.6820000000000004</v>
      </c>
      <c r="G206" s="109">
        <v>1.2712316162877899</v>
      </c>
      <c r="H206" s="110">
        <v>41675.480023148149</v>
      </c>
      <c r="I206" s="111" t="s">
        <v>304</v>
      </c>
      <c r="J206" s="106">
        <f t="shared" si="20"/>
        <v>0</v>
      </c>
      <c r="AC206" s="105" t="str">
        <f t="shared" si="22"/>
        <v>f51t4</v>
      </c>
      <c r="AD206" s="100">
        <v>18</v>
      </c>
      <c r="AE206" s="100">
        <v>51</v>
      </c>
      <c r="AF206" s="100">
        <v>4</v>
      </c>
      <c r="AG206" s="100">
        <v>0.3</v>
      </c>
    </row>
    <row r="207" spans="1:33" x14ac:dyDescent="0.3">
      <c r="A207" s="105" t="str">
        <f t="shared" si="21"/>
        <v>f26t2</v>
      </c>
      <c r="B207" s="109">
        <v>191</v>
      </c>
      <c r="C207" s="109">
        <v>26</v>
      </c>
      <c r="D207" s="109">
        <v>4</v>
      </c>
      <c r="E207" s="109">
        <v>2</v>
      </c>
      <c r="F207" s="109">
        <v>4.4749999999999996</v>
      </c>
      <c r="G207" s="109">
        <v>3.4283818984419798</v>
      </c>
      <c r="H207" s="110">
        <v>41675.480023148149</v>
      </c>
      <c r="I207" s="111" t="s">
        <v>304</v>
      </c>
      <c r="J207" s="106">
        <f t="shared" si="20"/>
        <v>0</v>
      </c>
      <c r="AC207" s="105" t="str">
        <f t="shared" si="22"/>
        <v>f52t1</v>
      </c>
      <c r="AD207" s="100">
        <v>18</v>
      </c>
      <c r="AE207" s="100">
        <v>52</v>
      </c>
      <c r="AF207" s="100">
        <v>1</v>
      </c>
      <c r="AG207" s="100">
        <v>0.3</v>
      </c>
    </row>
    <row r="208" spans="1:33" x14ac:dyDescent="0.3">
      <c r="A208" s="105" t="str">
        <f t="shared" si="21"/>
        <v>f26t3</v>
      </c>
      <c r="B208" s="109">
        <v>191</v>
      </c>
      <c r="C208" s="109">
        <v>26</v>
      </c>
      <c r="D208" s="109">
        <v>4</v>
      </c>
      <c r="E208" s="109">
        <v>3</v>
      </c>
      <c r="F208" s="109">
        <v>4.6820000000000004</v>
      </c>
      <c r="G208" s="109">
        <v>1.2712316162877899</v>
      </c>
      <c r="H208" s="110">
        <v>41675.480023148149</v>
      </c>
      <c r="I208" s="111" t="s">
        <v>304</v>
      </c>
      <c r="J208" s="106">
        <f t="shared" si="20"/>
        <v>0</v>
      </c>
      <c r="AC208" s="105" t="str">
        <f t="shared" si="22"/>
        <v>f52t2</v>
      </c>
      <c r="AD208" s="100">
        <v>18</v>
      </c>
      <c r="AE208" s="100">
        <v>52</v>
      </c>
      <c r="AF208" s="100">
        <v>2</v>
      </c>
      <c r="AG208" s="100">
        <v>0.3</v>
      </c>
    </row>
    <row r="209" spans="1:33" x14ac:dyDescent="0.3">
      <c r="A209" s="105" t="str">
        <f t="shared" si="21"/>
        <v>f26t2</v>
      </c>
      <c r="B209" s="109">
        <v>191</v>
      </c>
      <c r="C209" s="109">
        <v>26</v>
      </c>
      <c r="D209" s="109">
        <v>5</v>
      </c>
      <c r="E209" s="109">
        <v>2</v>
      </c>
      <c r="F209" s="109">
        <v>4.4749999999999996</v>
      </c>
      <c r="G209" s="109">
        <v>3.4283818984419798</v>
      </c>
      <c r="H209" s="110">
        <v>41675.480023148149</v>
      </c>
      <c r="I209" s="111" t="s">
        <v>304</v>
      </c>
      <c r="J209" s="106">
        <f t="shared" si="20"/>
        <v>0</v>
      </c>
      <c r="AC209" s="105" t="str">
        <f t="shared" si="22"/>
        <v>f52t3</v>
      </c>
      <c r="AD209" s="100">
        <v>18</v>
      </c>
      <c r="AE209" s="100">
        <v>52</v>
      </c>
      <c r="AF209" s="100">
        <v>3</v>
      </c>
      <c r="AG209" s="100">
        <v>0.3</v>
      </c>
    </row>
    <row r="210" spans="1:33" x14ac:dyDescent="0.3">
      <c r="A210" s="105" t="str">
        <f t="shared" si="21"/>
        <v>f26t3</v>
      </c>
      <c r="B210" s="109">
        <v>191</v>
      </c>
      <c r="C210" s="109">
        <v>26</v>
      </c>
      <c r="D210" s="109">
        <v>5</v>
      </c>
      <c r="E210" s="109">
        <v>3</v>
      </c>
      <c r="F210" s="109">
        <v>4.6820000000000004</v>
      </c>
      <c r="G210" s="109">
        <v>1.2712316162877899</v>
      </c>
      <c r="H210" s="110">
        <v>41675.480023148149</v>
      </c>
      <c r="I210" s="111" t="s">
        <v>304</v>
      </c>
      <c r="J210" s="106">
        <f t="shared" si="20"/>
        <v>0</v>
      </c>
      <c r="AC210" s="105" t="str">
        <f t="shared" si="22"/>
        <v>f52t4</v>
      </c>
      <c r="AD210" s="100">
        <v>18</v>
      </c>
      <c r="AE210" s="100">
        <v>52</v>
      </c>
      <c r="AF210" s="100">
        <v>4</v>
      </c>
      <c r="AG210" s="100">
        <v>0.3</v>
      </c>
    </row>
    <row r="211" spans="1:33" x14ac:dyDescent="0.3">
      <c r="A211" s="105" t="str">
        <f t="shared" si="21"/>
        <v>f27t2</v>
      </c>
      <c r="B211" s="109">
        <v>191</v>
      </c>
      <c r="C211" s="109">
        <v>27</v>
      </c>
      <c r="D211" s="109">
        <v>2</v>
      </c>
      <c r="E211" s="109">
        <v>2</v>
      </c>
      <c r="F211" s="109">
        <v>2.5870000000000002</v>
      </c>
      <c r="G211" s="109">
        <v>4.9054516554181102</v>
      </c>
      <c r="H211" s="110">
        <v>41675.480023148149</v>
      </c>
      <c r="I211" s="111" t="s">
        <v>304</v>
      </c>
      <c r="J211" s="106">
        <f t="shared" si="20"/>
        <v>0</v>
      </c>
      <c r="AC211" s="105" t="str">
        <f t="shared" si="22"/>
        <v>f53t1</v>
      </c>
      <c r="AD211" s="100">
        <v>18</v>
      </c>
      <c r="AE211" s="100">
        <v>53</v>
      </c>
      <c r="AF211" s="100">
        <v>1</v>
      </c>
      <c r="AG211" s="100">
        <v>0.2</v>
      </c>
    </row>
    <row r="212" spans="1:33" x14ac:dyDescent="0.3">
      <c r="A212" s="105" t="str">
        <f t="shared" si="21"/>
        <v>f27t3</v>
      </c>
      <c r="B212" s="109">
        <v>191</v>
      </c>
      <c r="C212" s="109">
        <v>27</v>
      </c>
      <c r="D212" s="109">
        <v>2</v>
      </c>
      <c r="E212" s="109">
        <v>3</v>
      </c>
      <c r="F212" s="109">
        <v>2.5870000000000002</v>
      </c>
      <c r="G212" s="109">
        <v>7.7210442422770402</v>
      </c>
      <c r="H212" s="110">
        <v>41675.480023148149</v>
      </c>
      <c r="I212" s="111" t="s">
        <v>304</v>
      </c>
      <c r="J212" s="106">
        <f t="shared" si="20"/>
        <v>0</v>
      </c>
      <c r="AC212" s="105" t="str">
        <f t="shared" si="22"/>
        <v>f53t2</v>
      </c>
      <c r="AD212" s="100">
        <v>18</v>
      </c>
      <c r="AE212" s="100">
        <v>53</v>
      </c>
      <c r="AF212" s="100">
        <v>2</v>
      </c>
      <c r="AG212" s="100">
        <v>0.2</v>
      </c>
    </row>
    <row r="213" spans="1:33" x14ac:dyDescent="0.3">
      <c r="A213" s="105" t="str">
        <f t="shared" si="21"/>
        <v>f27t2</v>
      </c>
      <c r="B213" s="109">
        <v>191</v>
      </c>
      <c r="C213" s="109">
        <v>27</v>
      </c>
      <c r="D213" s="109">
        <v>3</v>
      </c>
      <c r="E213" s="109">
        <v>2</v>
      </c>
      <c r="F213" s="109">
        <v>2.5870000000000002</v>
      </c>
      <c r="G213" s="109">
        <v>4.9054516554181102</v>
      </c>
      <c r="H213" s="110">
        <v>41675.480023148149</v>
      </c>
      <c r="I213" s="111" t="s">
        <v>304</v>
      </c>
      <c r="J213" s="106">
        <f t="shared" si="20"/>
        <v>0</v>
      </c>
      <c r="AC213" s="105" t="str">
        <f t="shared" si="22"/>
        <v>f53t3</v>
      </c>
      <c r="AD213" s="100">
        <v>18</v>
      </c>
      <c r="AE213" s="100">
        <v>53</v>
      </c>
      <c r="AF213" s="100">
        <v>3</v>
      </c>
      <c r="AG213" s="100">
        <v>0.2</v>
      </c>
    </row>
    <row r="214" spans="1:33" x14ac:dyDescent="0.3">
      <c r="A214" s="105" t="str">
        <f t="shared" si="21"/>
        <v>f27t3</v>
      </c>
      <c r="B214" s="109">
        <v>191</v>
      </c>
      <c r="C214" s="109">
        <v>27</v>
      </c>
      <c r="D214" s="109">
        <v>3</v>
      </c>
      <c r="E214" s="109">
        <v>3</v>
      </c>
      <c r="F214" s="109">
        <v>2.5870000000000002</v>
      </c>
      <c r="G214" s="109">
        <v>7.7210442422770402</v>
      </c>
      <c r="H214" s="110">
        <v>41675.480023148149</v>
      </c>
      <c r="I214" s="111" t="s">
        <v>304</v>
      </c>
      <c r="J214" s="106">
        <f t="shared" si="20"/>
        <v>0</v>
      </c>
      <c r="AC214" s="105" t="str">
        <f t="shared" si="22"/>
        <v>f53t4</v>
      </c>
      <c r="AD214" s="100">
        <v>18</v>
      </c>
      <c r="AE214" s="100">
        <v>53</v>
      </c>
      <c r="AF214" s="100">
        <v>4</v>
      </c>
      <c r="AG214" s="100">
        <v>0.2</v>
      </c>
    </row>
    <row r="215" spans="1:33" x14ac:dyDescent="0.3">
      <c r="A215" s="105" t="str">
        <f t="shared" si="21"/>
        <v>f27t2</v>
      </c>
      <c r="B215" s="109">
        <v>191</v>
      </c>
      <c r="C215" s="109">
        <v>27</v>
      </c>
      <c r="D215" s="109">
        <v>4</v>
      </c>
      <c r="E215" s="109">
        <v>2</v>
      </c>
      <c r="F215" s="109">
        <v>2.5870000000000002</v>
      </c>
      <c r="G215" s="109">
        <v>4.9054516554181102</v>
      </c>
      <c r="H215" s="110">
        <v>41675.480023148149</v>
      </c>
      <c r="I215" s="111" t="s">
        <v>304</v>
      </c>
      <c r="J215" s="106">
        <f t="shared" si="20"/>
        <v>0</v>
      </c>
      <c r="AC215" s="105" t="str">
        <f t="shared" si="22"/>
        <v>f54t1</v>
      </c>
      <c r="AD215" s="100">
        <v>18</v>
      </c>
      <c r="AE215" s="100">
        <v>54</v>
      </c>
      <c r="AF215" s="100">
        <v>1</v>
      </c>
      <c r="AG215" s="100">
        <v>0.2</v>
      </c>
    </row>
    <row r="216" spans="1:33" x14ac:dyDescent="0.3">
      <c r="A216" s="105" t="str">
        <f t="shared" si="21"/>
        <v>f27t3</v>
      </c>
      <c r="B216" s="109">
        <v>191</v>
      </c>
      <c r="C216" s="109">
        <v>27</v>
      </c>
      <c r="D216" s="109">
        <v>4</v>
      </c>
      <c r="E216" s="109">
        <v>3</v>
      </c>
      <c r="F216" s="109">
        <v>2.5870000000000002</v>
      </c>
      <c r="G216" s="109">
        <v>7.7210442422770402</v>
      </c>
      <c r="H216" s="110">
        <v>41675.480023148149</v>
      </c>
      <c r="I216" s="111" t="s">
        <v>304</v>
      </c>
      <c r="J216" s="106">
        <f t="shared" si="20"/>
        <v>0</v>
      </c>
      <c r="AC216" s="105" t="str">
        <f t="shared" si="22"/>
        <v>f54t2</v>
      </c>
      <c r="AD216" s="100">
        <v>18</v>
      </c>
      <c r="AE216" s="100">
        <v>54</v>
      </c>
      <c r="AF216" s="100">
        <v>2</v>
      </c>
      <c r="AG216" s="100">
        <v>0.2</v>
      </c>
    </row>
    <row r="217" spans="1:33" x14ac:dyDescent="0.3">
      <c r="A217" s="105" t="str">
        <f t="shared" si="21"/>
        <v>f27t2</v>
      </c>
      <c r="B217" s="109">
        <v>191</v>
      </c>
      <c r="C217" s="109">
        <v>27</v>
      </c>
      <c r="D217" s="109">
        <v>5</v>
      </c>
      <c r="E217" s="109">
        <v>2</v>
      </c>
      <c r="F217" s="109">
        <v>2.5870000000000002</v>
      </c>
      <c r="G217" s="109">
        <v>4.9054516554181102</v>
      </c>
      <c r="H217" s="110">
        <v>41675.480023148149</v>
      </c>
      <c r="I217" s="111" t="s">
        <v>304</v>
      </c>
      <c r="J217" s="106">
        <f t="shared" si="20"/>
        <v>0</v>
      </c>
      <c r="AC217" s="105" t="str">
        <f t="shared" si="22"/>
        <v>f54t3</v>
      </c>
      <c r="AD217" s="100">
        <v>18</v>
      </c>
      <c r="AE217" s="100">
        <v>54</v>
      </c>
      <c r="AF217" s="100">
        <v>3</v>
      </c>
      <c r="AG217" s="100">
        <v>0.2</v>
      </c>
    </row>
    <row r="218" spans="1:33" x14ac:dyDescent="0.3">
      <c r="A218" s="105" t="str">
        <f t="shared" si="21"/>
        <v>f27t3</v>
      </c>
      <c r="B218" s="109">
        <v>191</v>
      </c>
      <c r="C218" s="109">
        <v>27</v>
      </c>
      <c r="D218" s="109">
        <v>5</v>
      </c>
      <c r="E218" s="109">
        <v>3</v>
      </c>
      <c r="F218" s="109">
        <v>2.5870000000000002</v>
      </c>
      <c r="G218" s="109">
        <v>7.7210442422770402</v>
      </c>
      <c r="H218" s="110">
        <v>41675.480023148149</v>
      </c>
      <c r="I218" s="111" t="s">
        <v>304</v>
      </c>
      <c r="J218" s="106">
        <f t="shared" si="20"/>
        <v>0</v>
      </c>
      <c r="AC218" s="105" t="str">
        <f t="shared" si="22"/>
        <v>f54t4</v>
      </c>
      <c r="AD218" s="100">
        <v>18</v>
      </c>
      <c r="AE218" s="100">
        <v>54</v>
      </c>
      <c r="AF218" s="100">
        <v>4</v>
      </c>
      <c r="AG218" s="100">
        <v>0.2</v>
      </c>
    </row>
    <row r="219" spans="1:33" x14ac:dyDescent="0.3">
      <c r="A219" s="105" t="str">
        <f t="shared" si="21"/>
        <v>f30t1</v>
      </c>
      <c r="B219" s="109">
        <v>191</v>
      </c>
      <c r="C219" s="109">
        <v>30</v>
      </c>
      <c r="D219" s="109">
        <v>2</v>
      </c>
      <c r="E219" s="109">
        <v>1</v>
      </c>
      <c r="F219" s="109">
        <v>0.47399999999999998</v>
      </c>
      <c r="G219" s="109">
        <v>0.27516348079348402</v>
      </c>
      <c r="H219" s="110">
        <v>41675.480023148149</v>
      </c>
      <c r="I219" s="111" t="s">
        <v>304</v>
      </c>
      <c r="J219" s="106">
        <f t="shared" si="20"/>
        <v>0</v>
      </c>
      <c r="AC219" s="105" t="str">
        <f t="shared" si="22"/>
        <v>f55t1</v>
      </c>
      <c r="AD219" s="100">
        <v>18</v>
      </c>
      <c r="AE219" s="100">
        <v>55</v>
      </c>
      <c r="AF219" s="100">
        <v>1</v>
      </c>
      <c r="AG219" s="100">
        <v>0.3</v>
      </c>
    </row>
    <row r="220" spans="1:33" x14ac:dyDescent="0.3">
      <c r="A220" s="105" t="str">
        <f t="shared" si="21"/>
        <v>f30t2</v>
      </c>
      <c r="B220" s="109">
        <v>191</v>
      </c>
      <c r="C220" s="109">
        <v>30</v>
      </c>
      <c r="D220" s="109">
        <v>2</v>
      </c>
      <c r="E220" s="109">
        <v>2</v>
      </c>
      <c r="F220" s="109">
        <v>1.0860000000000001</v>
      </c>
      <c r="G220" s="109">
        <v>0.43242641676041199</v>
      </c>
      <c r="H220" s="110">
        <v>41675.480023148149</v>
      </c>
      <c r="I220" s="111" t="s">
        <v>304</v>
      </c>
      <c r="J220" s="106">
        <f t="shared" si="20"/>
        <v>0</v>
      </c>
      <c r="AC220" s="105" t="str">
        <f t="shared" si="22"/>
        <v>f55t2</v>
      </c>
      <c r="AD220" s="100">
        <v>18</v>
      </c>
      <c r="AE220" s="100">
        <v>55</v>
      </c>
      <c r="AF220" s="100">
        <v>2</v>
      </c>
      <c r="AG220" s="100">
        <v>0.3</v>
      </c>
    </row>
    <row r="221" spans="1:33" x14ac:dyDescent="0.3">
      <c r="A221" s="105" t="str">
        <f t="shared" si="21"/>
        <v>f30t3</v>
      </c>
      <c r="B221" s="109">
        <v>191</v>
      </c>
      <c r="C221" s="109">
        <v>30</v>
      </c>
      <c r="D221" s="109">
        <v>2</v>
      </c>
      <c r="E221" s="109">
        <v>3</v>
      </c>
      <c r="F221" s="109">
        <v>1.0860000000000001</v>
      </c>
      <c r="G221" s="109">
        <v>0.54020287170396297</v>
      </c>
      <c r="H221" s="110">
        <v>41675.480023148149</v>
      </c>
      <c r="I221" s="111" t="s">
        <v>304</v>
      </c>
      <c r="J221" s="106">
        <f t="shared" si="20"/>
        <v>0</v>
      </c>
      <c r="AC221" s="105" t="str">
        <f t="shared" si="22"/>
        <v>f55t3</v>
      </c>
      <c r="AD221" s="100">
        <v>18</v>
      </c>
      <c r="AE221" s="100">
        <v>55</v>
      </c>
      <c r="AF221" s="100">
        <v>3</v>
      </c>
      <c r="AG221" s="100">
        <v>0.3</v>
      </c>
    </row>
    <row r="222" spans="1:33" x14ac:dyDescent="0.3">
      <c r="A222" s="105" t="str">
        <f t="shared" si="21"/>
        <v>f30t4</v>
      </c>
      <c r="B222" s="109">
        <v>191</v>
      </c>
      <c r="C222" s="109">
        <v>30</v>
      </c>
      <c r="D222" s="109">
        <v>2</v>
      </c>
      <c r="E222" s="109">
        <v>4</v>
      </c>
      <c r="F222" s="109">
        <v>0.47399999999999998</v>
      </c>
      <c r="G222" s="109">
        <v>0.80373274314081</v>
      </c>
      <c r="H222" s="110">
        <v>41675.480023148149</v>
      </c>
      <c r="I222" s="111" t="s">
        <v>304</v>
      </c>
      <c r="J222" s="106">
        <f t="shared" si="20"/>
        <v>0</v>
      </c>
      <c r="AC222" s="105" t="str">
        <f t="shared" si="22"/>
        <v>f55t4</v>
      </c>
      <c r="AD222" s="100">
        <v>18</v>
      </c>
      <c r="AE222" s="100">
        <v>55</v>
      </c>
      <c r="AF222" s="100">
        <v>4</v>
      </c>
      <c r="AG222" s="100">
        <v>0.3</v>
      </c>
    </row>
    <row r="223" spans="1:33" x14ac:dyDescent="0.3">
      <c r="A223" s="105" t="str">
        <f t="shared" si="21"/>
        <v>f30t1</v>
      </c>
      <c r="B223" s="109">
        <v>191</v>
      </c>
      <c r="C223" s="109">
        <v>30</v>
      </c>
      <c r="D223" s="109">
        <v>3</v>
      </c>
      <c r="E223" s="109">
        <v>1</v>
      </c>
      <c r="F223" s="109">
        <v>0.47399999999999998</v>
      </c>
      <c r="G223" s="109">
        <v>0.27516348079348402</v>
      </c>
      <c r="H223" s="110">
        <v>41675.480023148149</v>
      </c>
      <c r="I223" s="111" t="s">
        <v>304</v>
      </c>
      <c r="J223" s="106">
        <f t="shared" si="20"/>
        <v>0</v>
      </c>
      <c r="AC223" s="105" t="str">
        <f t="shared" si="22"/>
        <v>f56t1</v>
      </c>
      <c r="AD223" s="100">
        <v>18</v>
      </c>
      <c r="AE223" s="100">
        <v>56</v>
      </c>
      <c r="AF223" s="100">
        <v>1</v>
      </c>
      <c r="AG223" s="100">
        <v>0.2</v>
      </c>
    </row>
    <row r="224" spans="1:33" x14ac:dyDescent="0.3">
      <c r="A224" s="105" t="str">
        <f t="shared" si="21"/>
        <v>f30t2</v>
      </c>
      <c r="B224" s="109">
        <v>191</v>
      </c>
      <c r="C224" s="109">
        <v>30</v>
      </c>
      <c r="D224" s="109">
        <v>3</v>
      </c>
      <c r="E224" s="109">
        <v>2</v>
      </c>
      <c r="F224" s="109">
        <v>1.0860000000000001</v>
      </c>
      <c r="G224" s="109">
        <v>0.43242641676041199</v>
      </c>
      <c r="H224" s="110">
        <v>41675.480023148149</v>
      </c>
      <c r="I224" s="111" t="s">
        <v>304</v>
      </c>
      <c r="J224" s="106">
        <f t="shared" si="20"/>
        <v>0</v>
      </c>
      <c r="AC224" s="105" t="str">
        <f t="shared" si="22"/>
        <v>f56t2</v>
      </c>
      <c r="AD224" s="100">
        <v>18</v>
      </c>
      <c r="AE224" s="100">
        <v>56</v>
      </c>
      <c r="AF224" s="100">
        <v>2</v>
      </c>
      <c r="AG224" s="100">
        <v>0.2</v>
      </c>
    </row>
    <row r="225" spans="1:33" x14ac:dyDescent="0.3">
      <c r="A225" s="105" t="str">
        <f t="shared" si="21"/>
        <v>f30t3</v>
      </c>
      <c r="B225" s="109">
        <v>191</v>
      </c>
      <c r="C225" s="109">
        <v>30</v>
      </c>
      <c r="D225" s="109">
        <v>3</v>
      </c>
      <c r="E225" s="109">
        <v>3</v>
      </c>
      <c r="F225" s="109">
        <v>1.0860000000000001</v>
      </c>
      <c r="G225" s="109">
        <v>0.54020287170396297</v>
      </c>
      <c r="H225" s="110">
        <v>41675.480023148149</v>
      </c>
      <c r="I225" s="111" t="s">
        <v>304</v>
      </c>
      <c r="J225" s="106">
        <f t="shared" si="20"/>
        <v>0</v>
      </c>
      <c r="AC225" s="105" t="str">
        <f t="shared" si="22"/>
        <v>f56t3</v>
      </c>
      <c r="AD225" s="100">
        <v>18</v>
      </c>
      <c r="AE225" s="100">
        <v>56</v>
      </c>
      <c r="AF225" s="100">
        <v>3</v>
      </c>
      <c r="AG225" s="100">
        <v>0.2</v>
      </c>
    </row>
    <row r="226" spans="1:33" x14ac:dyDescent="0.3">
      <c r="A226" s="105" t="str">
        <f t="shared" si="21"/>
        <v>f30t4</v>
      </c>
      <c r="B226" s="109">
        <v>191</v>
      </c>
      <c r="C226" s="109">
        <v>30</v>
      </c>
      <c r="D226" s="109">
        <v>3</v>
      </c>
      <c r="E226" s="109">
        <v>4</v>
      </c>
      <c r="F226" s="109">
        <v>0.47399999999999998</v>
      </c>
      <c r="G226" s="109">
        <v>0.80373274314081</v>
      </c>
      <c r="H226" s="110">
        <v>41675.480023148149</v>
      </c>
      <c r="I226" s="111" t="s">
        <v>304</v>
      </c>
      <c r="J226" s="106">
        <f t="shared" si="20"/>
        <v>0</v>
      </c>
      <c r="AC226" s="105" t="str">
        <f t="shared" si="22"/>
        <v>f56t4</v>
      </c>
      <c r="AD226" s="100">
        <v>18</v>
      </c>
      <c r="AE226" s="100">
        <v>56</v>
      </c>
      <c r="AF226" s="100">
        <v>4</v>
      </c>
      <c r="AG226" s="100">
        <v>0.2</v>
      </c>
    </row>
    <row r="227" spans="1:33" x14ac:dyDescent="0.3">
      <c r="A227" s="105" t="str">
        <f t="shared" si="21"/>
        <v>f30t1</v>
      </c>
      <c r="B227" s="109">
        <v>191</v>
      </c>
      <c r="C227" s="109">
        <v>30</v>
      </c>
      <c r="D227" s="109">
        <v>4</v>
      </c>
      <c r="E227" s="109">
        <v>1</v>
      </c>
      <c r="F227" s="109">
        <v>0.47399999999999998</v>
      </c>
      <c r="G227" s="109">
        <v>0.27516348079348402</v>
      </c>
      <c r="H227" s="110">
        <v>41675.480023148149</v>
      </c>
      <c r="I227" s="111" t="s">
        <v>304</v>
      </c>
      <c r="J227" s="106">
        <f t="shared" si="20"/>
        <v>0</v>
      </c>
      <c r="AC227" s="105" t="str">
        <f t="shared" si="22"/>
        <v>f57t1</v>
      </c>
      <c r="AD227" s="100">
        <v>18</v>
      </c>
      <c r="AE227" s="100">
        <v>57</v>
      </c>
      <c r="AF227" s="100">
        <v>1</v>
      </c>
      <c r="AG227" s="100">
        <v>0.2</v>
      </c>
    </row>
    <row r="228" spans="1:33" x14ac:dyDescent="0.3">
      <c r="A228" s="105" t="str">
        <f t="shared" si="21"/>
        <v>f30t2</v>
      </c>
      <c r="B228" s="109">
        <v>191</v>
      </c>
      <c r="C228" s="109">
        <v>30</v>
      </c>
      <c r="D228" s="109">
        <v>4</v>
      </c>
      <c r="E228" s="109">
        <v>2</v>
      </c>
      <c r="F228" s="109">
        <v>1.0860000000000001</v>
      </c>
      <c r="G228" s="109">
        <v>0.43242641676041199</v>
      </c>
      <c r="H228" s="110">
        <v>41675.480023148149</v>
      </c>
      <c r="I228" s="111" t="s">
        <v>304</v>
      </c>
      <c r="J228" s="106">
        <f t="shared" si="20"/>
        <v>0</v>
      </c>
      <c r="AC228" s="105" t="str">
        <f t="shared" si="22"/>
        <v>f57t2</v>
      </c>
      <c r="AD228" s="100">
        <v>18</v>
      </c>
      <c r="AE228" s="100">
        <v>57</v>
      </c>
      <c r="AF228" s="100">
        <v>2</v>
      </c>
      <c r="AG228" s="100">
        <v>0.2</v>
      </c>
    </row>
    <row r="229" spans="1:33" x14ac:dyDescent="0.3">
      <c r="A229" s="105" t="str">
        <f t="shared" si="21"/>
        <v>f30t3</v>
      </c>
      <c r="B229" s="109">
        <v>191</v>
      </c>
      <c r="C229" s="109">
        <v>30</v>
      </c>
      <c r="D229" s="109">
        <v>4</v>
      </c>
      <c r="E229" s="109">
        <v>3</v>
      </c>
      <c r="F229" s="109">
        <v>1.0860000000000001</v>
      </c>
      <c r="G229" s="109">
        <v>0.54020287170396297</v>
      </c>
      <c r="H229" s="110">
        <v>41675.480023148149</v>
      </c>
      <c r="I229" s="111" t="s">
        <v>304</v>
      </c>
      <c r="J229" s="106">
        <f t="shared" ref="J229:J292" si="23">F229-VLOOKUP(A229,L$3:P$100,5,FALSE)</f>
        <v>0</v>
      </c>
      <c r="AC229" s="105" t="str">
        <f t="shared" si="22"/>
        <v>f57t3</v>
      </c>
      <c r="AD229" s="100">
        <v>18</v>
      </c>
      <c r="AE229" s="100">
        <v>57</v>
      </c>
      <c r="AF229" s="100">
        <v>3</v>
      </c>
      <c r="AG229" s="100">
        <v>0.2</v>
      </c>
    </row>
    <row r="230" spans="1:33" x14ac:dyDescent="0.3">
      <c r="A230" s="105" t="str">
        <f t="shared" si="21"/>
        <v>f30t4</v>
      </c>
      <c r="B230" s="109">
        <v>191</v>
      </c>
      <c r="C230" s="109">
        <v>30</v>
      </c>
      <c r="D230" s="109">
        <v>4</v>
      </c>
      <c r="E230" s="109">
        <v>4</v>
      </c>
      <c r="F230" s="109">
        <v>0.47399999999999998</v>
      </c>
      <c r="G230" s="109">
        <v>0.80373274314081</v>
      </c>
      <c r="H230" s="110">
        <v>41675.480023148149</v>
      </c>
      <c r="I230" s="111" t="s">
        <v>304</v>
      </c>
      <c r="J230" s="106">
        <f t="shared" si="23"/>
        <v>0</v>
      </c>
      <c r="AC230" s="105" t="str">
        <f t="shared" si="22"/>
        <v>f57t4</v>
      </c>
      <c r="AD230" s="100">
        <v>18</v>
      </c>
      <c r="AE230" s="100">
        <v>57</v>
      </c>
      <c r="AF230" s="100">
        <v>4</v>
      </c>
      <c r="AG230" s="100">
        <v>0.2</v>
      </c>
    </row>
    <row r="231" spans="1:33" x14ac:dyDescent="0.3">
      <c r="A231" s="105" t="str">
        <f t="shared" si="21"/>
        <v>f30t1</v>
      </c>
      <c r="B231" s="109">
        <v>191</v>
      </c>
      <c r="C231" s="109">
        <v>30</v>
      </c>
      <c r="D231" s="109">
        <v>5</v>
      </c>
      <c r="E231" s="109">
        <v>1</v>
      </c>
      <c r="F231" s="109">
        <v>0.47399999999999998</v>
      </c>
      <c r="G231" s="109">
        <v>0.27516348079348402</v>
      </c>
      <c r="H231" s="110">
        <v>41675.480023148149</v>
      </c>
      <c r="I231" s="111" t="s">
        <v>304</v>
      </c>
      <c r="J231" s="106">
        <f t="shared" si="23"/>
        <v>0</v>
      </c>
      <c r="AC231" s="105" t="str">
        <f t="shared" si="22"/>
        <v>f58t1</v>
      </c>
      <c r="AD231" s="100">
        <v>18</v>
      </c>
      <c r="AE231" s="100">
        <v>58</v>
      </c>
      <c r="AF231" s="100">
        <v>1</v>
      </c>
      <c r="AG231" s="100">
        <v>0.3</v>
      </c>
    </row>
    <row r="232" spans="1:33" x14ac:dyDescent="0.3">
      <c r="A232" s="105" t="str">
        <f t="shared" si="21"/>
        <v>f30t2</v>
      </c>
      <c r="B232" s="109">
        <v>191</v>
      </c>
      <c r="C232" s="109">
        <v>30</v>
      </c>
      <c r="D232" s="109">
        <v>5</v>
      </c>
      <c r="E232" s="109">
        <v>2</v>
      </c>
      <c r="F232" s="109">
        <v>1.0860000000000001</v>
      </c>
      <c r="G232" s="109">
        <v>0.43242641676041199</v>
      </c>
      <c r="H232" s="110">
        <v>41675.480023148149</v>
      </c>
      <c r="I232" s="111" t="s">
        <v>304</v>
      </c>
      <c r="J232" s="106">
        <f t="shared" si="23"/>
        <v>0</v>
      </c>
      <c r="AC232" s="105" t="str">
        <f t="shared" si="22"/>
        <v>f58t2</v>
      </c>
      <c r="AD232" s="100">
        <v>18</v>
      </c>
      <c r="AE232" s="100">
        <v>58</v>
      </c>
      <c r="AF232" s="100">
        <v>2</v>
      </c>
      <c r="AG232" s="100">
        <v>0.3</v>
      </c>
    </row>
    <row r="233" spans="1:33" x14ac:dyDescent="0.3">
      <c r="A233" s="105" t="str">
        <f t="shared" si="21"/>
        <v>f30t3</v>
      </c>
      <c r="B233" s="109">
        <v>191</v>
      </c>
      <c r="C233" s="109">
        <v>30</v>
      </c>
      <c r="D233" s="109">
        <v>5</v>
      </c>
      <c r="E233" s="109">
        <v>3</v>
      </c>
      <c r="F233" s="109">
        <v>1.0860000000000001</v>
      </c>
      <c r="G233" s="109">
        <v>0.54020287170396297</v>
      </c>
      <c r="H233" s="110">
        <v>41675.480023148149</v>
      </c>
      <c r="I233" s="111" t="s">
        <v>304</v>
      </c>
      <c r="J233" s="106">
        <f t="shared" si="23"/>
        <v>0</v>
      </c>
      <c r="AC233" s="105" t="str">
        <f t="shared" si="22"/>
        <v>f58t3</v>
      </c>
      <c r="AD233" s="100">
        <v>18</v>
      </c>
      <c r="AE233" s="100">
        <v>58</v>
      </c>
      <c r="AF233" s="100">
        <v>3</v>
      </c>
      <c r="AG233" s="100">
        <v>0.3</v>
      </c>
    </row>
    <row r="234" spans="1:33" x14ac:dyDescent="0.3">
      <c r="A234" s="105" t="str">
        <f t="shared" si="21"/>
        <v>f30t4</v>
      </c>
      <c r="B234" s="109">
        <v>191</v>
      </c>
      <c r="C234" s="109">
        <v>30</v>
      </c>
      <c r="D234" s="109">
        <v>5</v>
      </c>
      <c r="E234" s="109">
        <v>4</v>
      </c>
      <c r="F234" s="109">
        <v>0.47399999999999998</v>
      </c>
      <c r="G234" s="109">
        <v>0.80373274314081</v>
      </c>
      <c r="H234" s="110">
        <v>41675.480023148149</v>
      </c>
      <c r="I234" s="111" t="s">
        <v>304</v>
      </c>
      <c r="J234" s="106">
        <f t="shared" si="23"/>
        <v>0</v>
      </c>
      <c r="AC234" s="105" t="str">
        <f t="shared" si="22"/>
        <v>f58t4</v>
      </c>
      <c r="AD234" s="100">
        <v>18</v>
      </c>
      <c r="AE234" s="100">
        <v>58</v>
      </c>
      <c r="AF234" s="100">
        <v>4</v>
      </c>
      <c r="AG234" s="100">
        <v>0.3</v>
      </c>
    </row>
    <row r="235" spans="1:33" x14ac:dyDescent="0.3">
      <c r="A235" s="105" t="str">
        <f t="shared" si="21"/>
        <v>f31t2</v>
      </c>
      <c r="B235" s="109">
        <v>191</v>
      </c>
      <c r="C235" s="109">
        <v>31</v>
      </c>
      <c r="D235" s="109">
        <v>2</v>
      </c>
      <c r="E235" s="109">
        <v>2</v>
      </c>
      <c r="F235" s="109">
        <v>0.58299999999999996</v>
      </c>
      <c r="G235" s="109">
        <v>0.88768602438606603</v>
      </c>
      <c r="H235" s="110">
        <v>41675.480023148149</v>
      </c>
      <c r="I235" s="111" t="s">
        <v>304</v>
      </c>
      <c r="J235" s="106">
        <f t="shared" si="23"/>
        <v>0</v>
      </c>
      <c r="AC235" s="105" t="str">
        <f t="shared" si="22"/>
        <v>f59t1</v>
      </c>
      <c r="AD235" s="100">
        <v>18</v>
      </c>
      <c r="AE235" s="100">
        <v>59</v>
      </c>
      <c r="AF235" s="100">
        <v>1</v>
      </c>
      <c r="AG235" s="100">
        <v>0.3</v>
      </c>
    </row>
    <row r="236" spans="1:33" x14ac:dyDescent="0.3">
      <c r="A236" s="105" t="str">
        <f t="shared" si="21"/>
        <v>f31t3</v>
      </c>
      <c r="B236" s="109">
        <v>191</v>
      </c>
      <c r="C236" s="109">
        <v>31</v>
      </c>
      <c r="D236" s="109">
        <v>2</v>
      </c>
      <c r="E236" s="109">
        <v>3</v>
      </c>
      <c r="F236" s="109">
        <v>0.68899999999999995</v>
      </c>
      <c r="G236" s="109">
        <v>1.2876009584677599</v>
      </c>
      <c r="H236" s="110">
        <v>41675.480023148149</v>
      </c>
      <c r="I236" s="111" t="s">
        <v>304</v>
      </c>
      <c r="J236" s="106">
        <f t="shared" si="23"/>
        <v>0</v>
      </c>
      <c r="AC236" s="105" t="str">
        <f t="shared" si="22"/>
        <v>f59t2</v>
      </c>
      <c r="AD236" s="100">
        <v>18</v>
      </c>
      <c r="AE236" s="100">
        <v>59</v>
      </c>
      <c r="AF236" s="100">
        <v>2</v>
      </c>
      <c r="AG236" s="100">
        <v>0.3</v>
      </c>
    </row>
    <row r="237" spans="1:33" x14ac:dyDescent="0.3">
      <c r="A237" s="105" t="str">
        <f t="shared" si="21"/>
        <v>f31t2</v>
      </c>
      <c r="B237" s="109">
        <v>191</v>
      </c>
      <c r="C237" s="109">
        <v>31</v>
      </c>
      <c r="D237" s="109">
        <v>3</v>
      </c>
      <c r="E237" s="109">
        <v>2</v>
      </c>
      <c r="F237" s="109">
        <v>0.58299999999999996</v>
      </c>
      <c r="G237" s="109">
        <v>0.88768602438606603</v>
      </c>
      <c r="H237" s="110">
        <v>41675.480023148149</v>
      </c>
      <c r="I237" s="111" t="s">
        <v>304</v>
      </c>
      <c r="J237" s="106">
        <f t="shared" si="23"/>
        <v>0</v>
      </c>
      <c r="AC237" s="105" t="str">
        <f t="shared" si="22"/>
        <v>f59t3</v>
      </c>
      <c r="AD237" s="100">
        <v>18</v>
      </c>
      <c r="AE237" s="100">
        <v>59</v>
      </c>
      <c r="AF237" s="100">
        <v>3</v>
      </c>
      <c r="AG237" s="100">
        <v>0.3</v>
      </c>
    </row>
    <row r="238" spans="1:33" x14ac:dyDescent="0.3">
      <c r="A238" s="105" t="str">
        <f t="shared" si="21"/>
        <v>f31t3</v>
      </c>
      <c r="B238" s="109">
        <v>191</v>
      </c>
      <c r="C238" s="109">
        <v>31</v>
      </c>
      <c r="D238" s="109">
        <v>3</v>
      </c>
      <c r="E238" s="109">
        <v>3</v>
      </c>
      <c r="F238" s="109">
        <v>0.68899999999999995</v>
      </c>
      <c r="G238" s="109">
        <v>1.2876009584677599</v>
      </c>
      <c r="H238" s="110">
        <v>41675.480023148149</v>
      </c>
      <c r="I238" s="111" t="s">
        <v>304</v>
      </c>
      <c r="J238" s="106">
        <f t="shared" si="23"/>
        <v>0</v>
      </c>
      <c r="AC238" s="105" t="str">
        <f t="shared" si="22"/>
        <v>f59t4</v>
      </c>
      <c r="AD238" s="100">
        <v>18</v>
      </c>
      <c r="AE238" s="100">
        <v>59</v>
      </c>
      <c r="AF238" s="100">
        <v>4</v>
      </c>
      <c r="AG238" s="100">
        <v>0.3</v>
      </c>
    </row>
    <row r="239" spans="1:33" x14ac:dyDescent="0.3">
      <c r="A239" s="105" t="str">
        <f t="shared" si="21"/>
        <v>f31t2</v>
      </c>
      <c r="B239" s="109">
        <v>191</v>
      </c>
      <c r="C239" s="109">
        <v>31</v>
      </c>
      <c r="D239" s="109">
        <v>4</v>
      </c>
      <c r="E239" s="109">
        <v>2</v>
      </c>
      <c r="F239" s="109">
        <v>0.58299999999999996</v>
      </c>
      <c r="G239" s="109">
        <v>0.88768602438606603</v>
      </c>
      <c r="H239" s="110">
        <v>41675.480023148149</v>
      </c>
      <c r="I239" s="111" t="s">
        <v>304</v>
      </c>
      <c r="J239" s="106">
        <f t="shared" si="23"/>
        <v>0</v>
      </c>
      <c r="AC239" s="105" t="str">
        <f t="shared" si="22"/>
        <v>f60t1</v>
      </c>
      <c r="AD239" s="100">
        <v>18</v>
      </c>
      <c r="AE239" s="100">
        <v>60</v>
      </c>
      <c r="AF239" s="100">
        <v>1</v>
      </c>
      <c r="AG239" s="100">
        <v>0.2</v>
      </c>
    </row>
    <row r="240" spans="1:33" x14ac:dyDescent="0.3">
      <c r="A240" s="105" t="str">
        <f t="shared" si="21"/>
        <v>f31t3</v>
      </c>
      <c r="B240" s="109">
        <v>191</v>
      </c>
      <c r="C240" s="109">
        <v>31</v>
      </c>
      <c r="D240" s="109">
        <v>4</v>
      </c>
      <c r="E240" s="109">
        <v>3</v>
      </c>
      <c r="F240" s="109">
        <v>0.68899999999999995</v>
      </c>
      <c r="G240" s="109">
        <v>1.2876009584677599</v>
      </c>
      <c r="H240" s="110">
        <v>41675.480023148149</v>
      </c>
      <c r="I240" s="111" t="s">
        <v>304</v>
      </c>
      <c r="J240" s="106">
        <f t="shared" si="23"/>
        <v>0</v>
      </c>
      <c r="AC240" s="105" t="str">
        <f t="shared" si="22"/>
        <v>f60t2</v>
      </c>
      <c r="AD240" s="100">
        <v>18</v>
      </c>
      <c r="AE240" s="100">
        <v>60</v>
      </c>
      <c r="AF240" s="100">
        <v>2</v>
      </c>
      <c r="AG240" s="100">
        <v>0.2</v>
      </c>
    </row>
    <row r="241" spans="1:33" x14ac:dyDescent="0.3">
      <c r="A241" s="105" t="str">
        <f t="shared" si="21"/>
        <v>f31t2</v>
      </c>
      <c r="B241" s="109">
        <v>191</v>
      </c>
      <c r="C241" s="109">
        <v>31</v>
      </c>
      <c r="D241" s="109">
        <v>5</v>
      </c>
      <c r="E241" s="109">
        <v>2</v>
      </c>
      <c r="F241" s="109">
        <v>0.58299999999999996</v>
      </c>
      <c r="G241" s="109">
        <v>0.88768602438606603</v>
      </c>
      <c r="H241" s="110">
        <v>41675.480023148149</v>
      </c>
      <c r="I241" s="111" t="s">
        <v>304</v>
      </c>
      <c r="J241" s="106">
        <f t="shared" si="23"/>
        <v>0</v>
      </c>
      <c r="AC241" s="105" t="str">
        <f t="shared" si="22"/>
        <v>f60t3</v>
      </c>
      <c r="AD241" s="100">
        <v>18</v>
      </c>
      <c r="AE241" s="100">
        <v>60</v>
      </c>
      <c r="AF241" s="100">
        <v>3</v>
      </c>
      <c r="AG241" s="100">
        <v>0.2</v>
      </c>
    </row>
    <row r="242" spans="1:33" x14ac:dyDescent="0.3">
      <c r="A242" s="105" t="str">
        <f t="shared" si="21"/>
        <v>f31t3</v>
      </c>
      <c r="B242" s="109">
        <v>191</v>
      </c>
      <c r="C242" s="109">
        <v>31</v>
      </c>
      <c r="D242" s="109">
        <v>5</v>
      </c>
      <c r="E242" s="109">
        <v>3</v>
      </c>
      <c r="F242" s="109">
        <v>0.68899999999999995</v>
      </c>
      <c r="G242" s="109">
        <v>1.2876009584677599</v>
      </c>
      <c r="H242" s="110">
        <v>41675.480023148149</v>
      </c>
      <c r="I242" s="111" t="s">
        <v>304</v>
      </c>
      <c r="J242" s="106">
        <f t="shared" si="23"/>
        <v>0</v>
      </c>
      <c r="AC242" s="105" t="str">
        <f t="shared" si="22"/>
        <v>f60t4</v>
      </c>
      <c r="AD242" s="100">
        <v>18</v>
      </c>
      <c r="AE242" s="100">
        <v>60</v>
      </c>
      <c r="AF242" s="100">
        <v>4</v>
      </c>
      <c r="AG242" s="100">
        <v>0.2</v>
      </c>
    </row>
    <row r="243" spans="1:33" x14ac:dyDescent="0.3">
      <c r="A243" s="105" t="str">
        <f t="shared" si="21"/>
        <v>f32t2</v>
      </c>
      <c r="B243" s="109">
        <v>191</v>
      </c>
      <c r="C243" s="109">
        <v>32</v>
      </c>
      <c r="D243" s="109">
        <v>2</v>
      </c>
      <c r="E243" s="109">
        <v>2</v>
      </c>
      <c r="F243" s="109">
        <v>1.0860000000000001</v>
      </c>
      <c r="G243" s="109">
        <v>0.89708511647811295</v>
      </c>
      <c r="H243" s="110">
        <v>41675.480023148149</v>
      </c>
      <c r="I243" s="111" t="s">
        <v>304</v>
      </c>
      <c r="J243" s="106">
        <f t="shared" si="23"/>
        <v>0</v>
      </c>
      <c r="AC243" s="105" t="str">
        <f t="shared" si="22"/>
        <v>f61t1</v>
      </c>
      <c r="AD243" s="100">
        <v>18</v>
      </c>
      <c r="AE243" s="100">
        <v>61</v>
      </c>
      <c r="AF243" s="100">
        <v>1</v>
      </c>
      <c r="AG243" s="100">
        <v>0.3</v>
      </c>
    </row>
    <row r="244" spans="1:33" x14ac:dyDescent="0.3">
      <c r="A244" s="105" t="str">
        <f t="shared" si="21"/>
        <v>f32t3</v>
      </c>
      <c r="B244" s="109">
        <v>191</v>
      </c>
      <c r="C244" s="109">
        <v>32</v>
      </c>
      <c r="D244" s="109">
        <v>2</v>
      </c>
      <c r="E244" s="109">
        <v>3</v>
      </c>
      <c r="F244" s="109">
        <v>1.0860000000000001</v>
      </c>
      <c r="G244" s="109">
        <v>0.48443954241195503</v>
      </c>
      <c r="H244" s="110">
        <v>41675.480023148149</v>
      </c>
      <c r="I244" s="111" t="s">
        <v>304</v>
      </c>
      <c r="J244" s="106">
        <f t="shared" si="23"/>
        <v>0</v>
      </c>
      <c r="AC244" s="105" t="str">
        <f t="shared" si="22"/>
        <v>f61t2</v>
      </c>
      <c r="AD244" s="100">
        <v>18</v>
      </c>
      <c r="AE244" s="100">
        <v>61</v>
      </c>
      <c r="AF244" s="100">
        <v>2</v>
      </c>
      <c r="AG244" s="100">
        <v>0.3</v>
      </c>
    </row>
    <row r="245" spans="1:33" x14ac:dyDescent="0.3">
      <c r="A245" s="105" t="str">
        <f t="shared" si="21"/>
        <v>f32t2</v>
      </c>
      <c r="B245" s="109">
        <v>191</v>
      </c>
      <c r="C245" s="109">
        <v>32</v>
      </c>
      <c r="D245" s="109">
        <v>3</v>
      </c>
      <c r="E245" s="109">
        <v>2</v>
      </c>
      <c r="F245" s="109">
        <v>1.0860000000000001</v>
      </c>
      <c r="G245" s="109">
        <v>0.89708511647811295</v>
      </c>
      <c r="H245" s="110">
        <v>41675.480023148149</v>
      </c>
      <c r="I245" s="111" t="s">
        <v>304</v>
      </c>
      <c r="J245" s="106">
        <f t="shared" si="23"/>
        <v>0</v>
      </c>
      <c r="AC245" s="105" t="str">
        <f t="shared" si="22"/>
        <v>f61t3</v>
      </c>
      <c r="AD245" s="100">
        <v>18</v>
      </c>
      <c r="AE245" s="100">
        <v>61</v>
      </c>
      <c r="AF245" s="100">
        <v>3</v>
      </c>
      <c r="AG245" s="100">
        <v>0.3</v>
      </c>
    </row>
    <row r="246" spans="1:33" x14ac:dyDescent="0.3">
      <c r="A246" s="105" t="str">
        <f t="shared" si="21"/>
        <v>f32t3</v>
      </c>
      <c r="B246" s="109">
        <v>191</v>
      </c>
      <c r="C246" s="109">
        <v>32</v>
      </c>
      <c r="D246" s="109">
        <v>3</v>
      </c>
      <c r="E246" s="109">
        <v>3</v>
      </c>
      <c r="F246" s="109">
        <v>1.0860000000000001</v>
      </c>
      <c r="G246" s="109">
        <v>0.48443954241195503</v>
      </c>
      <c r="H246" s="110">
        <v>41675.480023148149</v>
      </c>
      <c r="I246" s="111" t="s">
        <v>304</v>
      </c>
      <c r="J246" s="106">
        <f t="shared" si="23"/>
        <v>0</v>
      </c>
      <c r="AC246" s="105" t="str">
        <f t="shared" si="22"/>
        <v>f61t4</v>
      </c>
      <c r="AD246" s="100">
        <v>18</v>
      </c>
      <c r="AE246" s="100">
        <v>61</v>
      </c>
      <c r="AF246" s="100">
        <v>4</v>
      </c>
      <c r="AG246" s="100">
        <v>0.3</v>
      </c>
    </row>
    <row r="247" spans="1:33" x14ac:dyDescent="0.3">
      <c r="A247" s="105" t="str">
        <f t="shared" si="21"/>
        <v>f32t2</v>
      </c>
      <c r="B247" s="109">
        <v>191</v>
      </c>
      <c r="C247" s="109">
        <v>32</v>
      </c>
      <c r="D247" s="109">
        <v>4</v>
      </c>
      <c r="E247" s="109">
        <v>2</v>
      </c>
      <c r="F247" s="109">
        <v>1.0860000000000001</v>
      </c>
      <c r="G247" s="109">
        <v>0.89708511647811295</v>
      </c>
      <c r="H247" s="110">
        <v>41675.480023148149</v>
      </c>
      <c r="I247" s="111" t="s">
        <v>304</v>
      </c>
      <c r="J247" s="106">
        <f t="shared" si="23"/>
        <v>0</v>
      </c>
      <c r="AC247" s="105" t="str">
        <f t="shared" si="22"/>
        <v>f62t1</v>
      </c>
      <c r="AD247" s="100">
        <v>18</v>
      </c>
      <c r="AE247" s="100">
        <v>62</v>
      </c>
      <c r="AF247" s="100">
        <v>1</v>
      </c>
      <c r="AG247" s="100">
        <v>0.2</v>
      </c>
    </row>
    <row r="248" spans="1:33" x14ac:dyDescent="0.3">
      <c r="A248" s="105" t="str">
        <f t="shared" si="21"/>
        <v>f32t3</v>
      </c>
      <c r="B248" s="109">
        <v>191</v>
      </c>
      <c r="C248" s="109">
        <v>32</v>
      </c>
      <c r="D248" s="109">
        <v>4</v>
      </c>
      <c r="E248" s="109">
        <v>3</v>
      </c>
      <c r="F248" s="109">
        <v>1.0860000000000001</v>
      </c>
      <c r="G248" s="109">
        <v>0.48443954241195503</v>
      </c>
      <c r="H248" s="110">
        <v>41675.480023148149</v>
      </c>
      <c r="I248" s="111" t="s">
        <v>304</v>
      </c>
      <c r="J248" s="106">
        <f t="shared" si="23"/>
        <v>0</v>
      </c>
      <c r="AC248" s="105" t="str">
        <f t="shared" si="22"/>
        <v>f62t2</v>
      </c>
      <c r="AD248" s="100">
        <v>18</v>
      </c>
      <c r="AE248" s="100">
        <v>62</v>
      </c>
      <c r="AF248" s="100">
        <v>2</v>
      </c>
      <c r="AG248" s="100">
        <v>0.2</v>
      </c>
    </row>
    <row r="249" spans="1:33" x14ac:dyDescent="0.3">
      <c r="A249" s="105" t="str">
        <f t="shared" si="21"/>
        <v>f32t2</v>
      </c>
      <c r="B249" s="109">
        <v>191</v>
      </c>
      <c r="C249" s="109">
        <v>32</v>
      </c>
      <c r="D249" s="109">
        <v>5</v>
      </c>
      <c r="E249" s="109">
        <v>2</v>
      </c>
      <c r="F249" s="109">
        <v>1.0860000000000001</v>
      </c>
      <c r="G249" s="109">
        <v>0.89708511647811295</v>
      </c>
      <c r="H249" s="110">
        <v>41675.480023148149</v>
      </c>
      <c r="I249" s="111" t="s">
        <v>304</v>
      </c>
      <c r="J249" s="106">
        <f t="shared" si="23"/>
        <v>0</v>
      </c>
      <c r="AC249" s="105" t="str">
        <f t="shared" si="22"/>
        <v>f62t3</v>
      </c>
      <c r="AD249" s="100">
        <v>18</v>
      </c>
      <c r="AE249" s="100">
        <v>62</v>
      </c>
      <c r="AF249" s="100">
        <v>3</v>
      </c>
      <c r="AG249" s="100">
        <v>0.2</v>
      </c>
    </row>
    <row r="250" spans="1:33" x14ac:dyDescent="0.3">
      <c r="A250" s="105" t="str">
        <f t="shared" si="21"/>
        <v>f32t3</v>
      </c>
      <c r="B250" s="109">
        <v>191</v>
      </c>
      <c r="C250" s="109">
        <v>32</v>
      </c>
      <c r="D250" s="109">
        <v>5</v>
      </c>
      <c r="E250" s="109">
        <v>3</v>
      </c>
      <c r="F250" s="109">
        <v>1.0860000000000001</v>
      </c>
      <c r="G250" s="109">
        <v>0.48443954241195503</v>
      </c>
      <c r="H250" s="110">
        <v>41675.480023148149</v>
      </c>
      <c r="I250" s="111" t="s">
        <v>304</v>
      </c>
      <c r="J250" s="106">
        <f t="shared" si="23"/>
        <v>0</v>
      </c>
      <c r="AC250" s="105" t="str">
        <f t="shared" si="22"/>
        <v>f62t4</v>
      </c>
      <c r="AD250" s="100">
        <v>18</v>
      </c>
      <c r="AE250" s="100">
        <v>62</v>
      </c>
      <c r="AF250" s="100">
        <v>4</v>
      </c>
      <c r="AG250" s="100">
        <v>0.2</v>
      </c>
    </row>
    <row r="251" spans="1:33" x14ac:dyDescent="0.3">
      <c r="A251" s="105" t="str">
        <f t="shared" si="21"/>
        <v>f33t2</v>
      </c>
      <c r="B251" s="109">
        <v>191</v>
      </c>
      <c r="C251" s="109">
        <v>33</v>
      </c>
      <c r="D251" s="109">
        <v>2</v>
      </c>
      <c r="E251" s="109">
        <v>2</v>
      </c>
      <c r="F251" s="109">
        <v>0.58299999999999996</v>
      </c>
      <c r="G251" s="109">
        <v>1.0617960647595299</v>
      </c>
      <c r="H251" s="110">
        <v>41675.480023148149</v>
      </c>
      <c r="I251" s="111" t="s">
        <v>304</v>
      </c>
      <c r="J251" s="106">
        <f t="shared" si="23"/>
        <v>0</v>
      </c>
      <c r="AC251" s="105" t="str">
        <f t="shared" si="22"/>
        <v>f63t1</v>
      </c>
      <c r="AD251" s="100">
        <v>18</v>
      </c>
      <c r="AE251" s="100">
        <v>63</v>
      </c>
      <c r="AF251" s="100">
        <v>1</v>
      </c>
      <c r="AG251" s="100">
        <v>0.3</v>
      </c>
    </row>
    <row r="252" spans="1:33" x14ac:dyDescent="0.3">
      <c r="A252" s="105" t="str">
        <f t="shared" si="21"/>
        <v>f33t3</v>
      </c>
      <c r="B252" s="109">
        <v>191</v>
      </c>
      <c r="C252" s="109">
        <v>33</v>
      </c>
      <c r="D252" s="109">
        <v>2</v>
      </c>
      <c r="E252" s="109">
        <v>3</v>
      </c>
      <c r="F252" s="109">
        <v>0.68899999999999995</v>
      </c>
      <c r="G252" s="109">
        <v>1.03719008198102</v>
      </c>
      <c r="H252" s="110">
        <v>41675.480023148149</v>
      </c>
      <c r="I252" s="111" t="s">
        <v>304</v>
      </c>
      <c r="J252" s="106">
        <f t="shared" si="23"/>
        <v>0</v>
      </c>
      <c r="AC252" s="105" t="str">
        <f t="shared" si="22"/>
        <v>f63t2</v>
      </c>
      <c r="AD252" s="100">
        <v>18</v>
      </c>
      <c r="AE252" s="100">
        <v>63</v>
      </c>
      <c r="AF252" s="100">
        <v>2</v>
      </c>
      <c r="AG252" s="100">
        <v>0.3</v>
      </c>
    </row>
    <row r="253" spans="1:33" x14ac:dyDescent="0.3">
      <c r="A253" s="105" t="str">
        <f t="shared" si="21"/>
        <v>f33t2</v>
      </c>
      <c r="B253" s="109">
        <v>191</v>
      </c>
      <c r="C253" s="109">
        <v>33</v>
      </c>
      <c r="D253" s="109">
        <v>3</v>
      </c>
      <c r="E253" s="109">
        <v>2</v>
      </c>
      <c r="F253" s="109">
        <v>0.58299999999999996</v>
      </c>
      <c r="G253" s="109">
        <v>1.0617960647595299</v>
      </c>
      <c r="H253" s="110">
        <v>41675.480023148149</v>
      </c>
      <c r="I253" s="111" t="s">
        <v>304</v>
      </c>
      <c r="J253" s="106">
        <f t="shared" si="23"/>
        <v>0</v>
      </c>
      <c r="AC253" s="105" t="str">
        <f t="shared" si="22"/>
        <v>f63t3</v>
      </c>
      <c r="AD253" s="100">
        <v>18</v>
      </c>
      <c r="AE253" s="100">
        <v>63</v>
      </c>
      <c r="AF253" s="100">
        <v>3</v>
      </c>
      <c r="AG253" s="100">
        <v>0.3</v>
      </c>
    </row>
    <row r="254" spans="1:33" x14ac:dyDescent="0.3">
      <c r="A254" s="105" t="str">
        <f t="shared" si="21"/>
        <v>f33t3</v>
      </c>
      <c r="B254" s="109">
        <v>191</v>
      </c>
      <c r="C254" s="109">
        <v>33</v>
      </c>
      <c r="D254" s="109">
        <v>3</v>
      </c>
      <c r="E254" s="109">
        <v>3</v>
      </c>
      <c r="F254" s="109">
        <v>0.68899999999999995</v>
      </c>
      <c r="G254" s="109">
        <v>1.03719008198102</v>
      </c>
      <c r="H254" s="110">
        <v>41675.480023148149</v>
      </c>
      <c r="I254" s="111" t="s">
        <v>304</v>
      </c>
      <c r="J254" s="106">
        <f t="shared" si="23"/>
        <v>0</v>
      </c>
      <c r="AC254" s="105" t="str">
        <f t="shared" si="22"/>
        <v>f63t4</v>
      </c>
      <c r="AD254" s="100">
        <v>18</v>
      </c>
      <c r="AE254" s="100">
        <v>63</v>
      </c>
      <c r="AF254" s="100">
        <v>4</v>
      </c>
      <c r="AG254" s="100">
        <v>0.3</v>
      </c>
    </row>
    <row r="255" spans="1:33" x14ac:dyDescent="0.3">
      <c r="A255" s="105" t="str">
        <f t="shared" si="21"/>
        <v>f33t2</v>
      </c>
      <c r="B255" s="109">
        <v>191</v>
      </c>
      <c r="C255" s="109">
        <v>33</v>
      </c>
      <c r="D255" s="109">
        <v>4</v>
      </c>
      <c r="E255" s="109">
        <v>2</v>
      </c>
      <c r="F255" s="109">
        <v>0.58299999999999996</v>
      </c>
      <c r="G255" s="109">
        <v>1.0617960647595299</v>
      </c>
      <c r="H255" s="110">
        <v>41675.480023148149</v>
      </c>
      <c r="I255" s="111" t="s">
        <v>304</v>
      </c>
      <c r="J255" s="106">
        <f t="shared" si="23"/>
        <v>0</v>
      </c>
      <c r="AC255" s="105" t="str">
        <f t="shared" si="22"/>
        <v>f64t1</v>
      </c>
      <c r="AD255" s="100">
        <v>18</v>
      </c>
      <c r="AE255" s="100">
        <v>64</v>
      </c>
      <c r="AF255" s="100">
        <v>1</v>
      </c>
      <c r="AG255" s="100">
        <v>0.2</v>
      </c>
    </row>
    <row r="256" spans="1:33" x14ac:dyDescent="0.3">
      <c r="A256" s="105" t="str">
        <f t="shared" si="21"/>
        <v>f33t3</v>
      </c>
      <c r="B256" s="109">
        <v>191</v>
      </c>
      <c r="C256" s="109">
        <v>33</v>
      </c>
      <c r="D256" s="109">
        <v>4</v>
      </c>
      <c r="E256" s="109">
        <v>3</v>
      </c>
      <c r="F256" s="109">
        <v>0.68899999999999995</v>
      </c>
      <c r="G256" s="109">
        <v>1.03719008198102</v>
      </c>
      <c r="H256" s="110">
        <v>41675.480023148149</v>
      </c>
      <c r="I256" s="111" t="s">
        <v>304</v>
      </c>
      <c r="J256" s="106">
        <f t="shared" si="23"/>
        <v>0</v>
      </c>
      <c r="AC256" s="105" t="str">
        <f t="shared" si="22"/>
        <v>f64t2</v>
      </c>
      <c r="AD256" s="100">
        <v>18</v>
      </c>
      <c r="AE256" s="100">
        <v>64</v>
      </c>
      <c r="AF256" s="100">
        <v>2</v>
      </c>
      <c r="AG256" s="100">
        <v>0.2</v>
      </c>
    </row>
    <row r="257" spans="1:33" x14ac:dyDescent="0.3">
      <c r="A257" s="105" t="str">
        <f t="shared" si="21"/>
        <v>f33t2</v>
      </c>
      <c r="B257" s="109">
        <v>191</v>
      </c>
      <c r="C257" s="109">
        <v>33</v>
      </c>
      <c r="D257" s="109">
        <v>5</v>
      </c>
      <c r="E257" s="109">
        <v>2</v>
      </c>
      <c r="F257" s="109">
        <v>0.58299999999999996</v>
      </c>
      <c r="G257" s="109">
        <v>1.0617960647595299</v>
      </c>
      <c r="H257" s="110">
        <v>41675.480023148149</v>
      </c>
      <c r="I257" s="111" t="s">
        <v>304</v>
      </c>
      <c r="J257" s="106">
        <f t="shared" si="23"/>
        <v>0</v>
      </c>
      <c r="AC257" s="105" t="str">
        <f t="shared" si="22"/>
        <v>f64t3</v>
      </c>
      <c r="AD257" s="100">
        <v>18</v>
      </c>
      <c r="AE257" s="100">
        <v>64</v>
      </c>
      <c r="AF257" s="100">
        <v>3</v>
      </c>
      <c r="AG257" s="100">
        <v>0.2</v>
      </c>
    </row>
    <row r="258" spans="1:33" x14ac:dyDescent="0.3">
      <c r="A258" s="105" t="str">
        <f t="shared" si="21"/>
        <v>f33t3</v>
      </c>
      <c r="B258" s="109">
        <v>191</v>
      </c>
      <c r="C258" s="109">
        <v>33</v>
      </c>
      <c r="D258" s="109">
        <v>5</v>
      </c>
      <c r="E258" s="109">
        <v>3</v>
      </c>
      <c r="F258" s="109">
        <v>0.68899999999999995</v>
      </c>
      <c r="G258" s="109">
        <v>1.03719008198102</v>
      </c>
      <c r="H258" s="110">
        <v>41675.480023148149</v>
      </c>
      <c r="I258" s="111" t="s">
        <v>304</v>
      </c>
      <c r="J258" s="106">
        <f t="shared" si="23"/>
        <v>0</v>
      </c>
      <c r="AC258" s="105" t="str">
        <f t="shared" si="22"/>
        <v>f64t4</v>
      </c>
      <c r="AD258" s="100">
        <v>18</v>
      </c>
      <c r="AE258" s="100">
        <v>64</v>
      </c>
      <c r="AF258" s="100">
        <v>4</v>
      </c>
      <c r="AG258" s="100">
        <v>0.2</v>
      </c>
    </row>
    <row r="259" spans="1:33" x14ac:dyDescent="0.3">
      <c r="A259" s="105" t="str">
        <f t="shared" si="21"/>
        <v>f34t2</v>
      </c>
      <c r="B259" s="109">
        <v>191</v>
      </c>
      <c r="C259" s="109">
        <v>34</v>
      </c>
      <c r="D259" s="109">
        <v>2</v>
      </c>
      <c r="E259" s="109">
        <v>2</v>
      </c>
      <c r="F259" s="109">
        <v>0.36799999999999999</v>
      </c>
      <c r="G259" s="109">
        <v>0.113944027948683</v>
      </c>
      <c r="H259" s="110">
        <v>41675.480023148149</v>
      </c>
      <c r="I259" s="111" t="s">
        <v>304</v>
      </c>
      <c r="J259" s="106">
        <f t="shared" si="23"/>
        <v>0</v>
      </c>
      <c r="AC259" s="105" t="str">
        <f t="shared" si="22"/>
        <v>f65t1</v>
      </c>
      <c r="AD259" s="100">
        <v>18</v>
      </c>
      <c r="AE259" s="100">
        <v>65</v>
      </c>
      <c r="AF259" s="100">
        <v>1</v>
      </c>
      <c r="AG259" s="100">
        <v>0.3</v>
      </c>
    </row>
    <row r="260" spans="1:33" x14ac:dyDescent="0.3">
      <c r="A260" s="105" t="str">
        <f t="shared" ref="A260:A323" si="24">"f"&amp;C260&amp;"t"&amp;E260</f>
        <v>f34t3</v>
      </c>
      <c r="B260" s="109">
        <v>191</v>
      </c>
      <c r="C260" s="109">
        <v>34</v>
      </c>
      <c r="D260" s="109">
        <v>2</v>
      </c>
      <c r="E260" s="109">
        <v>3</v>
      </c>
      <c r="F260" s="109">
        <v>0.6</v>
      </c>
      <c r="G260" s="109">
        <v>0.28229186490653102</v>
      </c>
      <c r="H260" s="110">
        <v>41675.480023148149</v>
      </c>
      <c r="I260" s="111" t="s">
        <v>304</v>
      </c>
      <c r="J260" s="106">
        <f t="shared" si="23"/>
        <v>0</v>
      </c>
      <c r="AC260" s="105" t="str">
        <f t="shared" ref="AC260:AC294" si="25">"f"&amp;AE260&amp;"t"&amp;AF260</f>
        <v>f65t2</v>
      </c>
      <c r="AD260" s="100">
        <v>18</v>
      </c>
      <c r="AE260" s="100">
        <v>65</v>
      </c>
      <c r="AF260" s="100">
        <v>2</v>
      </c>
      <c r="AG260" s="100">
        <v>0.3</v>
      </c>
    </row>
    <row r="261" spans="1:33" x14ac:dyDescent="0.3">
      <c r="A261" s="105" t="str">
        <f t="shared" si="24"/>
        <v>f34t2</v>
      </c>
      <c r="B261" s="109">
        <v>191</v>
      </c>
      <c r="C261" s="109">
        <v>34</v>
      </c>
      <c r="D261" s="109">
        <v>3</v>
      </c>
      <c r="E261" s="109">
        <v>2</v>
      </c>
      <c r="F261" s="109">
        <v>0.36799999999999999</v>
      </c>
      <c r="G261" s="109">
        <v>0.113944027948683</v>
      </c>
      <c r="H261" s="110">
        <v>41675.480023148149</v>
      </c>
      <c r="I261" s="111" t="s">
        <v>304</v>
      </c>
      <c r="J261" s="106">
        <f t="shared" si="23"/>
        <v>0</v>
      </c>
      <c r="AC261" s="105" t="str">
        <f t="shared" si="25"/>
        <v>f65t3</v>
      </c>
      <c r="AD261" s="100">
        <v>18</v>
      </c>
      <c r="AE261" s="100">
        <v>65</v>
      </c>
      <c r="AF261" s="100">
        <v>3</v>
      </c>
      <c r="AG261" s="100">
        <v>0.3</v>
      </c>
    </row>
    <row r="262" spans="1:33" x14ac:dyDescent="0.3">
      <c r="A262" s="105" t="str">
        <f t="shared" si="24"/>
        <v>f34t3</v>
      </c>
      <c r="B262" s="109">
        <v>191</v>
      </c>
      <c r="C262" s="109">
        <v>34</v>
      </c>
      <c r="D262" s="109">
        <v>3</v>
      </c>
      <c r="E262" s="109">
        <v>3</v>
      </c>
      <c r="F262" s="109">
        <v>0.6</v>
      </c>
      <c r="G262" s="109">
        <v>0.28229186490653102</v>
      </c>
      <c r="H262" s="110">
        <v>41675.480023148149</v>
      </c>
      <c r="I262" s="111" t="s">
        <v>304</v>
      </c>
      <c r="J262" s="106">
        <f t="shared" si="23"/>
        <v>0</v>
      </c>
      <c r="AC262" s="105" t="str">
        <f t="shared" si="25"/>
        <v>f65t4</v>
      </c>
      <c r="AD262" s="100">
        <v>18</v>
      </c>
      <c r="AE262" s="100">
        <v>65</v>
      </c>
      <c r="AF262" s="100">
        <v>4</v>
      </c>
      <c r="AG262" s="100">
        <v>0.3</v>
      </c>
    </row>
    <row r="263" spans="1:33" x14ac:dyDescent="0.3">
      <c r="A263" s="105" t="str">
        <f t="shared" si="24"/>
        <v>f34t2</v>
      </c>
      <c r="B263" s="109">
        <v>191</v>
      </c>
      <c r="C263" s="109">
        <v>34</v>
      </c>
      <c r="D263" s="109">
        <v>4</v>
      </c>
      <c r="E263" s="109">
        <v>2</v>
      </c>
      <c r="F263" s="109">
        <v>0.36799999999999999</v>
      </c>
      <c r="G263" s="109">
        <v>0.113944027948683</v>
      </c>
      <c r="H263" s="110">
        <v>41675.480023148149</v>
      </c>
      <c r="I263" s="111" t="s">
        <v>304</v>
      </c>
      <c r="J263" s="106">
        <f t="shared" si="23"/>
        <v>0</v>
      </c>
      <c r="AC263" s="105" t="str">
        <f t="shared" si="25"/>
        <v>f66t1</v>
      </c>
      <c r="AD263" s="100">
        <v>18</v>
      </c>
      <c r="AE263" s="100">
        <v>66</v>
      </c>
      <c r="AF263" s="100">
        <v>1</v>
      </c>
      <c r="AG263" s="100">
        <v>0.3</v>
      </c>
    </row>
    <row r="264" spans="1:33" x14ac:dyDescent="0.3">
      <c r="A264" s="105" t="str">
        <f t="shared" si="24"/>
        <v>f34t3</v>
      </c>
      <c r="B264" s="109">
        <v>191</v>
      </c>
      <c r="C264" s="109">
        <v>34</v>
      </c>
      <c r="D264" s="109">
        <v>4</v>
      </c>
      <c r="E264" s="109">
        <v>3</v>
      </c>
      <c r="F264" s="109">
        <v>0.6</v>
      </c>
      <c r="G264" s="109">
        <v>0.28229186490653102</v>
      </c>
      <c r="H264" s="110">
        <v>41675.480023148149</v>
      </c>
      <c r="I264" s="111" t="s">
        <v>304</v>
      </c>
      <c r="J264" s="106">
        <f t="shared" si="23"/>
        <v>0</v>
      </c>
      <c r="AC264" s="105" t="str">
        <f t="shared" si="25"/>
        <v>f66t2</v>
      </c>
      <c r="AD264" s="100">
        <v>18</v>
      </c>
      <c r="AE264" s="100">
        <v>66</v>
      </c>
      <c r="AF264" s="100">
        <v>2</v>
      </c>
      <c r="AG264" s="100">
        <v>0.3</v>
      </c>
    </row>
    <row r="265" spans="1:33" x14ac:dyDescent="0.3">
      <c r="A265" s="105" t="str">
        <f t="shared" si="24"/>
        <v>f34t2</v>
      </c>
      <c r="B265" s="109">
        <v>191</v>
      </c>
      <c r="C265" s="109">
        <v>34</v>
      </c>
      <c r="D265" s="109">
        <v>5</v>
      </c>
      <c r="E265" s="109">
        <v>2</v>
      </c>
      <c r="F265" s="109">
        <v>0.36799999999999999</v>
      </c>
      <c r="G265" s="109">
        <v>0.113944027948683</v>
      </c>
      <c r="H265" s="110">
        <v>41675.480023148149</v>
      </c>
      <c r="I265" s="111" t="s">
        <v>304</v>
      </c>
      <c r="J265" s="106">
        <f t="shared" si="23"/>
        <v>0</v>
      </c>
      <c r="AC265" s="105" t="str">
        <f t="shared" si="25"/>
        <v>f66t3</v>
      </c>
      <c r="AD265" s="100">
        <v>18</v>
      </c>
      <c r="AE265" s="100">
        <v>66</v>
      </c>
      <c r="AF265" s="100">
        <v>3</v>
      </c>
      <c r="AG265" s="100">
        <v>0.3</v>
      </c>
    </row>
    <row r="266" spans="1:33" x14ac:dyDescent="0.3">
      <c r="A266" s="105" t="str">
        <f t="shared" si="24"/>
        <v>f34t3</v>
      </c>
      <c r="B266" s="109">
        <v>191</v>
      </c>
      <c r="C266" s="109">
        <v>34</v>
      </c>
      <c r="D266" s="109">
        <v>5</v>
      </c>
      <c r="E266" s="109">
        <v>3</v>
      </c>
      <c r="F266" s="109">
        <v>0.6</v>
      </c>
      <c r="G266" s="109">
        <v>0.28229186490653102</v>
      </c>
      <c r="H266" s="110">
        <v>41675.480023148149</v>
      </c>
      <c r="I266" s="111" t="s">
        <v>304</v>
      </c>
      <c r="J266" s="106">
        <f t="shared" si="23"/>
        <v>0</v>
      </c>
      <c r="AC266" s="105" t="str">
        <f t="shared" si="25"/>
        <v>f66t4</v>
      </c>
      <c r="AD266" s="100">
        <v>18</v>
      </c>
      <c r="AE266" s="100">
        <v>66</v>
      </c>
      <c r="AF266" s="100">
        <v>4</v>
      </c>
      <c r="AG266" s="100">
        <v>0.3</v>
      </c>
    </row>
    <row r="267" spans="1:33" x14ac:dyDescent="0.3">
      <c r="A267" s="105" t="str">
        <f t="shared" si="24"/>
        <v>f35t1</v>
      </c>
      <c r="B267" s="109">
        <v>191</v>
      </c>
      <c r="C267" s="109">
        <v>35</v>
      </c>
      <c r="D267" s="109">
        <v>2</v>
      </c>
      <c r="E267" s="109">
        <v>1</v>
      </c>
      <c r="F267" s="109">
        <v>0.92</v>
      </c>
      <c r="G267" s="109">
        <v>4.9000580128409696</v>
      </c>
      <c r="H267" s="110">
        <v>41675.480023148149</v>
      </c>
      <c r="I267" s="111" t="s">
        <v>304</v>
      </c>
      <c r="J267" s="106">
        <f t="shared" si="23"/>
        <v>0</v>
      </c>
      <c r="AC267" s="105" t="str">
        <f t="shared" si="25"/>
        <v>f67t1</v>
      </c>
      <c r="AD267" s="100">
        <v>18</v>
      </c>
      <c r="AE267" s="100">
        <v>67</v>
      </c>
      <c r="AF267" s="100">
        <v>1</v>
      </c>
      <c r="AG267" s="100">
        <v>0.2</v>
      </c>
    </row>
    <row r="268" spans="1:33" x14ac:dyDescent="0.3">
      <c r="A268" s="105" t="str">
        <f t="shared" si="24"/>
        <v>f35t2</v>
      </c>
      <c r="B268" s="109">
        <v>191</v>
      </c>
      <c r="C268" s="109">
        <v>35</v>
      </c>
      <c r="D268" s="109">
        <v>2</v>
      </c>
      <c r="E268" s="109">
        <v>2</v>
      </c>
      <c r="F268" s="109">
        <v>0.61</v>
      </c>
      <c r="G268" s="109">
        <v>0.75442175503782205</v>
      </c>
      <c r="H268" s="110">
        <v>41675.480023148149</v>
      </c>
      <c r="I268" s="111" t="s">
        <v>304</v>
      </c>
      <c r="J268" s="106">
        <f t="shared" si="23"/>
        <v>0</v>
      </c>
      <c r="AC268" s="105" t="str">
        <f t="shared" si="25"/>
        <v>f67t2</v>
      </c>
      <c r="AD268" s="100">
        <v>18</v>
      </c>
      <c r="AE268" s="100">
        <v>67</v>
      </c>
      <c r="AF268" s="100">
        <v>2</v>
      </c>
      <c r="AG268" s="100">
        <v>0.2</v>
      </c>
    </row>
    <row r="269" spans="1:33" x14ac:dyDescent="0.3">
      <c r="A269" s="105" t="str">
        <f t="shared" si="24"/>
        <v>f35t3</v>
      </c>
      <c r="B269" s="109">
        <v>191</v>
      </c>
      <c r="C269" s="109">
        <v>35</v>
      </c>
      <c r="D269" s="109">
        <v>2</v>
      </c>
      <c r="E269" s="109">
        <v>3</v>
      </c>
      <c r="F269" s="109">
        <v>0.495</v>
      </c>
      <c r="G269" s="109">
        <v>0.93903400178903496</v>
      </c>
      <c r="H269" s="110">
        <v>41675.480023148149</v>
      </c>
      <c r="I269" s="111" t="s">
        <v>304</v>
      </c>
      <c r="J269" s="106">
        <f t="shared" si="23"/>
        <v>0</v>
      </c>
      <c r="AC269" s="105" t="str">
        <f t="shared" si="25"/>
        <v>f67t3</v>
      </c>
      <c r="AD269" s="100">
        <v>18</v>
      </c>
      <c r="AE269" s="100">
        <v>67</v>
      </c>
      <c r="AF269" s="100">
        <v>3</v>
      </c>
      <c r="AG269" s="100">
        <v>0.2</v>
      </c>
    </row>
    <row r="270" spans="1:33" x14ac:dyDescent="0.3">
      <c r="A270" s="105" t="str">
        <f t="shared" si="24"/>
        <v>f35t4</v>
      </c>
      <c r="B270" s="109">
        <v>191</v>
      </c>
      <c r="C270" s="109">
        <v>35</v>
      </c>
      <c r="D270" s="109">
        <v>2</v>
      </c>
      <c r="E270" s="109">
        <v>4</v>
      </c>
      <c r="F270" s="109">
        <v>0.92</v>
      </c>
      <c r="G270" s="109">
        <v>4.57095631215814</v>
      </c>
      <c r="H270" s="110">
        <v>41675.480023148149</v>
      </c>
      <c r="I270" s="111" t="s">
        <v>304</v>
      </c>
      <c r="J270" s="106">
        <f t="shared" si="23"/>
        <v>0</v>
      </c>
      <c r="AC270" s="105" t="str">
        <f t="shared" si="25"/>
        <v>f67t4</v>
      </c>
      <c r="AD270" s="100">
        <v>18</v>
      </c>
      <c r="AE270" s="100">
        <v>67</v>
      </c>
      <c r="AF270" s="100">
        <v>4</v>
      </c>
      <c r="AG270" s="100">
        <v>0.2</v>
      </c>
    </row>
    <row r="271" spans="1:33" x14ac:dyDescent="0.3">
      <c r="A271" s="105" t="str">
        <f t="shared" si="24"/>
        <v>f35t1</v>
      </c>
      <c r="B271" s="109">
        <v>191</v>
      </c>
      <c r="C271" s="109">
        <v>35</v>
      </c>
      <c r="D271" s="109">
        <v>3</v>
      </c>
      <c r="E271" s="109">
        <v>1</v>
      </c>
      <c r="F271" s="109">
        <v>0.92</v>
      </c>
      <c r="G271" s="109">
        <v>4.9000580128409696</v>
      </c>
      <c r="H271" s="110">
        <v>41675.480023148149</v>
      </c>
      <c r="I271" s="111" t="s">
        <v>304</v>
      </c>
      <c r="J271" s="106">
        <f t="shared" si="23"/>
        <v>0</v>
      </c>
      <c r="AC271" s="105" t="str">
        <f t="shared" si="25"/>
        <v>f68t1</v>
      </c>
      <c r="AD271" s="100">
        <v>18</v>
      </c>
      <c r="AE271" s="100">
        <v>68</v>
      </c>
      <c r="AF271" s="100">
        <v>1</v>
      </c>
      <c r="AG271" s="100">
        <v>0.3</v>
      </c>
    </row>
    <row r="272" spans="1:33" x14ac:dyDescent="0.3">
      <c r="A272" s="105" t="str">
        <f t="shared" si="24"/>
        <v>f35t2</v>
      </c>
      <c r="B272" s="109">
        <v>191</v>
      </c>
      <c r="C272" s="109">
        <v>35</v>
      </c>
      <c r="D272" s="109">
        <v>3</v>
      </c>
      <c r="E272" s="109">
        <v>2</v>
      </c>
      <c r="F272" s="109">
        <v>0.61</v>
      </c>
      <c r="G272" s="109">
        <v>0.75442175503782205</v>
      </c>
      <c r="H272" s="110">
        <v>41675.480023148149</v>
      </c>
      <c r="I272" s="111" t="s">
        <v>304</v>
      </c>
      <c r="J272" s="106">
        <f t="shared" si="23"/>
        <v>0</v>
      </c>
      <c r="AC272" s="105" t="str">
        <f t="shared" si="25"/>
        <v>f68t2</v>
      </c>
      <c r="AD272" s="100">
        <v>18</v>
      </c>
      <c r="AE272" s="100">
        <v>68</v>
      </c>
      <c r="AF272" s="100">
        <v>2</v>
      </c>
      <c r="AG272" s="100">
        <v>0.3</v>
      </c>
    </row>
    <row r="273" spans="1:33" x14ac:dyDescent="0.3">
      <c r="A273" s="105" t="str">
        <f t="shared" si="24"/>
        <v>f35t3</v>
      </c>
      <c r="B273" s="109">
        <v>191</v>
      </c>
      <c r="C273" s="109">
        <v>35</v>
      </c>
      <c r="D273" s="109">
        <v>3</v>
      </c>
      <c r="E273" s="109">
        <v>3</v>
      </c>
      <c r="F273" s="109">
        <v>0.495</v>
      </c>
      <c r="G273" s="109">
        <v>0.93903400178903496</v>
      </c>
      <c r="H273" s="110">
        <v>41675.480023148149</v>
      </c>
      <c r="I273" s="111" t="s">
        <v>304</v>
      </c>
      <c r="J273" s="106">
        <f t="shared" si="23"/>
        <v>0</v>
      </c>
      <c r="AC273" s="105" t="str">
        <f t="shared" si="25"/>
        <v>f68t3</v>
      </c>
      <c r="AD273" s="100">
        <v>18</v>
      </c>
      <c r="AE273" s="100">
        <v>68</v>
      </c>
      <c r="AF273" s="100">
        <v>3</v>
      </c>
      <c r="AG273" s="100">
        <v>0.3</v>
      </c>
    </row>
    <row r="274" spans="1:33" x14ac:dyDescent="0.3">
      <c r="A274" s="105" t="str">
        <f t="shared" si="24"/>
        <v>f35t4</v>
      </c>
      <c r="B274" s="109">
        <v>191</v>
      </c>
      <c r="C274" s="109">
        <v>35</v>
      </c>
      <c r="D274" s="109">
        <v>3</v>
      </c>
      <c r="E274" s="109">
        <v>4</v>
      </c>
      <c r="F274" s="109">
        <v>0.92</v>
      </c>
      <c r="G274" s="109">
        <v>4.57095631215814</v>
      </c>
      <c r="H274" s="110">
        <v>41675.480023148149</v>
      </c>
      <c r="I274" s="111" t="s">
        <v>304</v>
      </c>
      <c r="J274" s="106">
        <f t="shared" si="23"/>
        <v>0</v>
      </c>
      <c r="AC274" s="105" t="str">
        <f t="shared" si="25"/>
        <v>f68t4</v>
      </c>
      <c r="AD274" s="100">
        <v>18</v>
      </c>
      <c r="AE274" s="100">
        <v>68</v>
      </c>
      <c r="AF274" s="100">
        <v>4</v>
      </c>
      <c r="AG274" s="100">
        <v>0.3</v>
      </c>
    </row>
    <row r="275" spans="1:33" x14ac:dyDescent="0.3">
      <c r="A275" s="105" t="str">
        <f t="shared" si="24"/>
        <v>f35t1</v>
      </c>
      <c r="B275" s="109">
        <v>191</v>
      </c>
      <c r="C275" s="109">
        <v>35</v>
      </c>
      <c r="D275" s="109">
        <v>4</v>
      </c>
      <c r="E275" s="109">
        <v>1</v>
      </c>
      <c r="F275" s="109">
        <v>0.92</v>
      </c>
      <c r="G275" s="109">
        <v>4.9000580128409696</v>
      </c>
      <c r="H275" s="110">
        <v>41675.480023148149</v>
      </c>
      <c r="I275" s="111" t="s">
        <v>304</v>
      </c>
      <c r="J275" s="106">
        <f t="shared" si="23"/>
        <v>0</v>
      </c>
      <c r="AC275" s="105" t="str">
        <f t="shared" si="25"/>
        <v>f69t1</v>
      </c>
      <c r="AD275" s="100">
        <v>18</v>
      </c>
      <c r="AE275" s="100">
        <v>69</v>
      </c>
      <c r="AF275" s="100">
        <v>1</v>
      </c>
      <c r="AG275" s="100">
        <v>0.3</v>
      </c>
    </row>
    <row r="276" spans="1:33" x14ac:dyDescent="0.3">
      <c r="A276" s="105" t="str">
        <f t="shared" si="24"/>
        <v>f35t2</v>
      </c>
      <c r="B276" s="109">
        <v>191</v>
      </c>
      <c r="C276" s="109">
        <v>35</v>
      </c>
      <c r="D276" s="109">
        <v>4</v>
      </c>
      <c r="E276" s="109">
        <v>2</v>
      </c>
      <c r="F276" s="109">
        <v>0.61</v>
      </c>
      <c r="G276" s="109">
        <v>0.75442175503782205</v>
      </c>
      <c r="H276" s="110">
        <v>41675.480023148149</v>
      </c>
      <c r="I276" s="111" t="s">
        <v>304</v>
      </c>
      <c r="J276" s="106">
        <f t="shared" si="23"/>
        <v>0</v>
      </c>
      <c r="AC276" s="105" t="str">
        <f t="shared" si="25"/>
        <v>f69t2</v>
      </c>
      <c r="AD276" s="100">
        <v>18</v>
      </c>
      <c r="AE276" s="100">
        <v>69</v>
      </c>
      <c r="AF276" s="100">
        <v>2</v>
      </c>
      <c r="AG276" s="100">
        <v>0.3</v>
      </c>
    </row>
    <row r="277" spans="1:33" x14ac:dyDescent="0.3">
      <c r="A277" s="105" t="str">
        <f t="shared" si="24"/>
        <v>f35t3</v>
      </c>
      <c r="B277" s="109">
        <v>191</v>
      </c>
      <c r="C277" s="109">
        <v>35</v>
      </c>
      <c r="D277" s="109">
        <v>4</v>
      </c>
      <c r="E277" s="109">
        <v>3</v>
      </c>
      <c r="F277" s="109">
        <v>0.495</v>
      </c>
      <c r="G277" s="109">
        <v>0.93903400178903496</v>
      </c>
      <c r="H277" s="110">
        <v>41675.480023148149</v>
      </c>
      <c r="I277" s="111" t="s">
        <v>304</v>
      </c>
      <c r="J277" s="106">
        <f t="shared" si="23"/>
        <v>0</v>
      </c>
      <c r="AC277" s="105" t="str">
        <f t="shared" si="25"/>
        <v>f69t3</v>
      </c>
      <c r="AD277" s="100">
        <v>18</v>
      </c>
      <c r="AE277" s="100">
        <v>69</v>
      </c>
      <c r="AF277" s="100">
        <v>3</v>
      </c>
      <c r="AG277" s="100">
        <v>0.3</v>
      </c>
    </row>
    <row r="278" spans="1:33" x14ac:dyDescent="0.3">
      <c r="A278" s="105" t="str">
        <f t="shared" si="24"/>
        <v>f35t4</v>
      </c>
      <c r="B278" s="109">
        <v>191</v>
      </c>
      <c r="C278" s="109">
        <v>35</v>
      </c>
      <c r="D278" s="109">
        <v>4</v>
      </c>
      <c r="E278" s="109">
        <v>4</v>
      </c>
      <c r="F278" s="109">
        <v>0.92</v>
      </c>
      <c r="G278" s="109">
        <v>4.57095631215814</v>
      </c>
      <c r="H278" s="110">
        <v>41675.480023148149</v>
      </c>
      <c r="I278" s="111" t="s">
        <v>304</v>
      </c>
      <c r="J278" s="106">
        <f t="shared" si="23"/>
        <v>0</v>
      </c>
      <c r="AC278" s="105" t="str">
        <f t="shared" si="25"/>
        <v>f69t4</v>
      </c>
      <c r="AD278" s="100">
        <v>18</v>
      </c>
      <c r="AE278" s="100">
        <v>69</v>
      </c>
      <c r="AF278" s="100">
        <v>4</v>
      </c>
      <c r="AG278" s="100">
        <v>0.3</v>
      </c>
    </row>
    <row r="279" spans="1:33" x14ac:dyDescent="0.3">
      <c r="A279" s="105" t="str">
        <f t="shared" si="24"/>
        <v>f35t1</v>
      </c>
      <c r="B279" s="109">
        <v>191</v>
      </c>
      <c r="C279" s="109">
        <v>35</v>
      </c>
      <c r="D279" s="109">
        <v>5</v>
      </c>
      <c r="E279" s="109">
        <v>1</v>
      </c>
      <c r="F279" s="109">
        <v>0.92</v>
      </c>
      <c r="G279" s="109">
        <v>4.9000580128409696</v>
      </c>
      <c r="H279" s="110">
        <v>41675.480023148149</v>
      </c>
      <c r="I279" s="111" t="s">
        <v>304</v>
      </c>
      <c r="J279" s="106">
        <f t="shared" si="23"/>
        <v>0</v>
      </c>
      <c r="AC279" s="105" t="str">
        <f t="shared" si="25"/>
        <v>f70t1</v>
      </c>
      <c r="AD279" s="100">
        <v>18</v>
      </c>
      <c r="AE279" s="100">
        <v>70</v>
      </c>
      <c r="AF279" s="100">
        <v>1</v>
      </c>
      <c r="AG279" s="100">
        <v>0.3</v>
      </c>
    </row>
    <row r="280" spans="1:33" x14ac:dyDescent="0.3">
      <c r="A280" s="105" t="str">
        <f t="shared" si="24"/>
        <v>f35t2</v>
      </c>
      <c r="B280" s="109">
        <v>191</v>
      </c>
      <c r="C280" s="109">
        <v>35</v>
      </c>
      <c r="D280" s="109">
        <v>5</v>
      </c>
      <c r="E280" s="109">
        <v>2</v>
      </c>
      <c r="F280" s="109">
        <v>0.61</v>
      </c>
      <c r="G280" s="109">
        <v>0.75442175503782205</v>
      </c>
      <c r="H280" s="110">
        <v>41675.480023148149</v>
      </c>
      <c r="I280" s="111" t="s">
        <v>304</v>
      </c>
      <c r="J280" s="106">
        <f t="shared" si="23"/>
        <v>0</v>
      </c>
      <c r="AC280" s="105" t="str">
        <f t="shared" si="25"/>
        <v>f70t2</v>
      </c>
      <c r="AD280" s="100">
        <v>18</v>
      </c>
      <c r="AE280" s="100">
        <v>70</v>
      </c>
      <c r="AF280" s="100">
        <v>2</v>
      </c>
      <c r="AG280" s="100">
        <v>0.3</v>
      </c>
    </row>
    <row r="281" spans="1:33" x14ac:dyDescent="0.3">
      <c r="A281" s="105" t="str">
        <f t="shared" si="24"/>
        <v>f35t3</v>
      </c>
      <c r="B281" s="109">
        <v>191</v>
      </c>
      <c r="C281" s="109">
        <v>35</v>
      </c>
      <c r="D281" s="109">
        <v>5</v>
      </c>
      <c r="E281" s="109">
        <v>3</v>
      </c>
      <c r="F281" s="109">
        <v>0.495</v>
      </c>
      <c r="G281" s="109">
        <v>0.93903400178903496</v>
      </c>
      <c r="H281" s="110">
        <v>41675.480023148149</v>
      </c>
      <c r="I281" s="111" t="s">
        <v>304</v>
      </c>
      <c r="J281" s="106">
        <f t="shared" si="23"/>
        <v>0</v>
      </c>
      <c r="AC281" s="105" t="str">
        <f t="shared" si="25"/>
        <v>f70t3</v>
      </c>
      <c r="AD281" s="100">
        <v>18</v>
      </c>
      <c r="AE281" s="100">
        <v>70</v>
      </c>
      <c r="AF281" s="100">
        <v>3</v>
      </c>
      <c r="AG281" s="100">
        <v>0.3</v>
      </c>
    </row>
    <row r="282" spans="1:33" x14ac:dyDescent="0.3">
      <c r="A282" s="105" t="str">
        <f t="shared" si="24"/>
        <v>f35t4</v>
      </c>
      <c r="B282" s="109">
        <v>191</v>
      </c>
      <c r="C282" s="109">
        <v>35</v>
      </c>
      <c r="D282" s="109">
        <v>5</v>
      </c>
      <c r="E282" s="109">
        <v>4</v>
      </c>
      <c r="F282" s="109">
        <v>0.92</v>
      </c>
      <c r="G282" s="109">
        <v>4.57095631215814</v>
      </c>
      <c r="H282" s="110">
        <v>41675.480023148149</v>
      </c>
      <c r="I282" s="111" t="s">
        <v>304</v>
      </c>
      <c r="J282" s="106">
        <f t="shared" si="23"/>
        <v>0</v>
      </c>
      <c r="AC282" s="105" t="str">
        <f t="shared" si="25"/>
        <v>f70t4</v>
      </c>
      <c r="AD282" s="100">
        <v>18</v>
      </c>
      <c r="AE282" s="100">
        <v>70</v>
      </c>
      <c r="AF282" s="100">
        <v>4</v>
      </c>
      <c r="AG282" s="100">
        <v>0.3</v>
      </c>
    </row>
    <row r="283" spans="1:33" x14ac:dyDescent="0.3">
      <c r="A283" s="105" t="str">
        <f t="shared" si="24"/>
        <v>f36t1</v>
      </c>
      <c r="B283" s="109">
        <v>191</v>
      </c>
      <c r="C283" s="109">
        <v>36</v>
      </c>
      <c r="D283" s="109">
        <v>2</v>
      </c>
      <c r="E283" s="109">
        <v>1</v>
      </c>
      <c r="F283" s="109">
        <v>0.29499999999999998</v>
      </c>
      <c r="G283" s="109">
        <v>0.96967858243998295</v>
      </c>
      <c r="H283" s="110">
        <v>41675.480023148149</v>
      </c>
      <c r="I283" s="111" t="s">
        <v>304</v>
      </c>
      <c r="J283" s="106">
        <f t="shared" si="23"/>
        <v>0</v>
      </c>
      <c r="AC283" s="105" t="str">
        <f t="shared" si="25"/>
        <v>f71t1</v>
      </c>
      <c r="AD283" s="100">
        <v>18</v>
      </c>
      <c r="AE283" s="100">
        <v>71</v>
      </c>
      <c r="AF283" s="100">
        <v>1</v>
      </c>
      <c r="AG283" s="100">
        <v>0.3</v>
      </c>
    </row>
    <row r="284" spans="1:33" x14ac:dyDescent="0.3">
      <c r="A284" s="105" t="str">
        <f t="shared" si="24"/>
        <v>f36t3</v>
      </c>
      <c r="B284" s="109">
        <v>191</v>
      </c>
      <c r="C284" s="109">
        <v>36</v>
      </c>
      <c r="D284" s="109">
        <v>2</v>
      </c>
      <c r="E284" s="109">
        <v>3</v>
      </c>
      <c r="F284" s="109">
        <v>0.6</v>
      </c>
      <c r="G284" s="109">
        <v>0.90826433666490203</v>
      </c>
      <c r="H284" s="110">
        <v>41675.480023148149</v>
      </c>
      <c r="I284" s="111" t="s">
        <v>304</v>
      </c>
      <c r="J284" s="106">
        <f t="shared" si="23"/>
        <v>0</v>
      </c>
      <c r="AC284" s="105" t="str">
        <f t="shared" si="25"/>
        <v>f71t2</v>
      </c>
      <c r="AD284" s="100">
        <v>18</v>
      </c>
      <c r="AE284" s="100">
        <v>71</v>
      </c>
      <c r="AF284" s="100">
        <v>2</v>
      </c>
      <c r="AG284" s="100">
        <v>0.3</v>
      </c>
    </row>
    <row r="285" spans="1:33" x14ac:dyDescent="0.3">
      <c r="A285" s="105" t="str">
        <f t="shared" si="24"/>
        <v>f36t4</v>
      </c>
      <c r="B285" s="109">
        <v>191</v>
      </c>
      <c r="C285" s="109">
        <v>36</v>
      </c>
      <c r="D285" s="109">
        <v>2</v>
      </c>
      <c r="E285" s="109">
        <v>4</v>
      </c>
      <c r="F285" s="109">
        <v>0.29499999999999998</v>
      </c>
      <c r="G285" s="109">
        <v>0.96775604690844896</v>
      </c>
      <c r="H285" s="110">
        <v>41675.480023148149</v>
      </c>
      <c r="I285" s="111" t="s">
        <v>304</v>
      </c>
      <c r="J285" s="106">
        <f t="shared" si="23"/>
        <v>0</v>
      </c>
      <c r="AC285" s="105" t="str">
        <f t="shared" si="25"/>
        <v>f71t3</v>
      </c>
      <c r="AD285" s="100">
        <v>18</v>
      </c>
      <c r="AE285" s="100">
        <v>71</v>
      </c>
      <c r="AF285" s="100">
        <v>3</v>
      </c>
      <c r="AG285" s="100">
        <v>0.3</v>
      </c>
    </row>
    <row r="286" spans="1:33" x14ac:dyDescent="0.3">
      <c r="A286" s="105" t="str">
        <f t="shared" si="24"/>
        <v>f36t1</v>
      </c>
      <c r="B286" s="109">
        <v>191</v>
      </c>
      <c r="C286" s="109">
        <v>36</v>
      </c>
      <c r="D286" s="109">
        <v>3</v>
      </c>
      <c r="E286" s="109">
        <v>1</v>
      </c>
      <c r="F286" s="109">
        <v>0.29499999999999998</v>
      </c>
      <c r="G286" s="109">
        <v>0.96967858243998295</v>
      </c>
      <c r="H286" s="110">
        <v>41675.480023148149</v>
      </c>
      <c r="I286" s="111" t="s">
        <v>304</v>
      </c>
      <c r="J286" s="106">
        <f t="shared" si="23"/>
        <v>0</v>
      </c>
      <c r="AC286" s="105" t="str">
        <f t="shared" si="25"/>
        <v>f71t4</v>
      </c>
      <c r="AD286" s="100">
        <v>18</v>
      </c>
      <c r="AE286" s="100">
        <v>71</v>
      </c>
      <c r="AF286" s="100">
        <v>4</v>
      </c>
      <c r="AG286" s="100">
        <v>0.3</v>
      </c>
    </row>
    <row r="287" spans="1:33" x14ac:dyDescent="0.3">
      <c r="A287" s="105" t="str">
        <f t="shared" si="24"/>
        <v>f36t3</v>
      </c>
      <c r="B287" s="109">
        <v>191</v>
      </c>
      <c r="C287" s="109">
        <v>36</v>
      </c>
      <c r="D287" s="109">
        <v>3</v>
      </c>
      <c r="E287" s="109">
        <v>3</v>
      </c>
      <c r="F287" s="109">
        <v>0.6</v>
      </c>
      <c r="G287" s="109">
        <v>0.90826433666490203</v>
      </c>
      <c r="H287" s="110">
        <v>41675.480023148149</v>
      </c>
      <c r="I287" s="111" t="s">
        <v>304</v>
      </c>
      <c r="J287" s="106">
        <f t="shared" si="23"/>
        <v>0</v>
      </c>
      <c r="AC287" s="105" t="str">
        <f t="shared" si="25"/>
        <v>f72t1</v>
      </c>
      <c r="AD287" s="100">
        <v>18</v>
      </c>
      <c r="AE287" s="100">
        <v>72</v>
      </c>
      <c r="AF287" s="100">
        <v>1</v>
      </c>
      <c r="AG287" s="100">
        <v>0.2</v>
      </c>
    </row>
    <row r="288" spans="1:33" x14ac:dyDescent="0.3">
      <c r="A288" s="105" t="str">
        <f t="shared" si="24"/>
        <v>f36t4</v>
      </c>
      <c r="B288" s="109">
        <v>191</v>
      </c>
      <c r="C288" s="109">
        <v>36</v>
      </c>
      <c r="D288" s="109">
        <v>3</v>
      </c>
      <c r="E288" s="109">
        <v>4</v>
      </c>
      <c r="F288" s="109">
        <v>0.29499999999999998</v>
      </c>
      <c r="G288" s="109">
        <v>0.96775604690844896</v>
      </c>
      <c r="H288" s="110">
        <v>41675.480023148149</v>
      </c>
      <c r="I288" s="111" t="s">
        <v>304</v>
      </c>
      <c r="J288" s="106">
        <f t="shared" si="23"/>
        <v>0</v>
      </c>
      <c r="AC288" s="105" t="str">
        <f t="shared" si="25"/>
        <v>f72t2</v>
      </c>
      <c r="AD288" s="100">
        <v>18</v>
      </c>
      <c r="AE288" s="100">
        <v>72</v>
      </c>
      <c r="AF288" s="100">
        <v>2</v>
      </c>
      <c r="AG288" s="100">
        <v>0.2</v>
      </c>
    </row>
    <row r="289" spans="1:33" x14ac:dyDescent="0.3">
      <c r="A289" s="105" t="str">
        <f t="shared" si="24"/>
        <v>f36t1</v>
      </c>
      <c r="B289" s="109">
        <v>191</v>
      </c>
      <c r="C289" s="109">
        <v>36</v>
      </c>
      <c r="D289" s="109">
        <v>4</v>
      </c>
      <c r="E289" s="109">
        <v>1</v>
      </c>
      <c r="F289" s="109">
        <v>0.29499999999999998</v>
      </c>
      <c r="G289" s="109">
        <v>0.96967858243998295</v>
      </c>
      <c r="H289" s="110">
        <v>41675.480023148149</v>
      </c>
      <c r="I289" s="111" t="s">
        <v>304</v>
      </c>
      <c r="J289" s="106">
        <f t="shared" si="23"/>
        <v>0</v>
      </c>
      <c r="AC289" s="105" t="str">
        <f t="shared" si="25"/>
        <v>f72t3</v>
      </c>
      <c r="AD289" s="100">
        <v>18</v>
      </c>
      <c r="AE289" s="100">
        <v>72</v>
      </c>
      <c r="AF289" s="100">
        <v>3</v>
      </c>
      <c r="AG289" s="100">
        <v>0.2</v>
      </c>
    </row>
    <row r="290" spans="1:33" x14ac:dyDescent="0.3">
      <c r="A290" s="105" t="str">
        <f t="shared" si="24"/>
        <v>f36t3</v>
      </c>
      <c r="B290" s="109">
        <v>191</v>
      </c>
      <c r="C290" s="109">
        <v>36</v>
      </c>
      <c r="D290" s="109">
        <v>4</v>
      </c>
      <c r="E290" s="109">
        <v>3</v>
      </c>
      <c r="F290" s="109">
        <v>0.6</v>
      </c>
      <c r="G290" s="109">
        <v>0.90826433666490203</v>
      </c>
      <c r="H290" s="110">
        <v>41675.480023148149</v>
      </c>
      <c r="I290" s="111" t="s">
        <v>304</v>
      </c>
      <c r="J290" s="106">
        <f t="shared" si="23"/>
        <v>0</v>
      </c>
      <c r="AC290" s="105" t="str">
        <f t="shared" si="25"/>
        <v>f72t4</v>
      </c>
      <c r="AD290" s="100">
        <v>18</v>
      </c>
      <c r="AE290" s="100">
        <v>72</v>
      </c>
      <c r="AF290" s="100">
        <v>4</v>
      </c>
      <c r="AG290" s="100">
        <v>0.2</v>
      </c>
    </row>
    <row r="291" spans="1:33" x14ac:dyDescent="0.3">
      <c r="A291" s="105" t="str">
        <f t="shared" si="24"/>
        <v>f36t4</v>
      </c>
      <c r="B291" s="109">
        <v>191</v>
      </c>
      <c r="C291" s="109">
        <v>36</v>
      </c>
      <c r="D291" s="109">
        <v>4</v>
      </c>
      <c r="E291" s="109">
        <v>4</v>
      </c>
      <c r="F291" s="109">
        <v>0.29499999999999998</v>
      </c>
      <c r="G291" s="109">
        <v>0.96775604690844896</v>
      </c>
      <c r="H291" s="110">
        <v>41675.480023148149</v>
      </c>
      <c r="I291" s="111" t="s">
        <v>304</v>
      </c>
      <c r="J291" s="106">
        <f t="shared" si="23"/>
        <v>0</v>
      </c>
      <c r="AC291" s="105" t="str">
        <f t="shared" si="25"/>
        <v>f73t1</v>
      </c>
      <c r="AD291" s="100">
        <v>18</v>
      </c>
      <c r="AE291" s="100">
        <v>73</v>
      </c>
      <c r="AF291" s="100">
        <v>1</v>
      </c>
      <c r="AG291" s="100">
        <v>0.3</v>
      </c>
    </row>
    <row r="292" spans="1:33" x14ac:dyDescent="0.3">
      <c r="A292" s="105" t="str">
        <f t="shared" si="24"/>
        <v>f36t1</v>
      </c>
      <c r="B292" s="109">
        <v>191</v>
      </c>
      <c r="C292" s="109">
        <v>36</v>
      </c>
      <c r="D292" s="109">
        <v>5</v>
      </c>
      <c r="E292" s="109">
        <v>1</v>
      </c>
      <c r="F292" s="109">
        <v>0.29499999999999998</v>
      </c>
      <c r="G292" s="109">
        <v>0.96967858243998295</v>
      </c>
      <c r="H292" s="110">
        <v>41675.480023148149</v>
      </c>
      <c r="I292" s="111" t="s">
        <v>304</v>
      </c>
      <c r="J292" s="106">
        <f t="shared" si="23"/>
        <v>0</v>
      </c>
      <c r="AC292" s="105" t="str">
        <f t="shared" si="25"/>
        <v>f73t2</v>
      </c>
      <c r="AD292" s="100">
        <v>18</v>
      </c>
      <c r="AE292" s="100">
        <v>73</v>
      </c>
      <c r="AF292" s="100">
        <v>2</v>
      </c>
      <c r="AG292" s="100">
        <v>0.3</v>
      </c>
    </row>
    <row r="293" spans="1:33" x14ac:dyDescent="0.3">
      <c r="A293" s="105" t="str">
        <f t="shared" si="24"/>
        <v>f36t3</v>
      </c>
      <c r="B293" s="109">
        <v>191</v>
      </c>
      <c r="C293" s="109">
        <v>36</v>
      </c>
      <c r="D293" s="109">
        <v>5</v>
      </c>
      <c r="E293" s="109">
        <v>3</v>
      </c>
      <c r="F293" s="109">
        <v>0.6</v>
      </c>
      <c r="G293" s="109">
        <v>0.90826433666490203</v>
      </c>
      <c r="H293" s="110">
        <v>41675.480023148149</v>
      </c>
      <c r="I293" s="111" t="s">
        <v>304</v>
      </c>
      <c r="J293" s="106">
        <f t="shared" ref="J293:J356" si="26">F293-VLOOKUP(A293,L$3:P$100,5,FALSE)</f>
        <v>0</v>
      </c>
      <c r="AC293" s="105" t="str">
        <f t="shared" si="25"/>
        <v>f73t3</v>
      </c>
      <c r="AD293" s="100">
        <v>18</v>
      </c>
      <c r="AE293" s="100">
        <v>73</v>
      </c>
      <c r="AF293" s="100">
        <v>3</v>
      </c>
      <c r="AG293" s="100">
        <v>0.3</v>
      </c>
    </row>
    <row r="294" spans="1:33" x14ac:dyDescent="0.3">
      <c r="A294" s="105" t="str">
        <f t="shared" si="24"/>
        <v>f36t4</v>
      </c>
      <c r="B294" s="109">
        <v>191</v>
      </c>
      <c r="C294" s="109">
        <v>36</v>
      </c>
      <c r="D294" s="109">
        <v>5</v>
      </c>
      <c r="E294" s="109">
        <v>4</v>
      </c>
      <c r="F294" s="109">
        <v>0.29499999999999998</v>
      </c>
      <c r="G294" s="109">
        <v>0.96775604690844896</v>
      </c>
      <c r="H294" s="110">
        <v>41675.480023148149</v>
      </c>
      <c r="I294" s="111" t="s">
        <v>304</v>
      </c>
      <c r="J294" s="106">
        <f t="shared" si="26"/>
        <v>0</v>
      </c>
      <c r="AC294" s="105" t="str">
        <f t="shared" si="25"/>
        <v>f73t4</v>
      </c>
      <c r="AD294" s="100">
        <v>18</v>
      </c>
      <c r="AE294" s="100">
        <v>73</v>
      </c>
      <c r="AF294" s="100">
        <v>4</v>
      </c>
      <c r="AG294" s="100">
        <v>0.3</v>
      </c>
    </row>
    <row r="295" spans="1:33" x14ac:dyDescent="0.3">
      <c r="A295" s="105" t="str">
        <f t="shared" si="24"/>
        <v>f42t1</v>
      </c>
      <c r="B295" s="109">
        <v>191</v>
      </c>
      <c r="C295" s="109">
        <v>42</v>
      </c>
      <c r="D295" s="109">
        <v>2</v>
      </c>
      <c r="E295" s="109">
        <v>1</v>
      </c>
      <c r="F295" s="109">
        <v>1.92</v>
      </c>
      <c r="G295" s="109">
        <v>0.94256256652510395</v>
      </c>
      <c r="H295" s="110">
        <v>41675.480023148149</v>
      </c>
      <c r="I295" s="111" t="s">
        <v>304</v>
      </c>
      <c r="J295" s="106">
        <f t="shared" si="26"/>
        <v>0</v>
      </c>
    </row>
    <row r="296" spans="1:33" x14ac:dyDescent="0.3">
      <c r="A296" s="105" t="str">
        <f t="shared" si="24"/>
        <v>f42t3</v>
      </c>
      <c r="B296" s="109">
        <v>191</v>
      </c>
      <c r="C296" s="109">
        <v>42</v>
      </c>
      <c r="D296" s="109">
        <v>2</v>
      </c>
      <c r="E296" s="109">
        <v>3</v>
      </c>
      <c r="F296" s="109">
        <v>0.80600000000000005</v>
      </c>
      <c r="G296" s="109">
        <v>1.3096205531801399</v>
      </c>
      <c r="H296" s="110">
        <v>41675.480023148149</v>
      </c>
      <c r="I296" s="111" t="s">
        <v>304</v>
      </c>
      <c r="J296" s="106">
        <f t="shared" si="26"/>
        <v>0</v>
      </c>
    </row>
    <row r="297" spans="1:33" x14ac:dyDescent="0.3">
      <c r="A297" s="105" t="str">
        <f t="shared" si="24"/>
        <v>f42t4</v>
      </c>
      <c r="B297" s="109">
        <v>191</v>
      </c>
      <c r="C297" s="109">
        <v>42</v>
      </c>
      <c r="D297" s="109">
        <v>2</v>
      </c>
      <c r="E297" s="109">
        <v>4</v>
      </c>
      <c r="F297" s="109">
        <v>1.92</v>
      </c>
      <c r="G297" s="109">
        <v>0.94398159302847495</v>
      </c>
      <c r="H297" s="110">
        <v>41675.480023148149</v>
      </c>
      <c r="I297" s="111" t="s">
        <v>304</v>
      </c>
      <c r="J297" s="106">
        <f t="shared" si="26"/>
        <v>0</v>
      </c>
    </row>
    <row r="298" spans="1:33" x14ac:dyDescent="0.3">
      <c r="A298" s="105" t="str">
        <f t="shared" si="24"/>
        <v>f42t1</v>
      </c>
      <c r="B298" s="109">
        <v>191</v>
      </c>
      <c r="C298" s="109">
        <v>42</v>
      </c>
      <c r="D298" s="109">
        <v>3</v>
      </c>
      <c r="E298" s="109">
        <v>1</v>
      </c>
      <c r="F298" s="109">
        <v>1.92</v>
      </c>
      <c r="G298" s="109">
        <v>0.94256256652510395</v>
      </c>
      <c r="H298" s="110">
        <v>41675.480023148149</v>
      </c>
      <c r="I298" s="111" t="s">
        <v>304</v>
      </c>
      <c r="J298" s="106">
        <f t="shared" si="26"/>
        <v>0</v>
      </c>
    </row>
    <row r="299" spans="1:33" x14ac:dyDescent="0.3">
      <c r="A299" s="105" t="str">
        <f t="shared" si="24"/>
        <v>f42t3</v>
      </c>
      <c r="B299" s="109">
        <v>191</v>
      </c>
      <c r="C299" s="109">
        <v>42</v>
      </c>
      <c r="D299" s="109">
        <v>3</v>
      </c>
      <c r="E299" s="109">
        <v>3</v>
      </c>
      <c r="F299" s="109">
        <v>0.80600000000000005</v>
      </c>
      <c r="G299" s="109">
        <v>1.3096205531801399</v>
      </c>
      <c r="H299" s="110">
        <v>41675.480023148149</v>
      </c>
      <c r="I299" s="111" t="s">
        <v>304</v>
      </c>
      <c r="J299" s="106">
        <f t="shared" si="26"/>
        <v>0</v>
      </c>
    </row>
    <row r="300" spans="1:33" x14ac:dyDescent="0.3">
      <c r="A300" s="105" t="str">
        <f t="shared" si="24"/>
        <v>f42t4</v>
      </c>
      <c r="B300" s="109">
        <v>191</v>
      </c>
      <c r="C300" s="109">
        <v>42</v>
      </c>
      <c r="D300" s="109">
        <v>3</v>
      </c>
      <c r="E300" s="109">
        <v>4</v>
      </c>
      <c r="F300" s="109">
        <v>1.92</v>
      </c>
      <c r="G300" s="109">
        <v>0.94398159302847495</v>
      </c>
      <c r="H300" s="110">
        <v>41675.480023148149</v>
      </c>
      <c r="I300" s="111" t="s">
        <v>304</v>
      </c>
      <c r="J300" s="106">
        <f t="shared" si="26"/>
        <v>0</v>
      </c>
    </row>
    <row r="301" spans="1:33" x14ac:dyDescent="0.3">
      <c r="A301" s="105" t="str">
        <f t="shared" si="24"/>
        <v>f42t1</v>
      </c>
      <c r="B301" s="109">
        <v>191</v>
      </c>
      <c r="C301" s="109">
        <v>42</v>
      </c>
      <c r="D301" s="109">
        <v>4</v>
      </c>
      <c r="E301" s="109">
        <v>1</v>
      </c>
      <c r="F301" s="109">
        <v>1.92</v>
      </c>
      <c r="G301" s="109">
        <v>0.94256256652510395</v>
      </c>
      <c r="H301" s="110">
        <v>41675.480023148149</v>
      </c>
      <c r="I301" s="111" t="s">
        <v>304</v>
      </c>
      <c r="J301" s="106">
        <f t="shared" si="26"/>
        <v>0</v>
      </c>
    </row>
    <row r="302" spans="1:33" x14ac:dyDescent="0.3">
      <c r="A302" s="105" t="str">
        <f t="shared" si="24"/>
        <v>f42t3</v>
      </c>
      <c r="B302" s="109">
        <v>191</v>
      </c>
      <c r="C302" s="109">
        <v>42</v>
      </c>
      <c r="D302" s="109">
        <v>4</v>
      </c>
      <c r="E302" s="109">
        <v>3</v>
      </c>
      <c r="F302" s="109">
        <v>0.80600000000000005</v>
      </c>
      <c r="G302" s="109">
        <v>1.3096205531801399</v>
      </c>
      <c r="H302" s="110">
        <v>41675.480023148149</v>
      </c>
      <c r="I302" s="111" t="s">
        <v>304</v>
      </c>
      <c r="J302" s="106">
        <f t="shared" si="26"/>
        <v>0</v>
      </c>
    </row>
    <row r="303" spans="1:33" x14ac:dyDescent="0.3">
      <c r="A303" s="105" t="str">
        <f t="shared" si="24"/>
        <v>f42t4</v>
      </c>
      <c r="B303" s="109">
        <v>191</v>
      </c>
      <c r="C303" s="109">
        <v>42</v>
      </c>
      <c r="D303" s="109">
        <v>4</v>
      </c>
      <c r="E303" s="109">
        <v>4</v>
      </c>
      <c r="F303" s="109">
        <v>1.92</v>
      </c>
      <c r="G303" s="109">
        <v>0.94398159302847495</v>
      </c>
      <c r="H303" s="110">
        <v>41675.480023148149</v>
      </c>
      <c r="I303" s="111" t="s">
        <v>304</v>
      </c>
      <c r="J303" s="106">
        <f t="shared" si="26"/>
        <v>0</v>
      </c>
    </row>
    <row r="304" spans="1:33" x14ac:dyDescent="0.3">
      <c r="A304" s="105" t="str">
        <f t="shared" si="24"/>
        <v>f42t1</v>
      </c>
      <c r="B304" s="109">
        <v>191</v>
      </c>
      <c r="C304" s="109">
        <v>42</v>
      </c>
      <c r="D304" s="109">
        <v>5</v>
      </c>
      <c r="E304" s="109">
        <v>1</v>
      </c>
      <c r="F304" s="109">
        <v>1.92</v>
      </c>
      <c r="G304" s="109">
        <v>0.94256256652510395</v>
      </c>
      <c r="H304" s="110">
        <v>41675.480023148149</v>
      </c>
      <c r="I304" s="111" t="s">
        <v>304</v>
      </c>
      <c r="J304" s="106">
        <f t="shared" si="26"/>
        <v>0</v>
      </c>
    </row>
    <row r="305" spans="1:10" customFormat="1" x14ac:dyDescent="0.3">
      <c r="A305" s="105" t="str">
        <f t="shared" si="24"/>
        <v>f42t3</v>
      </c>
      <c r="B305" s="109">
        <v>191</v>
      </c>
      <c r="C305" s="109">
        <v>42</v>
      </c>
      <c r="D305" s="109">
        <v>5</v>
      </c>
      <c r="E305" s="109">
        <v>3</v>
      </c>
      <c r="F305" s="109">
        <v>0.80600000000000005</v>
      </c>
      <c r="G305" s="109">
        <v>1.3096205531801399</v>
      </c>
      <c r="H305" s="110">
        <v>41675.480023148149</v>
      </c>
      <c r="I305" s="111" t="s">
        <v>304</v>
      </c>
      <c r="J305" s="106">
        <f t="shared" si="26"/>
        <v>0</v>
      </c>
    </row>
    <row r="306" spans="1:10" customFormat="1" x14ac:dyDescent="0.3">
      <c r="A306" s="105" t="str">
        <f t="shared" si="24"/>
        <v>f42t4</v>
      </c>
      <c r="B306" s="109">
        <v>191</v>
      </c>
      <c r="C306" s="109">
        <v>42</v>
      </c>
      <c r="D306" s="109">
        <v>5</v>
      </c>
      <c r="E306" s="109">
        <v>4</v>
      </c>
      <c r="F306" s="109">
        <v>1.92</v>
      </c>
      <c r="G306" s="109">
        <v>0.94398159302847495</v>
      </c>
      <c r="H306" s="110">
        <v>41675.480023148149</v>
      </c>
      <c r="I306" s="111" t="s">
        <v>304</v>
      </c>
      <c r="J306" s="106">
        <f t="shared" si="26"/>
        <v>0</v>
      </c>
    </row>
    <row r="307" spans="1:10" customFormat="1" x14ac:dyDescent="0.3">
      <c r="A307" s="105" t="str">
        <f t="shared" si="24"/>
        <v>f45t1</v>
      </c>
      <c r="B307" s="109">
        <v>191</v>
      </c>
      <c r="C307" s="109">
        <v>45</v>
      </c>
      <c r="D307" s="109">
        <v>2</v>
      </c>
      <c r="E307" s="109">
        <v>1</v>
      </c>
      <c r="F307" s="109">
        <v>3.7519999999999998</v>
      </c>
      <c r="G307" s="109">
        <v>1.2826996591687101</v>
      </c>
      <c r="H307" s="110">
        <v>41675.480023148149</v>
      </c>
      <c r="I307" s="111" t="s">
        <v>304</v>
      </c>
      <c r="J307" s="106">
        <f t="shared" si="26"/>
        <v>0</v>
      </c>
    </row>
    <row r="308" spans="1:10" customFormat="1" x14ac:dyDescent="0.3">
      <c r="A308" s="105" t="str">
        <f t="shared" si="24"/>
        <v>f45t4</v>
      </c>
      <c r="B308" s="109">
        <v>191</v>
      </c>
      <c r="C308" s="109">
        <v>45</v>
      </c>
      <c r="D308" s="109">
        <v>2</v>
      </c>
      <c r="E308" s="109">
        <v>4</v>
      </c>
      <c r="F308" s="109">
        <v>3.7519999999999998</v>
      </c>
      <c r="G308" s="109">
        <v>1.2828048011811699</v>
      </c>
      <c r="H308" s="110">
        <v>41675.480023148149</v>
      </c>
      <c r="I308" s="111" t="s">
        <v>304</v>
      </c>
      <c r="J308" s="106">
        <f t="shared" si="26"/>
        <v>0</v>
      </c>
    </row>
    <row r="309" spans="1:10" customFormat="1" x14ac:dyDescent="0.3">
      <c r="A309" s="105" t="str">
        <f t="shared" si="24"/>
        <v>f45t1</v>
      </c>
      <c r="B309" s="109">
        <v>191</v>
      </c>
      <c r="C309" s="109">
        <v>45</v>
      </c>
      <c r="D309" s="109">
        <v>3</v>
      </c>
      <c r="E309" s="109">
        <v>1</v>
      </c>
      <c r="F309" s="109">
        <v>3.7519999999999998</v>
      </c>
      <c r="G309" s="109">
        <v>1.2826996591687101</v>
      </c>
      <c r="H309" s="110">
        <v>41675.480023148149</v>
      </c>
      <c r="I309" s="111" t="s">
        <v>304</v>
      </c>
      <c r="J309" s="106">
        <f t="shared" si="26"/>
        <v>0</v>
      </c>
    </row>
    <row r="310" spans="1:10" customFormat="1" x14ac:dyDescent="0.3">
      <c r="A310" s="105" t="str">
        <f t="shared" si="24"/>
        <v>f45t4</v>
      </c>
      <c r="B310" s="109">
        <v>191</v>
      </c>
      <c r="C310" s="109">
        <v>45</v>
      </c>
      <c r="D310" s="109">
        <v>3</v>
      </c>
      <c r="E310" s="109">
        <v>4</v>
      </c>
      <c r="F310" s="109">
        <v>3.7519999999999998</v>
      </c>
      <c r="G310" s="109">
        <v>1.2828048011811699</v>
      </c>
      <c r="H310" s="110">
        <v>41675.480023148149</v>
      </c>
      <c r="I310" s="111" t="s">
        <v>304</v>
      </c>
      <c r="J310" s="106">
        <f t="shared" si="26"/>
        <v>0</v>
      </c>
    </row>
    <row r="311" spans="1:10" customFormat="1" x14ac:dyDescent="0.3">
      <c r="A311" s="105" t="str">
        <f t="shared" si="24"/>
        <v>f45t1</v>
      </c>
      <c r="B311" s="109">
        <v>191</v>
      </c>
      <c r="C311" s="109">
        <v>45</v>
      </c>
      <c r="D311" s="109">
        <v>4</v>
      </c>
      <c r="E311" s="109">
        <v>1</v>
      </c>
      <c r="F311" s="109">
        <v>3.7519999999999998</v>
      </c>
      <c r="G311" s="109">
        <v>1.2826996591687101</v>
      </c>
      <c r="H311" s="110">
        <v>41675.480023148149</v>
      </c>
      <c r="I311" s="111" t="s">
        <v>304</v>
      </c>
      <c r="J311" s="106">
        <f t="shared" si="26"/>
        <v>0</v>
      </c>
    </row>
    <row r="312" spans="1:10" customFormat="1" x14ac:dyDescent="0.3">
      <c r="A312" s="105" t="str">
        <f t="shared" si="24"/>
        <v>f45t4</v>
      </c>
      <c r="B312" s="109">
        <v>191</v>
      </c>
      <c r="C312" s="109">
        <v>45</v>
      </c>
      <c r="D312" s="109">
        <v>4</v>
      </c>
      <c r="E312" s="109">
        <v>4</v>
      </c>
      <c r="F312" s="109">
        <v>3.7519999999999998</v>
      </c>
      <c r="G312" s="109">
        <v>1.2828048011811699</v>
      </c>
      <c r="H312" s="110">
        <v>41675.480023148149</v>
      </c>
      <c r="I312" s="111" t="s">
        <v>304</v>
      </c>
      <c r="J312" s="106">
        <f t="shared" si="26"/>
        <v>0</v>
      </c>
    </row>
    <row r="313" spans="1:10" customFormat="1" x14ac:dyDescent="0.3">
      <c r="A313" s="105" t="str">
        <f t="shared" si="24"/>
        <v>f45t1</v>
      </c>
      <c r="B313" s="109">
        <v>191</v>
      </c>
      <c r="C313" s="109">
        <v>45</v>
      </c>
      <c r="D313" s="109">
        <v>5</v>
      </c>
      <c r="E313" s="109">
        <v>1</v>
      </c>
      <c r="F313" s="109">
        <v>3.7519999999999998</v>
      </c>
      <c r="G313" s="109">
        <v>1.2826996591687101</v>
      </c>
      <c r="H313" s="110">
        <v>41675.480023148149</v>
      </c>
      <c r="I313" s="111" t="s">
        <v>304</v>
      </c>
      <c r="J313" s="106">
        <f t="shared" si="26"/>
        <v>0</v>
      </c>
    </row>
    <row r="314" spans="1:10" customFormat="1" x14ac:dyDescent="0.3">
      <c r="A314" s="105" t="str">
        <f t="shared" si="24"/>
        <v>f45t4</v>
      </c>
      <c r="B314" s="109">
        <v>191</v>
      </c>
      <c r="C314" s="109">
        <v>45</v>
      </c>
      <c r="D314" s="109">
        <v>5</v>
      </c>
      <c r="E314" s="109">
        <v>4</v>
      </c>
      <c r="F314" s="109">
        <v>3.7519999999999998</v>
      </c>
      <c r="G314" s="109">
        <v>1.2828048011811699</v>
      </c>
      <c r="H314" s="110">
        <v>41675.480023148149</v>
      </c>
      <c r="I314" s="111" t="s">
        <v>304</v>
      </c>
      <c r="J314" s="106">
        <f t="shared" si="26"/>
        <v>0</v>
      </c>
    </row>
    <row r="315" spans="1:10" customFormat="1" x14ac:dyDescent="0.3">
      <c r="A315" s="105" t="str">
        <f t="shared" si="24"/>
        <v>f53t1</v>
      </c>
      <c r="B315" s="109">
        <v>191</v>
      </c>
      <c r="C315" s="109">
        <v>53</v>
      </c>
      <c r="D315" s="109">
        <v>2</v>
      </c>
      <c r="E315" s="109">
        <v>1</v>
      </c>
      <c r="F315" s="109">
        <v>2.4750000000000001</v>
      </c>
      <c r="G315" s="109">
        <v>1.0970225318462701</v>
      </c>
      <c r="H315" s="110">
        <v>41675.480023148149</v>
      </c>
      <c r="I315" s="111" t="s">
        <v>304</v>
      </c>
      <c r="J315" s="106">
        <f t="shared" si="26"/>
        <v>0</v>
      </c>
    </row>
    <row r="316" spans="1:10" customFormat="1" x14ac:dyDescent="0.3">
      <c r="A316" s="105" t="str">
        <f t="shared" si="24"/>
        <v>f53t3</v>
      </c>
      <c r="B316" s="109">
        <v>191</v>
      </c>
      <c r="C316" s="109">
        <v>53</v>
      </c>
      <c r="D316" s="109">
        <v>2</v>
      </c>
      <c r="E316" s="109">
        <v>3</v>
      </c>
      <c r="F316" s="109">
        <v>0.85899999999999999</v>
      </c>
      <c r="G316" s="109">
        <v>0.887281227064874</v>
      </c>
      <c r="H316" s="110">
        <v>41675.480023148149</v>
      </c>
      <c r="I316" s="111" t="s">
        <v>304</v>
      </c>
      <c r="J316" s="106">
        <f t="shared" si="26"/>
        <v>0</v>
      </c>
    </row>
    <row r="317" spans="1:10" customFormat="1" x14ac:dyDescent="0.3">
      <c r="A317" s="105" t="str">
        <f t="shared" si="24"/>
        <v>f53t4</v>
      </c>
      <c r="B317" s="109">
        <v>191</v>
      </c>
      <c r="C317" s="109">
        <v>53</v>
      </c>
      <c r="D317" s="109">
        <v>2</v>
      </c>
      <c r="E317" s="109">
        <v>4</v>
      </c>
      <c r="F317" s="109">
        <v>2.4750000000000001</v>
      </c>
      <c r="G317" s="109">
        <v>1.09781766053345</v>
      </c>
      <c r="H317" s="110">
        <v>41675.480023148149</v>
      </c>
      <c r="I317" s="111" t="s">
        <v>304</v>
      </c>
      <c r="J317" s="106">
        <f t="shared" si="26"/>
        <v>0</v>
      </c>
    </row>
    <row r="318" spans="1:10" customFormat="1" x14ac:dyDescent="0.3">
      <c r="A318" s="105" t="str">
        <f t="shared" si="24"/>
        <v>f53t1</v>
      </c>
      <c r="B318" s="109">
        <v>191</v>
      </c>
      <c r="C318" s="109">
        <v>53</v>
      </c>
      <c r="D318" s="109">
        <v>3</v>
      </c>
      <c r="E318" s="109">
        <v>1</v>
      </c>
      <c r="F318" s="109">
        <v>2.4750000000000001</v>
      </c>
      <c r="G318" s="109">
        <v>1.0970225318462701</v>
      </c>
      <c r="H318" s="110">
        <v>41675.480023148149</v>
      </c>
      <c r="I318" s="111" t="s">
        <v>304</v>
      </c>
      <c r="J318" s="106">
        <f t="shared" si="26"/>
        <v>0</v>
      </c>
    </row>
    <row r="319" spans="1:10" customFormat="1" x14ac:dyDescent="0.3">
      <c r="A319" s="105" t="str">
        <f t="shared" si="24"/>
        <v>f53t3</v>
      </c>
      <c r="B319" s="109">
        <v>191</v>
      </c>
      <c r="C319" s="109">
        <v>53</v>
      </c>
      <c r="D319" s="109">
        <v>3</v>
      </c>
      <c r="E319" s="109">
        <v>3</v>
      </c>
      <c r="F319" s="109">
        <v>0.85899999999999999</v>
      </c>
      <c r="G319" s="109">
        <v>0.887281227064874</v>
      </c>
      <c r="H319" s="110">
        <v>41675.480023148149</v>
      </c>
      <c r="I319" s="111" t="s">
        <v>304</v>
      </c>
      <c r="J319" s="106">
        <f t="shared" si="26"/>
        <v>0</v>
      </c>
    </row>
    <row r="320" spans="1:10" customFormat="1" x14ac:dyDescent="0.3">
      <c r="A320" s="105" t="str">
        <f t="shared" si="24"/>
        <v>f53t4</v>
      </c>
      <c r="B320" s="109">
        <v>191</v>
      </c>
      <c r="C320" s="109">
        <v>53</v>
      </c>
      <c r="D320" s="109">
        <v>3</v>
      </c>
      <c r="E320" s="109">
        <v>4</v>
      </c>
      <c r="F320" s="109">
        <v>2.4750000000000001</v>
      </c>
      <c r="G320" s="109">
        <v>1.09781766053345</v>
      </c>
      <c r="H320" s="110">
        <v>41675.480023148149</v>
      </c>
      <c r="I320" s="111" t="s">
        <v>304</v>
      </c>
      <c r="J320" s="106">
        <f t="shared" si="26"/>
        <v>0</v>
      </c>
    </row>
    <row r="321" spans="1:10" customFormat="1" x14ac:dyDescent="0.3">
      <c r="A321" s="105" t="str">
        <f t="shared" si="24"/>
        <v>f53t1</v>
      </c>
      <c r="B321" s="109">
        <v>191</v>
      </c>
      <c r="C321" s="109">
        <v>53</v>
      </c>
      <c r="D321" s="109">
        <v>4</v>
      </c>
      <c r="E321" s="109">
        <v>1</v>
      </c>
      <c r="F321" s="109">
        <v>2.4750000000000001</v>
      </c>
      <c r="G321" s="109">
        <v>1.0970225318462701</v>
      </c>
      <c r="H321" s="110">
        <v>41675.480023148149</v>
      </c>
      <c r="I321" s="111" t="s">
        <v>304</v>
      </c>
      <c r="J321" s="106">
        <f t="shared" si="26"/>
        <v>0</v>
      </c>
    </row>
    <row r="322" spans="1:10" customFormat="1" x14ac:dyDescent="0.3">
      <c r="A322" s="105" t="str">
        <f t="shared" si="24"/>
        <v>f53t3</v>
      </c>
      <c r="B322" s="109">
        <v>191</v>
      </c>
      <c r="C322" s="109">
        <v>53</v>
      </c>
      <c r="D322" s="109">
        <v>4</v>
      </c>
      <c r="E322" s="109">
        <v>3</v>
      </c>
      <c r="F322" s="109">
        <v>0.85899999999999999</v>
      </c>
      <c r="G322" s="109">
        <v>0.887281227064874</v>
      </c>
      <c r="H322" s="110">
        <v>41675.480023148149</v>
      </c>
      <c r="I322" s="111" t="s">
        <v>304</v>
      </c>
      <c r="J322" s="106">
        <f t="shared" si="26"/>
        <v>0</v>
      </c>
    </row>
    <row r="323" spans="1:10" customFormat="1" x14ac:dyDescent="0.3">
      <c r="A323" s="105" t="str">
        <f t="shared" si="24"/>
        <v>f53t4</v>
      </c>
      <c r="B323" s="109">
        <v>191</v>
      </c>
      <c r="C323" s="109">
        <v>53</v>
      </c>
      <c r="D323" s="109">
        <v>4</v>
      </c>
      <c r="E323" s="109">
        <v>4</v>
      </c>
      <c r="F323" s="109">
        <v>2.4750000000000001</v>
      </c>
      <c r="G323" s="109">
        <v>1.09781766053345</v>
      </c>
      <c r="H323" s="110">
        <v>41675.480023148149</v>
      </c>
      <c r="I323" s="111" t="s">
        <v>304</v>
      </c>
      <c r="J323" s="106">
        <f t="shared" si="26"/>
        <v>0</v>
      </c>
    </row>
    <row r="324" spans="1:10" customFormat="1" x14ac:dyDescent="0.3">
      <c r="A324" s="105" t="str">
        <f t="shared" ref="A324:A387" si="27">"f"&amp;C324&amp;"t"&amp;E324</f>
        <v>f53t1</v>
      </c>
      <c r="B324" s="109">
        <v>191</v>
      </c>
      <c r="C324" s="109">
        <v>53</v>
      </c>
      <c r="D324" s="109">
        <v>5</v>
      </c>
      <c r="E324" s="109">
        <v>1</v>
      </c>
      <c r="F324" s="109">
        <v>2.4750000000000001</v>
      </c>
      <c r="G324" s="109">
        <v>1.0970225318462701</v>
      </c>
      <c r="H324" s="110">
        <v>41675.480023148149</v>
      </c>
      <c r="I324" s="111" t="s">
        <v>304</v>
      </c>
      <c r="J324" s="106">
        <f t="shared" si="26"/>
        <v>0</v>
      </c>
    </row>
    <row r="325" spans="1:10" customFormat="1" x14ac:dyDescent="0.3">
      <c r="A325" s="105" t="str">
        <f t="shared" si="27"/>
        <v>f53t3</v>
      </c>
      <c r="B325" s="109">
        <v>191</v>
      </c>
      <c r="C325" s="109">
        <v>53</v>
      </c>
      <c r="D325" s="109">
        <v>5</v>
      </c>
      <c r="E325" s="109">
        <v>3</v>
      </c>
      <c r="F325" s="109">
        <v>0.85899999999999999</v>
      </c>
      <c r="G325" s="109">
        <v>0.887281227064874</v>
      </c>
      <c r="H325" s="110">
        <v>41675.480023148149</v>
      </c>
      <c r="I325" s="111" t="s">
        <v>304</v>
      </c>
      <c r="J325" s="106">
        <f t="shared" si="26"/>
        <v>0</v>
      </c>
    </row>
    <row r="326" spans="1:10" customFormat="1" x14ac:dyDescent="0.3">
      <c r="A326" s="105" t="str">
        <f t="shared" si="27"/>
        <v>f53t4</v>
      </c>
      <c r="B326" s="109">
        <v>191</v>
      </c>
      <c r="C326" s="109">
        <v>53</v>
      </c>
      <c r="D326" s="109">
        <v>5</v>
      </c>
      <c r="E326" s="109">
        <v>4</v>
      </c>
      <c r="F326" s="109">
        <v>2.4750000000000001</v>
      </c>
      <c r="G326" s="109">
        <v>1.09781766053345</v>
      </c>
      <c r="H326" s="110">
        <v>41675.480023148149</v>
      </c>
      <c r="I326" s="111" t="s">
        <v>304</v>
      </c>
      <c r="J326" s="106">
        <f t="shared" si="26"/>
        <v>0</v>
      </c>
    </row>
    <row r="327" spans="1:10" customFormat="1" x14ac:dyDescent="0.3">
      <c r="A327" s="105" t="str">
        <f t="shared" si="27"/>
        <v>f54t1</v>
      </c>
      <c r="B327" s="109">
        <v>191</v>
      </c>
      <c r="C327" s="109">
        <v>54</v>
      </c>
      <c r="D327" s="109">
        <v>2</v>
      </c>
      <c r="E327" s="109">
        <v>1</v>
      </c>
      <c r="F327" s="109">
        <v>0.64300000000000002</v>
      </c>
      <c r="G327" s="109">
        <v>0.97572080321705401</v>
      </c>
      <c r="H327" s="110">
        <v>41675.480023148149</v>
      </c>
      <c r="I327" s="111" t="s">
        <v>304</v>
      </c>
      <c r="J327" s="106">
        <f t="shared" si="26"/>
        <v>0</v>
      </c>
    </row>
    <row r="328" spans="1:10" customFormat="1" x14ac:dyDescent="0.3">
      <c r="A328" s="105" t="str">
        <f t="shared" si="27"/>
        <v>f54t3</v>
      </c>
      <c r="B328" s="109">
        <v>191</v>
      </c>
      <c r="C328" s="109">
        <v>54</v>
      </c>
      <c r="D328" s="109">
        <v>2</v>
      </c>
      <c r="E328" s="109">
        <v>3</v>
      </c>
      <c r="F328" s="109">
        <v>0.03</v>
      </c>
      <c r="G328" s="109">
        <v>0.79758553128200604</v>
      </c>
      <c r="H328" s="110">
        <v>41675.480023148149</v>
      </c>
      <c r="I328" s="111" t="s">
        <v>304</v>
      </c>
      <c r="J328" s="106">
        <f t="shared" si="26"/>
        <v>0</v>
      </c>
    </row>
    <row r="329" spans="1:10" customFormat="1" x14ac:dyDescent="0.3">
      <c r="A329" s="105" t="str">
        <f t="shared" si="27"/>
        <v>f54t4</v>
      </c>
      <c r="B329" s="109">
        <v>191</v>
      </c>
      <c r="C329" s="109">
        <v>54</v>
      </c>
      <c r="D329" s="109">
        <v>2</v>
      </c>
      <c r="E329" s="109">
        <v>4</v>
      </c>
      <c r="F329" s="109">
        <v>0.64300000000000002</v>
      </c>
      <c r="G329" s="109">
        <v>0.97718968113956195</v>
      </c>
      <c r="H329" s="110">
        <v>41675.480023148149</v>
      </c>
      <c r="I329" s="111" t="s">
        <v>304</v>
      </c>
      <c r="J329" s="106">
        <f t="shared" si="26"/>
        <v>0</v>
      </c>
    </row>
    <row r="330" spans="1:10" customFormat="1" x14ac:dyDescent="0.3">
      <c r="A330" s="105" t="str">
        <f t="shared" si="27"/>
        <v>f54t1</v>
      </c>
      <c r="B330" s="109">
        <v>191</v>
      </c>
      <c r="C330" s="109">
        <v>54</v>
      </c>
      <c r="D330" s="109">
        <v>3</v>
      </c>
      <c r="E330" s="109">
        <v>1</v>
      </c>
      <c r="F330" s="109">
        <v>0.64300000000000002</v>
      </c>
      <c r="G330" s="109">
        <v>0.97572080321705401</v>
      </c>
      <c r="H330" s="110">
        <v>41675.480023148149</v>
      </c>
      <c r="I330" s="111" t="s">
        <v>304</v>
      </c>
      <c r="J330" s="106">
        <f t="shared" si="26"/>
        <v>0</v>
      </c>
    </row>
    <row r="331" spans="1:10" customFormat="1" x14ac:dyDescent="0.3">
      <c r="A331" s="105" t="str">
        <f t="shared" si="27"/>
        <v>f54t3</v>
      </c>
      <c r="B331" s="109">
        <v>191</v>
      </c>
      <c r="C331" s="109">
        <v>54</v>
      </c>
      <c r="D331" s="109">
        <v>3</v>
      </c>
      <c r="E331" s="109">
        <v>3</v>
      </c>
      <c r="F331" s="109">
        <v>0.03</v>
      </c>
      <c r="G331" s="109">
        <v>0.79758553128200604</v>
      </c>
      <c r="H331" s="110">
        <v>41675.480023148149</v>
      </c>
      <c r="I331" s="111" t="s">
        <v>304</v>
      </c>
      <c r="J331" s="106">
        <f t="shared" si="26"/>
        <v>0</v>
      </c>
    </row>
    <row r="332" spans="1:10" customFormat="1" x14ac:dyDescent="0.3">
      <c r="A332" s="105" t="str">
        <f t="shared" si="27"/>
        <v>f54t4</v>
      </c>
      <c r="B332" s="109">
        <v>191</v>
      </c>
      <c r="C332" s="109">
        <v>54</v>
      </c>
      <c r="D332" s="109">
        <v>3</v>
      </c>
      <c r="E332" s="109">
        <v>4</v>
      </c>
      <c r="F332" s="109">
        <v>0.64300000000000002</v>
      </c>
      <c r="G332" s="109">
        <v>0.97718968113956195</v>
      </c>
      <c r="H332" s="110">
        <v>41675.480023148149</v>
      </c>
      <c r="I332" s="111" t="s">
        <v>304</v>
      </c>
      <c r="J332" s="106">
        <f t="shared" si="26"/>
        <v>0</v>
      </c>
    </row>
    <row r="333" spans="1:10" customFormat="1" x14ac:dyDescent="0.3">
      <c r="A333" s="105" t="str">
        <f t="shared" si="27"/>
        <v>f54t1</v>
      </c>
      <c r="B333" s="109">
        <v>191</v>
      </c>
      <c r="C333" s="109">
        <v>54</v>
      </c>
      <c r="D333" s="109">
        <v>4</v>
      </c>
      <c r="E333" s="109">
        <v>1</v>
      </c>
      <c r="F333" s="109">
        <v>0.64300000000000002</v>
      </c>
      <c r="G333" s="109">
        <v>0.97572080321705401</v>
      </c>
      <c r="H333" s="110">
        <v>41675.480023148149</v>
      </c>
      <c r="I333" s="111" t="s">
        <v>304</v>
      </c>
      <c r="J333" s="106">
        <f t="shared" si="26"/>
        <v>0</v>
      </c>
    </row>
    <row r="334" spans="1:10" customFormat="1" x14ac:dyDescent="0.3">
      <c r="A334" s="105" t="str">
        <f t="shared" si="27"/>
        <v>f54t3</v>
      </c>
      <c r="B334" s="109">
        <v>191</v>
      </c>
      <c r="C334" s="109">
        <v>54</v>
      </c>
      <c r="D334" s="109">
        <v>4</v>
      </c>
      <c r="E334" s="109">
        <v>3</v>
      </c>
      <c r="F334" s="109">
        <v>0.03</v>
      </c>
      <c r="G334" s="109">
        <v>0.79758553128200604</v>
      </c>
      <c r="H334" s="110">
        <v>41675.480023148149</v>
      </c>
      <c r="I334" s="111" t="s">
        <v>304</v>
      </c>
      <c r="J334" s="106">
        <f t="shared" si="26"/>
        <v>0</v>
      </c>
    </row>
    <row r="335" spans="1:10" customFormat="1" x14ac:dyDescent="0.3">
      <c r="A335" s="105" t="str">
        <f t="shared" si="27"/>
        <v>f54t4</v>
      </c>
      <c r="B335" s="109">
        <v>191</v>
      </c>
      <c r="C335" s="109">
        <v>54</v>
      </c>
      <c r="D335" s="109">
        <v>4</v>
      </c>
      <c r="E335" s="109">
        <v>4</v>
      </c>
      <c r="F335" s="109">
        <v>0.64300000000000002</v>
      </c>
      <c r="G335" s="109">
        <v>0.97718968113956195</v>
      </c>
      <c r="H335" s="110">
        <v>41675.480023148149</v>
      </c>
      <c r="I335" s="111" t="s">
        <v>304</v>
      </c>
      <c r="J335" s="106">
        <f t="shared" si="26"/>
        <v>0</v>
      </c>
    </row>
    <row r="336" spans="1:10" customFormat="1" x14ac:dyDescent="0.3">
      <c r="A336" s="105" t="str">
        <f t="shared" si="27"/>
        <v>f54t1</v>
      </c>
      <c r="B336" s="109">
        <v>191</v>
      </c>
      <c r="C336" s="109">
        <v>54</v>
      </c>
      <c r="D336" s="109">
        <v>5</v>
      </c>
      <c r="E336" s="109">
        <v>1</v>
      </c>
      <c r="F336" s="109">
        <v>0.64300000000000002</v>
      </c>
      <c r="G336" s="109">
        <v>0.97572080321705401</v>
      </c>
      <c r="H336" s="110">
        <v>41675.480023148149</v>
      </c>
      <c r="I336" s="111" t="s">
        <v>304</v>
      </c>
      <c r="J336" s="106">
        <f t="shared" si="26"/>
        <v>0</v>
      </c>
    </row>
    <row r="337" spans="1:10" customFormat="1" x14ac:dyDescent="0.3">
      <c r="A337" s="105" t="str">
        <f t="shared" si="27"/>
        <v>f54t3</v>
      </c>
      <c r="B337" s="109">
        <v>191</v>
      </c>
      <c r="C337" s="109">
        <v>54</v>
      </c>
      <c r="D337" s="109">
        <v>5</v>
      </c>
      <c r="E337" s="109">
        <v>3</v>
      </c>
      <c r="F337" s="109">
        <v>0.03</v>
      </c>
      <c r="G337" s="109">
        <v>0.79758553128200604</v>
      </c>
      <c r="H337" s="110">
        <v>41675.480023148149</v>
      </c>
      <c r="I337" s="111" t="s">
        <v>304</v>
      </c>
      <c r="J337" s="106">
        <f t="shared" si="26"/>
        <v>0</v>
      </c>
    </row>
    <row r="338" spans="1:10" customFormat="1" x14ac:dyDescent="0.3">
      <c r="A338" s="105" t="str">
        <f t="shared" si="27"/>
        <v>f54t4</v>
      </c>
      <c r="B338" s="109">
        <v>191</v>
      </c>
      <c r="C338" s="109">
        <v>54</v>
      </c>
      <c r="D338" s="109">
        <v>5</v>
      </c>
      <c r="E338" s="109">
        <v>4</v>
      </c>
      <c r="F338" s="109">
        <v>0.64300000000000002</v>
      </c>
      <c r="G338" s="109">
        <v>0.97718968113956195</v>
      </c>
      <c r="H338" s="110">
        <v>41675.480023148149</v>
      </c>
      <c r="I338" s="111" t="s">
        <v>304</v>
      </c>
      <c r="J338" s="106">
        <f t="shared" si="26"/>
        <v>0</v>
      </c>
    </row>
    <row r="339" spans="1:10" customFormat="1" x14ac:dyDescent="0.3">
      <c r="A339" s="105" t="str">
        <f t="shared" si="27"/>
        <v>f56t1</v>
      </c>
      <c r="B339" s="109">
        <v>191</v>
      </c>
      <c r="C339" s="109">
        <v>56</v>
      </c>
      <c r="D339" s="109">
        <v>2</v>
      </c>
      <c r="E339" s="109">
        <v>1</v>
      </c>
      <c r="F339" s="109">
        <v>6.8719999999999999</v>
      </c>
      <c r="G339" s="109">
        <v>1.0842738093573101</v>
      </c>
      <c r="H339" s="110">
        <v>41675.480023148149</v>
      </c>
      <c r="I339" s="111" t="s">
        <v>304</v>
      </c>
      <c r="J339" s="106">
        <f t="shared" si="26"/>
        <v>0</v>
      </c>
    </row>
    <row r="340" spans="1:10" customFormat="1" x14ac:dyDescent="0.3">
      <c r="A340" s="105" t="str">
        <f t="shared" si="27"/>
        <v>f56t3</v>
      </c>
      <c r="B340" s="109">
        <v>191</v>
      </c>
      <c r="C340" s="109">
        <v>56</v>
      </c>
      <c r="D340" s="109">
        <v>2</v>
      </c>
      <c r="E340" s="109">
        <v>3</v>
      </c>
      <c r="F340" s="109">
        <v>1.1739999999999999</v>
      </c>
      <c r="G340" s="109">
        <v>0.695573087809914</v>
      </c>
      <c r="H340" s="110">
        <v>41675.480023148149</v>
      </c>
      <c r="I340" s="111" t="s">
        <v>304</v>
      </c>
      <c r="J340" s="106">
        <f t="shared" si="26"/>
        <v>0</v>
      </c>
    </row>
    <row r="341" spans="1:10" customFormat="1" x14ac:dyDescent="0.3">
      <c r="A341" s="105" t="str">
        <f t="shared" si="27"/>
        <v>f56t4</v>
      </c>
      <c r="B341" s="109">
        <v>191</v>
      </c>
      <c r="C341" s="109">
        <v>56</v>
      </c>
      <c r="D341" s="109">
        <v>2</v>
      </c>
      <c r="E341" s="109">
        <v>4</v>
      </c>
      <c r="F341" s="109">
        <v>6.8719999999999999</v>
      </c>
      <c r="G341" s="109">
        <v>1.08414152017744</v>
      </c>
      <c r="H341" s="110">
        <v>41675.480023148149</v>
      </c>
      <c r="I341" s="111" t="s">
        <v>304</v>
      </c>
      <c r="J341" s="106">
        <f t="shared" si="26"/>
        <v>0</v>
      </c>
    </row>
    <row r="342" spans="1:10" customFormat="1" x14ac:dyDescent="0.3">
      <c r="A342" s="105" t="str">
        <f t="shared" si="27"/>
        <v>f56t1</v>
      </c>
      <c r="B342" s="109">
        <v>191</v>
      </c>
      <c r="C342" s="109">
        <v>56</v>
      </c>
      <c r="D342" s="109">
        <v>3</v>
      </c>
      <c r="E342" s="109">
        <v>1</v>
      </c>
      <c r="F342" s="109">
        <v>6.8719999999999999</v>
      </c>
      <c r="G342" s="109">
        <v>1.0842738093573101</v>
      </c>
      <c r="H342" s="110">
        <v>41675.480023148149</v>
      </c>
      <c r="I342" s="111" t="s">
        <v>304</v>
      </c>
      <c r="J342" s="106">
        <f t="shared" si="26"/>
        <v>0</v>
      </c>
    </row>
    <row r="343" spans="1:10" customFormat="1" x14ac:dyDescent="0.3">
      <c r="A343" s="105" t="str">
        <f t="shared" si="27"/>
        <v>f56t3</v>
      </c>
      <c r="B343" s="109">
        <v>191</v>
      </c>
      <c r="C343" s="109">
        <v>56</v>
      </c>
      <c r="D343" s="109">
        <v>3</v>
      </c>
      <c r="E343" s="109">
        <v>3</v>
      </c>
      <c r="F343" s="109">
        <v>1.1739999999999999</v>
      </c>
      <c r="G343" s="109">
        <v>0.695573087809914</v>
      </c>
      <c r="H343" s="110">
        <v>41675.480023148149</v>
      </c>
      <c r="I343" s="111" t="s">
        <v>304</v>
      </c>
      <c r="J343" s="106">
        <f t="shared" si="26"/>
        <v>0</v>
      </c>
    </row>
    <row r="344" spans="1:10" customFormat="1" x14ac:dyDescent="0.3">
      <c r="A344" s="105" t="str">
        <f t="shared" si="27"/>
        <v>f56t4</v>
      </c>
      <c r="B344" s="109">
        <v>191</v>
      </c>
      <c r="C344" s="109">
        <v>56</v>
      </c>
      <c r="D344" s="109">
        <v>3</v>
      </c>
      <c r="E344" s="109">
        <v>4</v>
      </c>
      <c r="F344" s="109">
        <v>6.8719999999999999</v>
      </c>
      <c r="G344" s="109">
        <v>1.08414152017744</v>
      </c>
      <c r="H344" s="110">
        <v>41675.480023148149</v>
      </c>
      <c r="I344" s="111" t="s">
        <v>304</v>
      </c>
      <c r="J344" s="106">
        <f t="shared" si="26"/>
        <v>0</v>
      </c>
    </row>
    <row r="345" spans="1:10" customFormat="1" x14ac:dyDescent="0.3">
      <c r="A345" s="105" t="str">
        <f t="shared" si="27"/>
        <v>f56t1</v>
      </c>
      <c r="B345" s="109">
        <v>191</v>
      </c>
      <c r="C345" s="109">
        <v>56</v>
      </c>
      <c r="D345" s="109">
        <v>4</v>
      </c>
      <c r="E345" s="109">
        <v>1</v>
      </c>
      <c r="F345" s="109">
        <v>6.8719999999999999</v>
      </c>
      <c r="G345" s="109">
        <v>1.0842738093573101</v>
      </c>
      <c r="H345" s="110">
        <v>41675.480023148149</v>
      </c>
      <c r="I345" s="111" t="s">
        <v>304</v>
      </c>
      <c r="J345" s="106">
        <f t="shared" si="26"/>
        <v>0</v>
      </c>
    </row>
    <row r="346" spans="1:10" customFormat="1" x14ac:dyDescent="0.3">
      <c r="A346" s="105" t="str">
        <f t="shared" si="27"/>
        <v>f56t3</v>
      </c>
      <c r="B346" s="109">
        <v>191</v>
      </c>
      <c r="C346" s="109">
        <v>56</v>
      </c>
      <c r="D346" s="109">
        <v>4</v>
      </c>
      <c r="E346" s="109">
        <v>3</v>
      </c>
      <c r="F346" s="109">
        <v>1.1739999999999999</v>
      </c>
      <c r="G346" s="109">
        <v>0.695573087809914</v>
      </c>
      <c r="H346" s="110">
        <v>41675.480023148149</v>
      </c>
      <c r="I346" s="111" t="s">
        <v>304</v>
      </c>
      <c r="J346" s="106">
        <f t="shared" si="26"/>
        <v>0</v>
      </c>
    </row>
    <row r="347" spans="1:10" customFormat="1" x14ac:dyDescent="0.3">
      <c r="A347" s="105" t="str">
        <f t="shared" si="27"/>
        <v>f56t4</v>
      </c>
      <c r="B347" s="109">
        <v>191</v>
      </c>
      <c r="C347" s="109">
        <v>56</v>
      </c>
      <c r="D347" s="109">
        <v>4</v>
      </c>
      <c r="E347" s="109">
        <v>4</v>
      </c>
      <c r="F347" s="109">
        <v>6.8719999999999999</v>
      </c>
      <c r="G347" s="109">
        <v>1.08414152017744</v>
      </c>
      <c r="H347" s="110">
        <v>41675.480023148149</v>
      </c>
      <c r="I347" s="111" t="s">
        <v>304</v>
      </c>
      <c r="J347" s="106">
        <f t="shared" si="26"/>
        <v>0</v>
      </c>
    </row>
    <row r="348" spans="1:10" customFormat="1" x14ac:dyDescent="0.3">
      <c r="A348" s="105" t="str">
        <f t="shared" si="27"/>
        <v>f56t1</v>
      </c>
      <c r="B348" s="109">
        <v>191</v>
      </c>
      <c r="C348" s="109">
        <v>56</v>
      </c>
      <c r="D348" s="109">
        <v>5</v>
      </c>
      <c r="E348" s="109">
        <v>1</v>
      </c>
      <c r="F348" s="109">
        <v>6.8719999999999999</v>
      </c>
      <c r="G348" s="109">
        <v>1.0842738093573101</v>
      </c>
      <c r="H348" s="110">
        <v>41675.480023148149</v>
      </c>
      <c r="I348" s="111" t="s">
        <v>304</v>
      </c>
      <c r="J348" s="106">
        <f t="shared" si="26"/>
        <v>0</v>
      </c>
    </row>
    <row r="349" spans="1:10" customFormat="1" x14ac:dyDescent="0.3">
      <c r="A349" s="105" t="str">
        <f t="shared" si="27"/>
        <v>f56t3</v>
      </c>
      <c r="B349" s="109">
        <v>191</v>
      </c>
      <c r="C349" s="109">
        <v>56</v>
      </c>
      <c r="D349" s="109">
        <v>5</v>
      </c>
      <c r="E349" s="109">
        <v>3</v>
      </c>
      <c r="F349" s="109">
        <v>1.1739999999999999</v>
      </c>
      <c r="G349" s="109">
        <v>0.695573087809914</v>
      </c>
      <c r="H349" s="110">
        <v>41675.480023148149</v>
      </c>
      <c r="I349" s="111" t="s">
        <v>304</v>
      </c>
      <c r="J349" s="106">
        <f t="shared" si="26"/>
        <v>0</v>
      </c>
    </row>
    <row r="350" spans="1:10" customFormat="1" x14ac:dyDescent="0.3">
      <c r="A350" s="105" t="str">
        <f t="shared" si="27"/>
        <v>f56t4</v>
      </c>
      <c r="B350" s="109">
        <v>191</v>
      </c>
      <c r="C350" s="109">
        <v>56</v>
      </c>
      <c r="D350" s="109">
        <v>5</v>
      </c>
      <c r="E350" s="109">
        <v>4</v>
      </c>
      <c r="F350" s="109">
        <v>6.8719999999999999</v>
      </c>
      <c r="G350" s="109">
        <v>1.08414152017744</v>
      </c>
      <c r="H350" s="110">
        <v>41675.480023148149</v>
      </c>
      <c r="I350" s="111" t="s">
        <v>304</v>
      </c>
      <c r="J350" s="106">
        <f t="shared" si="26"/>
        <v>0</v>
      </c>
    </row>
    <row r="351" spans="1:10" customFormat="1" x14ac:dyDescent="0.3">
      <c r="A351" s="105" t="str">
        <f t="shared" si="27"/>
        <v>f57t1</v>
      </c>
      <c r="B351" s="109">
        <v>191</v>
      </c>
      <c r="C351" s="109">
        <v>57</v>
      </c>
      <c r="D351" s="109">
        <v>2</v>
      </c>
      <c r="E351" s="109">
        <v>1</v>
      </c>
      <c r="F351" s="109">
        <v>1.81</v>
      </c>
      <c r="G351" s="109">
        <v>0.26562958523243402</v>
      </c>
      <c r="H351" s="110">
        <v>41675.480023148149</v>
      </c>
      <c r="I351" s="111" t="s">
        <v>304</v>
      </c>
      <c r="J351" s="106">
        <f t="shared" si="26"/>
        <v>0</v>
      </c>
    </row>
    <row r="352" spans="1:10" customFormat="1" x14ac:dyDescent="0.3">
      <c r="A352" s="105" t="str">
        <f t="shared" si="27"/>
        <v>f57t2</v>
      </c>
      <c r="B352" s="109">
        <v>191</v>
      </c>
      <c r="C352" s="109">
        <v>57</v>
      </c>
      <c r="D352" s="109">
        <v>2</v>
      </c>
      <c r="E352" s="109">
        <v>2</v>
      </c>
      <c r="F352" s="109">
        <v>0.64</v>
      </c>
      <c r="G352" s="109">
        <v>1.3256371282883299</v>
      </c>
      <c r="H352" s="110">
        <v>41675.480023148149</v>
      </c>
      <c r="I352" s="111" t="s">
        <v>304</v>
      </c>
      <c r="J352" s="106">
        <f t="shared" si="26"/>
        <v>0</v>
      </c>
    </row>
    <row r="353" spans="1:10" customFormat="1" x14ac:dyDescent="0.3">
      <c r="A353" s="105" t="str">
        <f t="shared" si="27"/>
        <v>f57t3</v>
      </c>
      <c r="B353" s="109">
        <v>191</v>
      </c>
      <c r="C353" s="109">
        <v>57</v>
      </c>
      <c r="D353" s="109">
        <v>2</v>
      </c>
      <c r="E353" s="109">
        <v>3</v>
      </c>
      <c r="F353" s="109">
        <v>0.64</v>
      </c>
      <c r="G353" s="109">
        <v>1.3245726935539801</v>
      </c>
      <c r="H353" s="110">
        <v>41675.480023148149</v>
      </c>
      <c r="I353" s="111" t="s">
        <v>304</v>
      </c>
      <c r="J353" s="106">
        <f t="shared" si="26"/>
        <v>0</v>
      </c>
    </row>
    <row r="354" spans="1:10" customFormat="1" x14ac:dyDescent="0.3">
      <c r="A354" s="105" t="str">
        <f t="shared" si="27"/>
        <v>f57t4</v>
      </c>
      <c r="B354" s="109">
        <v>191</v>
      </c>
      <c r="C354" s="109">
        <v>57</v>
      </c>
      <c r="D354" s="109">
        <v>2</v>
      </c>
      <c r="E354" s="109">
        <v>4</v>
      </c>
      <c r="F354" s="109">
        <v>1.81</v>
      </c>
      <c r="G354" s="109">
        <v>0.26621788081182501</v>
      </c>
      <c r="H354" s="110">
        <v>41675.480023148149</v>
      </c>
      <c r="I354" s="111" t="s">
        <v>304</v>
      </c>
      <c r="J354" s="106">
        <f t="shared" si="26"/>
        <v>0</v>
      </c>
    </row>
    <row r="355" spans="1:10" customFormat="1" x14ac:dyDescent="0.3">
      <c r="A355" s="105" t="str">
        <f t="shared" si="27"/>
        <v>f57t1</v>
      </c>
      <c r="B355" s="109">
        <v>191</v>
      </c>
      <c r="C355" s="109">
        <v>57</v>
      </c>
      <c r="D355" s="109">
        <v>3</v>
      </c>
      <c r="E355" s="109">
        <v>1</v>
      </c>
      <c r="F355" s="109">
        <v>1.81</v>
      </c>
      <c r="G355" s="109">
        <v>0.26562958523243402</v>
      </c>
      <c r="H355" s="110">
        <v>41675.480023148149</v>
      </c>
      <c r="I355" s="111" t="s">
        <v>304</v>
      </c>
      <c r="J355" s="106">
        <f t="shared" si="26"/>
        <v>0</v>
      </c>
    </row>
    <row r="356" spans="1:10" customFormat="1" x14ac:dyDescent="0.3">
      <c r="A356" s="105" t="str">
        <f t="shared" si="27"/>
        <v>f57t2</v>
      </c>
      <c r="B356" s="109">
        <v>191</v>
      </c>
      <c r="C356" s="109">
        <v>57</v>
      </c>
      <c r="D356" s="109">
        <v>3</v>
      </c>
      <c r="E356" s="109">
        <v>2</v>
      </c>
      <c r="F356" s="109">
        <v>0.64</v>
      </c>
      <c r="G356" s="109">
        <v>1.3256371282883299</v>
      </c>
      <c r="H356" s="110">
        <v>41675.480023148149</v>
      </c>
      <c r="I356" s="111" t="s">
        <v>304</v>
      </c>
      <c r="J356" s="106">
        <f t="shared" si="26"/>
        <v>0</v>
      </c>
    </row>
    <row r="357" spans="1:10" customFormat="1" x14ac:dyDescent="0.3">
      <c r="A357" s="105" t="str">
        <f t="shared" si="27"/>
        <v>f57t3</v>
      </c>
      <c r="B357" s="109">
        <v>191</v>
      </c>
      <c r="C357" s="109">
        <v>57</v>
      </c>
      <c r="D357" s="109">
        <v>3</v>
      </c>
      <c r="E357" s="109">
        <v>3</v>
      </c>
      <c r="F357" s="109">
        <v>0.64</v>
      </c>
      <c r="G357" s="109">
        <v>1.3245726935539801</v>
      </c>
      <c r="H357" s="110">
        <v>41675.480023148149</v>
      </c>
      <c r="I357" s="111" t="s">
        <v>304</v>
      </c>
      <c r="J357" s="106">
        <f t="shared" ref="J357:J394" si="28">F357-VLOOKUP(A357,L$3:P$100,5,FALSE)</f>
        <v>0</v>
      </c>
    </row>
    <row r="358" spans="1:10" customFormat="1" x14ac:dyDescent="0.3">
      <c r="A358" s="105" t="str">
        <f t="shared" si="27"/>
        <v>f57t4</v>
      </c>
      <c r="B358" s="109">
        <v>191</v>
      </c>
      <c r="C358" s="109">
        <v>57</v>
      </c>
      <c r="D358" s="109">
        <v>3</v>
      </c>
      <c r="E358" s="109">
        <v>4</v>
      </c>
      <c r="F358" s="109">
        <v>1.81</v>
      </c>
      <c r="G358" s="109">
        <v>0.26621788081182501</v>
      </c>
      <c r="H358" s="110">
        <v>41675.480023148149</v>
      </c>
      <c r="I358" s="111" t="s">
        <v>304</v>
      </c>
      <c r="J358" s="106">
        <f t="shared" si="28"/>
        <v>0</v>
      </c>
    </row>
    <row r="359" spans="1:10" customFormat="1" x14ac:dyDescent="0.3">
      <c r="A359" s="105" t="str">
        <f t="shared" si="27"/>
        <v>f57t1</v>
      </c>
      <c r="B359" s="109">
        <v>191</v>
      </c>
      <c r="C359" s="109">
        <v>57</v>
      </c>
      <c r="D359" s="109">
        <v>4</v>
      </c>
      <c r="E359" s="109">
        <v>1</v>
      </c>
      <c r="F359" s="109">
        <v>1.81</v>
      </c>
      <c r="G359" s="109">
        <v>0.26562958523243402</v>
      </c>
      <c r="H359" s="110">
        <v>41675.480023148149</v>
      </c>
      <c r="I359" s="111" t="s">
        <v>304</v>
      </c>
      <c r="J359" s="106">
        <f t="shared" si="28"/>
        <v>0</v>
      </c>
    </row>
    <row r="360" spans="1:10" customFormat="1" x14ac:dyDescent="0.3">
      <c r="A360" s="105" t="str">
        <f t="shared" si="27"/>
        <v>f57t2</v>
      </c>
      <c r="B360" s="109">
        <v>191</v>
      </c>
      <c r="C360" s="109">
        <v>57</v>
      </c>
      <c r="D360" s="109">
        <v>4</v>
      </c>
      <c r="E360" s="109">
        <v>2</v>
      </c>
      <c r="F360" s="109">
        <v>0.64</v>
      </c>
      <c r="G360" s="109">
        <v>1.3256371282883299</v>
      </c>
      <c r="H360" s="110">
        <v>41675.480023148149</v>
      </c>
      <c r="I360" s="111" t="s">
        <v>304</v>
      </c>
      <c r="J360" s="106">
        <f t="shared" si="28"/>
        <v>0</v>
      </c>
    </row>
    <row r="361" spans="1:10" customFormat="1" x14ac:dyDescent="0.3">
      <c r="A361" s="105" t="str">
        <f t="shared" si="27"/>
        <v>f57t3</v>
      </c>
      <c r="B361" s="109">
        <v>191</v>
      </c>
      <c r="C361" s="109">
        <v>57</v>
      </c>
      <c r="D361" s="109">
        <v>4</v>
      </c>
      <c r="E361" s="109">
        <v>3</v>
      </c>
      <c r="F361" s="109">
        <v>0.64</v>
      </c>
      <c r="G361" s="109">
        <v>1.3245726935539801</v>
      </c>
      <c r="H361" s="110">
        <v>41675.480023148149</v>
      </c>
      <c r="I361" s="111" t="s">
        <v>304</v>
      </c>
      <c r="J361" s="106">
        <f t="shared" si="28"/>
        <v>0</v>
      </c>
    </row>
    <row r="362" spans="1:10" customFormat="1" x14ac:dyDescent="0.3">
      <c r="A362" s="105" t="str">
        <f t="shared" si="27"/>
        <v>f57t4</v>
      </c>
      <c r="B362" s="109">
        <v>191</v>
      </c>
      <c r="C362" s="109">
        <v>57</v>
      </c>
      <c r="D362" s="109">
        <v>4</v>
      </c>
      <c r="E362" s="109">
        <v>4</v>
      </c>
      <c r="F362" s="109">
        <v>1.81</v>
      </c>
      <c r="G362" s="109">
        <v>0.26621788081182501</v>
      </c>
      <c r="H362" s="110">
        <v>41675.480023148149</v>
      </c>
      <c r="I362" s="111" t="s">
        <v>304</v>
      </c>
      <c r="J362" s="106">
        <f t="shared" si="28"/>
        <v>0</v>
      </c>
    </row>
    <row r="363" spans="1:10" customFormat="1" x14ac:dyDescent="0.3">
      <c r="A363" s="105" t="str">
        <f t="shared" si="27"/>
        <v>f57t1</v>
      </c>
      <c r="B363" s="109">
        <v>191</v>
      </c>
      <c r="C363" s="109">
        <v>57</v>
      </c>
      <c r="D363" s="109">
        <v>5</v>
      </c>
      <c r="E363" s="109">
        <v>1</v>
      </c>
      <c r="F363" s="109">
        <v>1.81</v>
      </c>
      <c r="G363" s="109">
        <v>0.26562958523243402</v>
      </c>
      <c r="H363" s="110">
        <v>41675.480023148149</v>
      </c>
      <c r="I363" s="111" t="s">
        <v>304</v>
      </c>
      <c r="J363" s="106">
        <f t="shared" si="28"/>
        <v>0</v>
      </c>
    </row>
    <row r="364" spans="1:10" customFormat="1" x14ac:dyDescent="0.3">
      <c r="A364" s="105" t="str">
        <f t="shared" si="27"/>
        <v>f57t2</v>
      </c>
      <c r="B364" s="109">
        <v>191</v>
      </c>
      <c r="C364" s="109">
        <v>57</v>
      </c>
      <c r="D364" s="109">
        <v>5</v>
      </c>
      <c r="E364" s="109">
        <v>2</v>
      </c>
      <c r="F364" s="109">
        <v>0.64</v>
      </c>
      <c r="G364" s="109">
        <v>1.3256371282883299</v>
      </c>
      <c r="H364" s="110">
        <v>41675.480023148149</v>
      </c>
      <c r="I364" s="111" t="s">
        <v>304</v>
      </c>
      <c r="J364" s="106">
        <f t="shared" si="28"/>
        <v>0</v>
      </c>
    </row>
    <row r="365" spans="1:10" customFormat="1" x14ac:dyDescent="0.3">
      <c r="A365" s="105" t="str">
        <f t="shared" si="27"/>
        <v>f57t3</v>
      </c>
      <c r="B365" s="109">
        <v>191</v>
      </c>
      <c r="C365" s="109">
        <v>57</v>
      </c>
      <c r="D365" s="109">
        <v>5</v>
      </c>
      <c r="E365" s="109">
        <v>3</v>
      </c>
      <c r="F365" s="109">
        <v>0.64</v>
      </c>
      <c r="G365" s="109">
        <v>1.3245726935539801</v>
      </c>
      <c r="H365" s="110">
        <v>41675.480023148149</v>
      </c>
      <c r="I365" s="111" t="s">
        <v>304</v>
      </c>
      <c r="J365" s="106">
        <f t="shared" si="28"/>
        <v>0</v>
      </c>
    </row>
    <row r="366" spans="1:10" customFormat="1" x14ac:dyDescent="0.3">
      <c r="A366" s="105" t="str">
        <f t="shared" si="27"/>
        <v>f57t4</v>
      </c>
      <c r="B366" s="109">
        <v>191</v>
      </c>
      <c r="C366" s="109">
        <v>57</v>
      </c>
      <c r="D366" s="109">
        <v>5</v>
      </c>
      <c r="E366" s="109">
        <v>4</v>
      </c>
      <c r="F366" s="109">
        <v>1.81</v>
      </c>
      <c r="G366" s="109">
        <v>0.26621788081182501</v>
      </c>
      <c r="H366" s="110">
        <v>41675.480023148149</v>
      </c>
      <c r="I366" s="111" t="s">
        <v>304</v>
      </c>
      <c r="J366" s="106">
        <f t="shared" si="28"/>
        <v>0</v>
      </c>
    </row>
    <row r="367" spans="1:10" customFormat="1" x14ac:dyDescent="0.3">
      <c r="A367" s="105" t="str">
        <f t="shared" si="27"/>
        <v>f64t1</v>
      </c>
      <c r="B367" s="109">
        <v>191</v>
      </c>
      <c r="C367" s="109">
        <v>64</v>
      </c>
      <c r="D367" s="109">
        <v>2</v>
      </c>
      <c r="E367" s="109">
        <v>1</v>
      </c>
      <c r="F367" s="109">
        <v>3.226</v>
      </c>
      <c r="G367" s="109">
        <v>0.91439908036506501</v>
      </c>
      <c r="H367" s="110">
        <v>41675.480023148149</v>
      </c>
      <c r="I367" s="111" t="s">
        <v>304</v>
      </c>
      <c r="J367" s="106">
        <f t="shared" si="28"/>
        <v>0</v>
      </c>
    </row>
    <row r="368" spans="1:10" customFormat="1" x14ac:dyDescent="0.3">
      <c r="A368" s="105" t="str">
        <f t="shared" si="27"/>
        <v>f64t3</v>
      </c>
      <c r="B368" s="109">
        <v>191</v>
      </c>
      <c r="C368" s="109">
        <v>64</v>
      </c>
      <c r="D368" s="109">
        <v>2</v>
      </c>
      <c r="E368" s="109">
        <v>3</v>
      </c>
      <c r="F368" s="109">
        <v>1.87</v>
      </c>
      <c r="G368" s="109">
        <v>1.0107504292755101</v>
      </c>
      <c r="H368" s="110">
        <v>41675.480023148149</v>
      </c>
      <c r="I368" s="111" t="s">
        <v>304</v>
      </c>
      <c r="J368" s="106">
        <f t="shared" si="28"/>
        <v>0</v>
      </c>
    </row>
    <row r="369" spans="1:10" customFormat="1" x14ac:dyDescent="0.3">
      <c r="A369" s="105" t="str">
        <f t="shared" si="27"/>
        <v>f64t4</v>
      </c>
      <c r="B369" s="109">
        <v>191</v>
      </c>
      <c r="C369" s="109">
        <v>64</v>
      </c>
      <c r="D369" s="109">
        <v>2</v>
      </c>
      <c r="E369" s="109">
        <v>4</v>
      </c>
      <c r="F369" s="109">
        <v>3.226</v>
      </c>
      <c r="G369" s="109">
        <v>0.91557203184431002</v>
      </c>
      <c r="H369" s="110">
        <v>41675.480023148149</v>
      </c>
      <c r="I369" s="111" t="s">
        <v>304</v>
      </c>
      <c r="J369" s="106">
        <f t="shared" si="28"/>
        <v>0</v>
      </c>
    </row>
    <row r="370" spans="1:10" customFormat="1" x14ac:dyDescent="0.3">
      <c r="A370" s="105" t="str">
        <f t="shared" si="27"/>
        <v>f64t1</v>
      </c>
      <c r="B370" s="109">
        <v>191</v>
      </c>
      <c r="C370" s="109">
        <v>64</v>
      </c>
      <c r="D370" s="109">
        <v>3</v>
      </c>
      <c r="E370" s="109">
        <v>1</v>
      </c>
      <c r="F370" s="109">
        <v>3.226</v>
      </c>
      <c r="G370" s="109">
        <v>0.91439908036506501</v>
      </c>
      <c r="H370" s="110">
        <v>41675.480023148149</v>
      </c>
      <c r="I370" s="111" t="s">
        <v>304</v>
      </c>
      <c r="J370" s="106">
        <f t="shared" si="28"/>
        <v>0</v>
      </c>
    </row>
    <row r="371" spans="1:10" customFormat="1" x14ac:dyDescent="0.3">
      <c r="A371" s="105" t="str">
        <f t="shared" si="27"/>
        <v>f64t3</v>
      </c>
      <c r="B371" s="109">
        <v>191</v>
      </c>
      <c r="C371" s="109">
        <v>64</v>
      </c>
      <c r="D371" s="109">
        <v>3</v>
      </c>
      <c r="E371" s="109">
        <v>3</v>
      </c>
      <c r="F371" s="109">
        <v>1.87</v>
      </c>
      <c r="G371" s="109">
        <v>1.0107504292755101</v>
      </c>
      <c r="H371" s="110">
        <v>41675.480023148149</v>
      </c>
      <c r="I371" s="111" t="s">
        <v>304</v>
      </c>
      <c r="J371" s="106">
        <f t="shared" si="28"/>
        <v>0</v>
      </c>
    </row>
    <row r="372" spans="1:10" customFormat="1" x14ac:dyDescent="0.3">
      <c r="A372" s="105" t="str">
        <f t="shared" si="27"/>
        <v>f64t4</v>
      </c>
      <c r="B372" s="109">
        <v>191</v>
      </c>
      <c r="C372" s="109">
        <v>64</v>
      </c>
      <c r="D372" s="109">
        <v>3</v>
      </c>
      <c r="E372" s="109">
        <v>4</v>
      </c>
      <c r="F372" s="109">
        <v>3.226</v>
      </c>
      <c r="G372" s="109">
        <v>0.91557203184431002</v>
      </c>
      <c r="H372" s="110">
        <v>41675.480023148149</v>
      </c>
      <c r="I372" s="111" t="s">
        <v>304</v>
      </c>
      <c r="J372" s="106">
        <f t="shared" si="28"/>
        <v>0</v>
      </c>
    </row>
    <row r="373" spans="1:10" customFormat="1" x14ac:dyDescent="0.3">
      <c r="A373" s="105" t="str">
        <f t="shared" si="27"/>
        <v>f64t1</v>
      </c>
      <c r="B373" s="109">
        <v>191</v>
      </c>
      <c r="C373" s="109">
        <v>64</v>
      </c>
      <c r="D373" s="109">
        <v>4</v>
      </c>
      <c r="E373" s="109">
        <v>1</v>
      </c>
      <c r="F373" s="109">
        <v>3.226</v>
      </c>
      <c r="G373" s="109">
        <v>0.91439908036506501</v>
      </c>
      <c r="H373" s="110">
        <v>41675.480023148149</v>
      </c>
      <c r="I373" s="111" t="s">
        <v>304</v>
      </c>
      <c r="J373" s="106">
        <f t="shared" si="28"/>
        <v>0</v>
      </c>
    </row>
    <row r="374" spans="1:10" customFormat="1" x14ac:dyDescent="0.3">
      <c r="A374" s="105" t="str">
        <f t="shared" si="27"/>
        <v>f64t3</v>
      </c>
      <c r="B374" s="109">
        <v>191</v>
      </c>
      <c r="C374" s="109">
        <v>64</v>
      </c>
      <c r="D374" s="109">
        <v>4</v>
      </c>
      <c r="E374" s="109">
        <v>3</v>
      </c>
      <c r="F374" s="109">
        <v>1.87</v>
      </c>
      <c r="G374" s="109">
        <v>1.0107504292755101</v>
      </c>
      <c r="H374" s="110">
        <v>41675.480023148149</v>
      </c>
      <c r="I374" s="111" t="s">
        <v>304</v>
      </c>
      <c r="J374" s="106">
        <f t="shared" si="28"/>
        <v>0</v>
      </c>
    </row>
    <row r="375" spans="1:10" customFormat="1" x14ac:dyDescent="0.3">
      <c r="A375" s="105" t="str">
        <f t="shared" si="27"/>
        <v>f64t4</v>
      </c>
      <c r="B375" s="109">
        <v>191</v>
      </c>
      <c r="C375" s="109">
        <v>64</v>
      </c>
      <c r="D375" s="109">
        <v>4</v>
      </c>
      <c r="E375" s="109">
        <v>4</v>
      </c>
      <c r="F375" s="109">
        <v>3.226</v>
      </c>
      <c r="G375" s="109">
        <v>0.91557203184431002</v>
      </c>
      <c r="H375" s="110">
        <v>41675.480023148149</v>
      </c>
      <c r="I375" s="111" t="s">
        <v>304</v>
      </c>
      <c r="J375" s="106">
        <f t="shared" si="28"/>
        <v>0</v>
      </c>
    </row>
    <row r="376" spans="1:10" customFormat="1" x14ac:dyDescent="0.3">
      <c r="A376" s="105" t="str">
        <f t="shared" si="27"/>
        <v>f64t1</v>
      </c>
      <c r="B376" s="109">
        <v>191</v>
      </c>
      <c r="C376" s="109">
        <v>64</v>
      </c>
      <c r="D376" s="109">
        <v>5</v>
      </c>
      <c r="E376" s="109">
        <v>1</v>
      </c>
      <c r="F376" s="109">
        <v>3.226</v>
      </c>
      <c r="G376" s="109">
        <v>0.91439908036506501</v>
      </c>
      <c r="H376" s="110">
        <v>41675.480023148149</v>
      </c>
      <c r="I376" s="111" t="s">
        <v>304</v>
      </c>
      <c r="J376" s="106">
        <f t="shared" si="28"/>
        <v>0</v>
      </c>
    </row>
    <row r="377" spans="1:10" customFormat="1" x14ac:dyDescent="0.3">
      <c r="A377" s="105" t="str">
        <f t="shared" si="27"/>
        <v>f64t3</v>
      </c>
      <c r="B377" s="109">
        <v>191</v>
      </c>
      <c r="C377" s="109">
        <v>64</v>
      </c>
      <c r="D377" s="109">
        <v>5</v>
      </c>
      <c r="E377" s="109">
        <v>3</v>
      </c>
      <c r="F377" s="109">
        <v>1.87</v>
      </c>
      <c r="G377" s="109">
        <v>1.0107504292755101</v>
      </c>
      <c r="H377" s="110">
        <v>41675.480023148149</v>
      </c>
      <c r="I377" s="111" t="s">
        <v>304</v>
      </c>
      <c r="J377" s="106">
        <f t="shared" si="28"/>
        <v>0</v>
      </c>
    </row>
    <row r="378" spans="1:10" customFormat="1" x14ac:dyDescent="0.3">
      <c r="A378" s="105" t="str">
        <f t="shared" si="27"/>
        <v>f64t4</v>
      </c>
      <c r="B378" s="109">
        <v>191</v>
      </c>
      <c r="C378" s="109">
        <v>64</v>
      </c>
      <c r="D378" s="109">
        <v>5</v>
      </c>
      <c r="E378" s="109">
        <v>4</v>
      </c>
      <c r="F378" s="109">
        <v>3.226</v>
      </c>
      <c r="G378" s="109">
        <v>0.91557203184431002</v>
      </c>
      <c r="H378" s="110">
        <v>41675.480023148149</v>
      </c>
      <c r="I378" s="111" t="s">
        <v>304</v>
      </c>
      <c r="J378" s="106">
        <f t="shared" si="28"/>
        <v>0</v>
      </c>
    </row>
    <row r="379" spans="1:10" customFormat="1" x14ac:dyDescent="0.3">
      <c r="A379" s="105" t="str">
        <f t="shared" si="27"/>
        <v>f67t1</v>
      </c>
      <c r="B379" s="109">
        <v>191</v>
      </c>
      <c r="C379" s="109">
        <v>67</v>
      </c>
      <c r="D379" s="109">
        <v>2</v>
      </c>
      <c r="E379" s="109">
        <v>1</v>
      </c>
      <c r="F379" s="109">
        <v>9.3699999999999992</v>
      </c>
      <c r="G379" s="109">
        <v>1.0599547488583401</v>
      </c>
      <c r="H379" s="110">
        <v>41675.480023148149</v>
      </c>
      <c r="I379" s="111" t="s">
        <v>304</v>
      </c>
      <c r="J379" s="106">
        <f t="shared" si="28"/>
        <v>0</v>
      </c>
    </row>
    <row r="380" spans="1:10" customFormat="1" x14ac:dyDescent="0.3">
      <c r="A380" s="105" t="str">
        <f t="shared" si="27"/>
        <v>f67t2</v>
      </c>
      <c r="B380" s="109">
        <v>191</v>
      </c>
      <c r="C380" s="109">
        <v>67</v>
      </c>
      <c r="D380" s="109">
        <v>2</v>
      </c>
      <c r="E380" s="109">
        <v>2</v>
      </c>
      <c r="F380" s="109">
        <v>1.47</v>
      </c>
      <c r="G380" s="109">
        <v>1.0178193931371899</v>
      </c>
      <c r="H380" s="110">
        <v>41675.480023148149</v>
      </c>
      <c r="I380" s="111" t="s">
        <v>304</v>
      </c>
      <c r="J380" s="106">
        <f t="shared" si="28"/>
        <v>0</v>
      </c>
    </row>
    <row r="381" spans="1:10" customFormat="1" x14ac:dyDescent="0.3">
      <c r="A381" s="105" t="str">
        <f t="shared" si="27"/>
        <v>f67t3</v>
      </c>
      <c r="B381" s="109">
        <v>191</v>
      </c>
      <c r="C381" s="109">
        <v>67</v>
      </c>
      <c r="D381" s="109">
        <v>2</v>
      </c>
      <c r="E381" s="109">
        <v>3</v>
      </c>
      <c r="F381" s="109">
        <v>1.47</v>
      </c>
      <c r="G381" s="109">
        <v>1.0165595057705099</v>
      </c>
      <c r="H381" s="110">
        <v>41675.480023148149</v>
      </c>
      <c r="I381" s="111" t="s">
        <v>304</v>
      </c>
      <c r="J381" s="106">
        <f t="shared" si="28"/>
        <v>0</v>
      </c>
    </row>
    <row r="382" spans="1:10" customFormat="1" x14ac:dyDescent="0.3">
      <c r="A382" s="105" t="str">
        <f t="shared" si="27"/>
        <v>f67t4</v>
      </c>
      <c r="B382" s="109">
        <v>191</v>
      </c>
      <c r="C382" s="109">
        <v>67</v>
      </c>
      <c r="D382" s="109">
        <v>2</v>
      </c>
      <c r="E382" s="109">
        <v>4</v>
      </c>
      <c r="F382" s="109">
        <v>9.3699999999999992</v>
      </c>
      <c r="G382" s="109">
        <v>1.06009050956212</v>
      </c>
      <c r="H382" s="110">
        <v>41675.480023148149</v>
      </c>
      <c r="I382" s="111" t="s">
        <v>304</v>
      </c>
      <c r="J382" s="106">
        <f t="shared" si="28"/>
        <v>0</v>
      </c>
    </row>
    <row r="383" spans="1:10" customFormat="1" x14ac:dyDescent="0.3">
      <c r="A383" s="105" t="str">
        <f t="shared" si="27"/>
        <v>f67t1</v>
      </c>
      <c r="B383" s="109">
        <v>191</v>
      </c>
      <c r="C383" s="109">
        <v>67</v>
      </c>
      <c r="D383" s="109">
        <v>3</v>
      </c>
      <c r="E383" s="109">
        <v>1</v>
      </c>
      <c r="F383" s="109">
        <v>9.3699999999999992</v>
      </c>
      <c r="G383" s="109">
        <v>1.0599547488583401</v>
      </c>
      <c r="H383" s="110">
        <v>41675.480023148149</v>
      </c>
      <c r="I383" s="111" t="s">
        <v>304</v>
      </c>
      <c r="J383" s="106">
        <f t="shared" si="28"/>
        <v>0</v>
      </c>
    </row>
    <row r="384" spans="1:10" customFormat="1" x14ac:dyDescent="0.3">
      <c r="A384" s="105" t="str">
        <f t="shared" si="27"/>
        <v>f67t2</v>
      </c>
      <c r="B384" s="109">
        <v>191</v>
      </c>
      <c r="C384" s="109">
        <v>67</v>
      </c>
      <c r="D384" s="109">
        <v>3</v>
      </c>
      <c r="E384" s="109">
        <v>2</v>
      </c>
      <c r="F384" s="109">
        <v>1.47</v>
      </c>
      <c r="G384" s="109">
        <v>1.0178193931371899</v>
      </c>
      <c r="H384" s="110">
        <v>41675.480023148149</v>
      </c>
      <c r="I384" s="111" t="s">
        <v>304</v>
      </c>
      <c r="J384" s="106">
        <f t="shared" si="28"/>
        <v>0</v>
      </c>
    </row>
    <row r="385" spans="1:10" customFormat="1" x14ac:dyDescent="0.3">
      <c r="A385" s="105" t="str">
        <f t="shared" si="27"/>
        <v>f67t3</v>
      </c>
      <c r="B385" s="109">
        <v>191</v>
      </c>
      <c r="C385" s="109">
        <v>67</v>
      </c>
      <c r="D385" s="109">
        <v>3</v>
      </c>
      <c r="E385" s="109">
        <v>3</v>
      </c>
      <c r="F385" s="109">
        <v>1.47</v>
      </c>
      <c r="G385" s="109">
        <v>1.0165595057705099</v>
      </c>
      <c r="H385" s="110">
        <v>41675.480023148149</v>
      </c>
      <c r="I385" s="111" t="s">
        <v>304</v>
      </c>
      <c r="J385" s="106">
        <f t="shared" si="28"/>
        <v>0</v>
      </c>
    </row>
    <row r="386" spans="1:10" customFormat="1" x14ac:dyDescent="0.3">
      <c r="A386" s="105" t="str">
        <f t="shared" si="27"/>
        <v>f67t4</v>
      </c>
      <c r="B386" s="109">
        <v>191</v>
      </c>
      <c r="C386" s="109">
        <v>67</v>
      </c>
      <c r="D386" s="109">
        <v>3</v>
      </c>
      <c r="E386" s="109">
        <v>4</v>
      </c>
      <c r="F386" s="109">
        <v>9.3699999999999992</v>
      </c>
      <c r="G386" s="109">
        <v>1.06009050956212</v>
      </c>
      <c r="H386" s="110">
        <v>41675.480023148149</v>
      </c>
      <c r="I386" s="111" t="s">
        <v>304</v>
      </c>
      <c r="J386" s="106">
        <f t="shared" si="28"/>
        <v>0</v>
      </c>
    </row>
    <row r="387" spans="1:10" customFormat="1" x14ac:dyDescent="0.3">
      <c r="A387" s="105" t="str">
        <f t="shared" si="27"/>
        <v>f67t1</v>
      </c>
      <c r="B387" s="109">
        <v>191</v>
      </c>
      <c r="C387" s="109">
        <v>67</v>
      </c>
      <c r="D387" s="109">
        <v>4</v>
      </c>
      <c r="E387" s="109">
        <v>1</v>
      </c>
      <c r="F387" s="109">
        <v>9.3699999999999992</v>
      </c>
      <c r="G387" s="109">
        <v>1.0599547488583401</v>
      </c>
      <c r="H387" s="110">
        <v>41675.480023148149</v>
      </c>
      <c r="I387" s="111" t="s">
        <v>304</v>
      </c>
      <c r="J387" s="106">
        <f t="shared" si="28"/>
        <v>0</v>
      </c>
    </row>
    <row r="388" spans="1:10" customFormat="1" x14ac:dyDescent="0.3">
      <c r="A388" s="105" t="str">
        <f t="shared" ref="A388:A394" si="29">"f"&amp;C388&amp;"t"&amp;E388</f>
        <v>f67t2</v>
      </c>
      <c r="B388" s="109">
        <v>191</v>
      </c>
      <c r="C388" s="109">
        <v>67</v>
      </c>
      <c r="D388" s="109">
        <v>4</v>
      </c>
      <c r="E388" s="109">
        <v>2</v>
      </c>
      <c r="F388" s="109">
        <v>1.47</v>
      </c>
      <c r="G388" s="109">
        <v>1.0178193931371899</v>
      </c>
      <c r="H388" s="110">
        <v>41675.480023148149</v>
      </c>
      <c r="I388" s="111" t="s">
        <v>304</v>
      </c>
      <c r="J388" s="106">
        <f t="shared" si="28"/>
        <v>0</v>
      </c>
    </row>
    <row r="389" spans="1:10" customFormat="1" x14ac:dyDescent="0.3">
      <c r="A389" s="105" t="str">
        <f t="shared" si="29"/>
        <v>f67t3</v>
      </c>
      <c r="B389" s="109">
        <v>191</v>
      </c>
      <c r="C389" s="109">
        <v>67</v>
      </c>
      <c r="D389" s="109">
        <v>4</v>
      </c>
      <c r="E389" s="109">
        <v>3</v>
      </c>
      <c r="F389" s="109">
        <v>1.47</v>
      </c>
      <c r="G389" s="109">
        <v>1.0165595057705099</v>
      </c>
      <c r="H389" s="110">
        <v>41675.480023148149</v>
      </c>
      <c r="I389" s="111" t="s">
        <v>304</v>
      </c>
      <c r="J389" s="106">
        <f t="shared" si="28"/>
        <v>0</v>
      </c>
    </row>
    <row r="390" spans="1:10" customFormat="1" x14ac:dyDescent="0.3">
      <c r="A390" s="105" t="str">
        <f t="shared" si="29"/>
        <v>f67t4</v>
      </c>
      <c r="B390" s="109">
        <v>191</v>
      </c>
      <c r="C390" s="109">
        <v>67</v>
      </c>
      <c r="D390" s="109">
        <v>4</v>
      </c>
      <c r="E390" s="109">
        <v>4</v>
      </c>
      <c r="F390" s="109">
        <v>9.3699999999999992</v>
      </c>
      <c r="G390" s="109">
        <v>1.06009050956212</v>
      </c>
      <c r="H390" s="110">
        <v>41675.480023148149</v>
      </c>
      <c r="I390" s="111" t="s">
        <v>304</v>
      </c>
      <c r="J390" s="106">
        <f t="shared" si="28"/>
        <v>0</v>
      </c>
    </row>
    <row r="391" spans="1:10" customFormat="1" x14ac:dyDescent="0.3">
      <c r="A391" s="105" t="str">
        <f t="shared" si="29"/>
        <v>f67t1</v>
      </c>
      <c r="B391" s="109">
        <v>191</v>
      </c>
      <c r="C391" s="109">
        <v>67</v>
      </c>
      <c r="D391" s="109">
        <v>5</v>
      </c>
      <c r="E391" s="109">
        <v>1</v>
      </c>
      <c r="F391" s="109">
        <v>9.3699999999999992</v>
      </c>
      <c r="G391" s="109">
        <v>1.0599547488583401</v>
      </c>
      <c r="H391" s="110">
        <v>41675.480023148149</v>
      </c>
      <c r="I391" s="111" t="s">
        <v>304</v>
      </c>
      <c r="J391" s="106">
        <f t="shared" si="28"/>
        <v>0</v>
      </c>
    </row>
    <row r="392" spans="1:10" customFormat="1" x14ac:dyDescent="0.3">
      <c r="A392" s="105" t="str">
        <f t="shared" si="29"/>
        <v>f67t2</v>
      </c>
      <c r="B392" s="109">
        <v>191</v>
      </c>
      <c r="C392" s="109">
        <v>67</v>
      </c>
      <c r="D392" s="109">
        <v>5</v>
      </c>
      <c r="E392" s="109">
        <v>2</v>
      </c>
      <c r="F392" s="109">
        <v>1.47</v>
      </c>
      <c r="G392" s="109">
        <v>1.0178193931371899</v>
      </c>
      <c r="H392" s="110">
        <v>41675.480023148149</v>
      </c>
      <c r="I392" s="111" t="s">
        <v>304</v>
      </c>
      <c r="J392" s="106">
        <f t="shared" si="28"/>
        <v>0</v>
      </c>
    </row>
    <row r="393" spans="1:10" customFormat="1" x14ac:dyDescent="0.3">
      <c r="A393" s="105" t="str">
        <f t="shared" si="29"/>
        <v>f67t3</v>
      </c>
      <c r="B393" s="109">
        <v>191</v>
      </c>
      <c r="C393" s="109">
        <v>67</v>
      </c>
      <c r="D393" s="109">
        <v>5</v>
      </c>
      <c r="E393" s="109">
        <v>3</v>
      </c>
      <c r="F393" s="109">
        <v>1.47</v>
      </c>
      <c r="G393" s="109">
        <v>1.0165595057705099</v>
      </c>
      <c r="H393" s="110">
        <v>41675.480023148149</v>
      </c>
      <c r="I393" s="111" t="s">
        <v>304</v>
      </c>
      <c r="J393" s="106">
        <f t="shared" si="28"/>
        <v>0</v>
      </c>
    </row>
    <row r="394" spans="1:10" customFormat="1" x14ac:dyDescent="0.3">
      <c r="A394" s="105" t="str">
        <f t="shared" si="29"/>
        <v>f67t4</v>
      </c>
      <c r="B394" s="109">
        <v>191</v>
      </c>
      <c r="C394" s="109">
        <v>67</v>
      </c>
      <c r="D394" s="109">
        <v>5</v>
      </c>
      <c r="E394" s="109">
        <v>4</v>
      </c>
      <c r="F394" s="109">
        <v>9.3699999999999992</v>
      </c>
      <c r="G394" s="109">
        <v>1.06009050956212</v>
      </c>
      <c r="H394" s="110">
        <v>41675.480023148149</v>
      </c>
      <c r="I394" s="111" t="s">
        <v>304</v>
      </c>
      <c r="J394" s="106">
        <f t="shared" si="28"/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94"/>
  <sheetViews>
    <sheetView topLeftCell="F1" workbookViewId="0">
      <selection activeCell="J46" sqref="J46"/>
    </sheetView>
  </sheetViews>
  <sheetFormatPr defaultColWidth="9.109375" defaultRowHeight="14.4" x14ac:dyDescent="0.3"/>
  <cols>
    <col min="1" max="9" width="9.109375" style="112"/>
    <col min="10" max="10" width="12" style="112" bestFit="1" customWidth="1"/>
    <col min="11" max="23" width="9.109375" style="112"/>
    <col min="24" max="24" width="18.5546875" style="112" bestFit="1" customWidth="1"/>
    <col min="25" max="25" width="9.109375" style="112"/>
    <col min="26" max="26" width="12" style="112" bestFit="1" customWidth="1"/>
    <col min="27" max="27" width="12" style="101" bestFit="1" customWidth="1"/>
    <col min="28" max="16384" width="9.109375" style="112"/>
  </cols>
  <sheetData>
    <row r="1" spans="1:33" ht="15" thickBot="1" x14ac:dyDescent="0.35">
      <c r="S1" s="112" t="s">
        <v>295</v>
      </c>
    </row>
    <row r="2" spans="1:33" ht="15" thickBot="1" x14ac:dyDescent="0.35">
      <c r="B2" s="114" t="s">
        <v>290</v>
      </c>
      <c r="C2" s="114" t="s">
        <v>7</v>
      </c>
      <c r="D2" s="114" t="s">
        <v>45</v>
      </c>
      <c r="E2" s="114" t="s">
        <v>6</v>
      </c>
      <c r="F2" s="114" t="s">
        <v>46</v>
      </c>
      <c r="G2" s="114" t="s">
        <v>296</v>
      </c>
      <c r="H2" s="114" t="s">
        <v>297</v>
      </c>
      <c r="I2" s="114" t="s">
        <v>298</v>
      </c>
      <c r="J2" s="108" t="s">
        <v>299</v>
      </c>
      <c r="M2" s="23" t="s">
        <v>7</v>
      </c>
      <c r="N2" s="23" t="s">
        <v>45</v>
      </c>
      <c r="O2" s="23" t="s">
        <v>6</v>
      </c>
      <c r="P2" s="24" t="s">
        <v>46</v>
      </c>
      <c r="Q2" s="102"/>
      <c r="S2" s="114" t="s">
        <v>290</v>
      </c>
      <c r="T2" s="114" t="s">
        <v>7</v>
      </c>
      <c r="U2" s="114" t="s">
        <v>6</v>
      </c>
      <c r="V2" s="114" t="s">
        <v>291</v>
      </c>
      <c r="W2" s="114" t="s">
        <v>292</v>
      </c>
      <c r="X2" s="114" t="s">
        <v>293</v>
      </c>
      <c r="Y2" s="114" t="s">
        <v>294</v>
      </c>
      <c r="Z2" s="103" t="s">
        <v>300</v>
      </c>
      <c r="AA2" s="104" t="s">
        <v>301</v>
      </c>
      <c r="AD2" s="114" t="s">
        <v>302</v>
      </c>
      <c r="AE2" s="114" t="s">
        <v>7</v>
      </c>
      <c r="AF2" s="114" t="s">
        <v>6</v>
      </c>
      <c r="AG2" s="114" t="s">
        <v>303</v>
      </c>
    </row>
    <row r="3" spans="1:33" x14ac:dyDescent="0.3">
      <c r="A3" s="105" t="str">
        <f>"f"&amp;C3&amp;"t"&amp;E3</f>
        <v>f1t1</v>
      </c>
      <c r="B3" s="116">
        <v>198</v>
      </c>
      <c r="C3" s="116">
        <v>1</v>
      </c>
      <c r="D3" s="116">
        <v>2</v>
      </c>
      <c r="E3" s="116">
        <v>1</v>
      </c>
      <c r="F3" s="116">
        <v>0.314</v>
      </c>
      <c r="G3" s="116">
        <v>0.52235035017593801</v>
      </c>
      <c r="H3" s="117">
        <v>41675.681516203702</v>
      </c>
      <c r="I3" s="118" t="s">
        <v>304</v>
      </c>
      <c r="J3" s="106">
        <f>F3-VLOOKUP(A3,L$3:P$100,5,FALSE)</f>
        <v>0</v>
      </c>
      <c r="L3" s="105" t="str">
        <f t="shared" ref="L3:L66" si="0">"f"&amp;M3&amp;"t"&amp;O3</f>
        <v>f1t1</v>
      </c>
      <c r="M3" s="25">
        <v>1</v>
      </c>
      <c r="N3" s="26"/>
      <c r="O3" s="25">
        <v>1</v>
      </c>
      <c r="P3" s="27">
        <v>0.314</v>
      </c>
      <c r="Q3" s="27"/>
      <c r="R3" s="105" t="str">
        <f>"f"&amp;T3&amp;"t"&amp;U3</f>
        <v>f1t1</v>
      </c>
      <c r="S3" s="115">
        <v>198</v>
      </c>
      <c r="T3" s="115">
        <v>1</v>
      </c>
      <c r="U3" s="115">
        <v>1</v>
      </c>
      <c r="V3" s="115">
        <v>0</v>
      </c>
      <c r="W3" s="115">
        <v>0</v>
      </c>
      <c r="X3" s="115">
        <v>7416.5268129999986</v>
      </c>
      <c r="Y3" s="115">
        <v>593.84130000000016</v>
      </c>
      <c r="Z3" s="112">
        <f>((Y3+W3)/VLOOKUP(R3,AC$3:AG$294,5,FALSE))/(X3+V3)</f>
        <v>0.31399999898641329</v>
      </c>
      <c r="AA3" s="107">
        <f>Z3-VLOOKUP(R3,L$3:P$100,5,FALSE)</f>
        <v>-1.0135867145599775E-9</v>
      </c>
      <c r="AC3" s="105" t="str">
        <f>"f"&amp;AE3&amp;"t"&amp;AF3</f>
        <v>f1t1</v>
      </c>
      <c r="AD3" s="115">
        <v>16</v>
      </c>
      <c r="AE3" s="115">
        <v>1</v>
      </c>
      <c r="AF3" s="115">
        <v>1</v>
      </c>
      <c r="AG3" s="115">
        <v>0.255</v>
      </c>
    </row>
    <row r="4" spans="1:33" x14ac:dyDescent="0.3">
      <c r="A4" s="105" t="str">
        <f t="shared" ref="A4:A67" si="1">"f"&amp;C4&amp;"t"&amp;E4</f>
        <v>f1t2</v>
      </c>
      <c r="B4" s="116">
        <v>198</v>
      </c>
      <c r="C4" s="116">
        <v>1</v>
      </c>
      <c r="D4" s="116">
        <v>2</v>
      </c>
      <c r="E4" s="116">
        <v>2</v>
      </c>
      <c r="F4" s="116">
        <v>0.314</v>
      </c>
      <c r="G4" s="116">
        <v>0.33240839605386502</v>
      </c>
      <c r="H4" s="117">
        <v>41675.681516203702</v>
      </c>
      <c r="I4" s="118" t="s">
        <v>304</v>
      </c>
      <c r="J4" s="106">
        <f t="shared" ref="J4:J66" si="2">F4-VLOOKUP(A4,L$3:P$100,5,FALSE)</f>
        <v>0</v>
      </c>
      <c r="L4" s="105" t="str">
        <f t="shared" si="0"/>
        <v>f1t2</v>
      </c>
      <c r="M4" s="25">
        <v>1</v>
      </c>
      <c r="N4" s="26"/>
      <c r="O4" s="25">
        <v>2</v>
      </c>
      <c r="P4" s="27">
        <v>0.314</v>
      </c>
      <c r="Q4" s="27"/>
      <c r="R4" s="105" t="str">
        <f t="shared" ref="R4:R67" si="3">"f"&amp;T4&amp;"t"&amp;U4</f>
        <v>f1t2</v>
      </c>
      <c r="S4" s="115">
        <v>198</v>
      </c>
      <c r="T4" s="115">
        <v>1</v>
      </c>
      <c r="U4" s="115">
        <v>2</v>
      </c>
      <c r="V4" s="115">
        <v>0</v>
      </c>
      <c r="W4" s="115">
        <v>0</v>
      </c>
      <c r="X4" s="115">
        <v>46974.498974000009</v>
      </c>
      <c r="Y4" s="115">
        <v>3761.2481360000002</v>
      </c>
      <c r="Z4" s="112">
        <f t="shared" ref="Z4:Z67" si="4">((Y4+W4)/VLOOKUP(R4,AC$3:AG$294,5,FALSE))/(X4+V4)</f>
        <v>0.31400000026312308</v>
      </c>
      <c r="AA4" s="107">
        <f t="shared" ref="AA4:AA67" si="5">Z4-VLOOKUP(R4,L$3:P$100,5,FALSE)</f>
        <v>2.6312307888076703E-10</v>
      </c>
      <c r="AC4" s="105" t="str">
        <f t="shared" ref="AC4:AC67" si="6">"f"&amp;AE4&amp;"t"&amp;AF4</f>
        <v>f1t2</v>
      </c>
      <c r="AD4" s="115">
        <v>16</v>
      </c>
      <c r="AE4" s="115">
        <v>1</v>
      </c>
      <c r="AF4" s="115">
        <v>2</v>
      </c>
      <c r="AG4" s="115">
        <v>0.255</v>
      </c>
    </row>
    <row r="5" spans="1:33" x14ac:dyDescent="0.3">
      <c r="A5" s="105" t="str">
        <f t="shared" si="1"/>
        <v>f1t3</v>
      </c>
      <c r="B5" s="116">
        <v>198</v>
      </c>
      <c r="C5" s="116">
        <v>1</v>
      </c>
      <c r="D5" s="116">
        <v>2</v>
      </c>
      <c r="E5" s="116">
        <v>3</v>
      </c>
      <c r="F5" s="116">
        <v>0.314</v>
      </c>
      <c r="G5" s="116">
        <v>0.39289238493367801</v>
      </c>
      <c r="H5" s="117">
        <v>41675.681516203702</v>
      </c>
      <c r="I5" s="118" t="s">
        <v>304</v>
      </c>
      <c r="J5" s="106">
        <f t="shared" si="2"/>
        <v>0</v>
      </c>
      <c r="L5" s="105" t="str">
        <f t="shared" si="0"/>
        <v>f1t3</v>
      </c>
      <c r="M5" s="25">
        <v>1</v>
      </c>
      <c r="N5" s="26"/>
      <c r="O5" s="25">
        <v>3</v>
      </c>
      <c r="P5" s="27">
        <v>0.314</v>
      </c>
      <c r="Q5" s="27"/>
      <c r="R5" s="105" t="str">
        <f t="shared" si="3"/>
        <v>f1t3</v>
      </c>
      <c r="S5" s="115">
        <v>198</v>
      </c>
      <c r="T5" s="115">
        <v>1</v>
      </c>
      <c r="U5" s="115">
        <v>3</v>
      </c>
      <c r="V5" s="115">
        <v>0</v>
      </c>
      <c r="W5" s="115">
        <v>0</v>
      </c>
      <c r="X5" s="115">
        <v>64242.259805999995</v>
      </c>
      <c r="Y5" s="115">
        <v>5143.8777450000052</v>
      </c>
      <c r="Z5" s="112">
        <f t="shared" si="4"/>
        <v>0.31400000014245011</v>
      </c>
      <c r="AA5" s="107">
        <f t="shared" si="5"/>
        <v>1.4245010726554597E-10</v>
      </c>
      <c r="AC5" s="105" t="str">
        <f t="shared" si="6"/>
        <v>f1t3</v>
      </c>
      <c r="AD5" s="115">
        <v>16</v>
      </c>
      <c r="AE5" s="115">
        <v>1</v>
      </c>
      <c r="AF5" s="115">
        <v>3</v>
      </c>
      <c r="AG5" s="115">
        <v>0.255</v>
      </c>
    </row>
    <row r="6" spans="1:33" x14ac:dyDescent="0.3">
      <c r="A6" s="105" t="str">
        <f t="shared" si="1"/>
        <v>f1t4</v>
      </c>
      <c r="B6" s="116">
        <v>198</v>
      </c>
      <c r="C6" s="116">
        <v>1</v>
      </c>
      <c r="D6" s="116">
        <v>2</v>
      </c>
      <c r="E6" s="116">
        <v>4</v>
      </c>
      <c r="F6" s="116">
        <v>0.314</v>
      </c>
      <c r="G6" s="116">
        <v>0.337298439349352</v>
      </c>
      <c r="H6" s="117">
        <v>41675.681516203702</v>
      </c>
      <c r="I6" s="118" t="s">
        <v>304</v>
      </c>
      <c r="J6" s="106">
        <f t="shared" si="2"/>
        <v>0</v>
      </c>
      <c r="L6" s="105" t="str">
        <f t="shared" si="0"/>
        <v>f1t4</v>
      </c>
      <c r="M6" s="25">
        <v>1</v>
      </c>
      <c r="N6" s="26"/>
      <c r="O6" s="25">
        <v>4</v>
      </c>
      <c r="P6" s="27">
        <v>0.314</v>
      </c>
      <c r="Q6" s="27"/>
      <c r="R6" s="105" t="str">
        <f t="shared" si="3"/>
        <v>f1t4</v>
      </c>
      <c r="S6" s="115">
        <v>198</v>
      </c>
      <c r="T6" s="115">
        <v>1</v>
      </c>
      <c r="U6" s="115">
        <v>4</v>
      </c>
      <c r="V6" s="115">
        <v>0</v>
      </c>
      <c r="W6" s="115">
        <v>0</v>
      </c>
      <c r="X6" s="115">
        <v>7423.6286419999997</v>
      </c>
      <c r="Y6" s="115">
        <v>594.40994300000045</v>
      </c>
      <c r="Z6" s="112">
        <f t="shared" si="4"/>
        <v>0.31399999875070894</v>
      </c>
      <c r="AA6" s="107">
        <f t="shared" si="5"/>
        <v>-1.2492910594907869E-9</v>
      </c>
      <c r="AC6" s="105" t="str">
        <f t="shared" si="6"/>
        <v>f1t4</v>
      </c>
      <c r="AD6" s="115">
        <v>16</v>
      </c>
      <c r="AE6" s="115">
        <v>1</v>
      </c>
      <c r="AF6" s="115">
        <v>4</v>
      </c>
      <c r="AG6" s="115">
        <v>0.255</v>
      </c>
    </row>
    <row r="7" spans="1:33" x14ac:dyDescent="0.3">
      <c r="A7" s="105" t="str">
        <f t="shared" si="1"/>
        <v>f1t1</v>
      </c>
      <c r="B7" s="116">
        <v>198</v>
      </c>
      <c r="C7" s="116">
        <v>1</v>
      </c>
      <c r="D7" s="116">
        <v>3</v>
      </c>
      <c r="E7" s="116">
        <v>1</v>
      </c>
      <c r="F7" s="116">
        <v>0.314</v>
      </c>
      <c r="G7" s="116">
        <v>0.52235035017593801</v>
      </c>
      <c r="H7" s="117">
        <v>41675.681516203702</v>
      </c>
      <c r="I7" s="118" t="s">
        <v>304</v>
      </c>
      <c r="J7" s="106">
        <f t="shared" si="2"/>
        <v>0</v>
      </c>
      <c r="L7" s="105" t="str">
        <f t="shared" si="0"/>
        <v>f3t1</v>
      </c>
      <c r="M7" s="25">
        <v>3</v>
      </c>
      <c r="N7" s="26"/>
      <c r="O7" s="25">
        <v>1</v>
      </c>
      <c r="P7" s="27">
        <v>0.57799999999999996</v>
      </c>
      <c r="Q7" s="27"/>
      <c r="R7" s="105" t="str">
        <f t="shared" si="3"/>
        <v>f2t2</v>
      </c>
      <c r="S7" s="115">
        <v>198</v>
      </c>
      <c r="T7" s="115">
        <v>2</v>
      </c>
      <c r="U7" s="115">
        <v>2</v>
      </c>
      <c r="V7" s="115">
        <v>0</v>
      </c>
      <c r="W7" s="115">
        <v>0</v>
      </c>
      <c r="X7" s="115">
        <v>355.04639600000013</v>
      </c>
      <c r="Y7" s="115">
        <v>0</v>
      </c>
      <c r="Z7" s="112">
        <f t="shared" si="4"/>
        <v>0</v>
      </c>
      <c r="AA7" s="107" t="e">
        <f t="shared" si="5"/>
        <v>#N/A</v>
      </c>
      <c r="AC7" s="105" t="str">
        <f t="shared" si="6"/>
        <v>f2t1</v>
      </c>
      <c r="AD7" s="115">
        <v>16</v>
      </c>
      <c r="AE7" s="115">
        <v>2</v>
      </c>
      <c r="AF7" s="115">
        <v>1</v>
      </c>
      <c r="AG7" s="115">
        <v>0.3</v>
      </c>
    </row>
    <row r="8" spans="1:33" x14ac:dyDescent="0.3">
      <c r="A8" s="105" t="str">
        <f t="shared" si="1"/>
        <v>f1t2</v>
      </c>
      <c r="B8" s="116">
        <v>198</v>
      </c>
      <c r="C8" s="116">
        <v>1</v>
      </c>
      <c r="D8" s="116">
        <v>3</v>
      </c>
      <c r="E8" s="116">
        <v>2</v>
      </c>
      <c r="F8" s="116">
        <v>0.314</v>
      </c>
      <c r="G8" s="116">
        <v>0.33240839605386502</v>
      </c>
      <c r="H8" s="117">
        <v>41675.681516203702</v>
      </c>
      <c r="I8" s="118" t="s">
        <v>304</v>
      </c>
      <c r="J8" s="106">
        <f t="shared" si="2"/>
        <v>0</v>
      </c>
      <c r="L8" s="105" t="str">
        <f t="shared" si="0"/>
        <v>f3t2</v>
      </c>
      <c r="M8" s="25">
        <v>3</v>
      </c>
      <c r="N8" s="26"/>
      <c r="O8" s="25">
        <v>2</v>
      </c>
      <c r="P8" s="27">
        <v>0.57799999999999996</v>
      </c>
      <c r="Q8" s="27"/>
      <c r="R8" s="105" t="str">
        <f t="shared" si="3"/>
        <v>f2t3</v>
      </c>
      <c r="S8" s="115">
        <v>198</v>
      </c>
      <c r="T8" s="115">
        <v>2</v>
      </c>
      <c r="U8" s="115">
        <v>3</v>
      </c>
      <c r="V8" s="115">
        <v>0</v>
      </c>
      <c r="W8" s="115">
        <v>0</v>
      </c>
      <c r="X8" s="115">
        <v>4621.1202510000003</v>
      </c>
      <c r="Y8" s="115">
        <v>0</v>
      </c>
      <c r="Z8" s="112">
        <f t="shared" si="4"/>
        <v>0</v>
      </c>
      <c r="AA8" s="107" t="e">
        <f t="shared" si="5"/>
        <v>#N/A</v>
      </c>
      <c r="AC8" s="105" t="str">
        <f t="shared" si="6"/>
        <v>f2t2</v>
      </c>
      <c r="AD8" s="115">
        <v>16</v>
      </c>
      <c r="AE8" s="115">
        <v>2</v>
      </c>
      <c r="AF8" s="115">
        <v>2</v>
      </c>
      <c r="AG8" s="115">
        <v>0.3</v>
      </c>
    </row>
    <row r="9" spans="1:33" x14ac:dyDescent="0.3">
      <c r="A9" s="105" t="str">
        <f t="shared" si="1"/>
        <v>f1t3</v>
      </c>
      <c r="B9" s="116">
        <v>198</v>
      </c>
      <c r="C9" s="116">
        <v>1</v>
      </c>
      <c r="D9" s="116">
        <v>3</v>
      </c>
      <c r="E9" s="116">
        <v>3</v>
      </c>
      <c r="F9" s="116">
        <v>0.314</v>
      </c>
      <c r="G9" s="116">
        <v>0.39289238493367801</v>
      </c>
      <c r="H9" s="117">
        <v>41675.681516203702</v>
      </c>
      <c r="I9" s="118" t="s">
        <v>304</v>
      </c>
      <c r="J9" s="106">
        <f t="shared" si="2"/>
        <v>0</v>
      </c>
      <c r="L9" s="105" t="str">
        <f t="shared" si="0"/>
        <v>f3t3</v>
      </c>
      <c r="M9" s="25">
        <v>3</v>
      </c>
      <c r="N9" s="26"/>
      <c r="O9" s="25">
        <v>3</v>
      </c>
      <c r="P9" s="27">
        <v>0.57799999999999996</v>
      </c>
      <c r="Q9" s="27"/>
      <c r="R9" s="105" t="str">
        <f t="shared" si="3"/>
        <v>f3t1</v>
      </c>
      <c r="S9" s="115">
        <v>198</v>
      </c>
      <c r="T9" s="115">
        <v>3</v>
      </c>
      <c r="U9" s="115">
        <v>1</v>
      </c>
      <c r="V9" s="115">
        <v>0</v>
      </c>
      <c r="W9" s="115">
        <v>0</v>
      </c>
      <c r="X9" s="115">
        <v>115.53973500000001</v>
      </c>
      <c r="Y9" s="115">
        <v>8.2141790000000015</v>
      </c>
      <c r="Z9" s="112">
        <f t="shared" si="4"/>
        <v>0.57799979452463612</v>
      </c>
      <c r="AA9" s="107">
        <f t="shared" si="5"/>
        <v>-2.0547536383475062E-7</v>
      </c>
      <c r="AC9" s="105" t="str">
        <f t="shared" si="6"/>
        <v>f2t3</v>
      </c>
      <c r="AD9" s="115">
        <v>16</v>
      </c>
      <c r="AE9" s="115">
        <v>2</v>
      </c>
      <c r="AF9" s="115">
        <v>3</v>
      </c>
      <c r="AG9" s="115">
        <v>0.3</v>
      </c>
    </row>
    <row r="10" spans="1:33" x14ac:dyDescent="0.3">
      <c r="A10" s="105" t="str">
        <f t="shared" si="1"/>
        <v>f1t4</v>
      </c>
      <c r="B10" s="116">
        <v>198</v>
      </c>
      <c r="C10" s="116">
        <v>1</v>
      </c>
      <c r="D10" s="116">
        <v>3</v>
      </c>
      <c r="E10" s="116">
        <v>4</v>
      </c>
      <c r="F10" s="116">
        <v>0.314</v>
      </c>
      <c r="G10" s="116">
        <v>0.337298439349352</v>
      </c>
      <c r="H10" s="117">
        <v>41675.681516203702</v>
      </c>
      <c r="I10" s="118" t="s">
        <v>304</v>
      </c>
      <c r="J10" s="106">
        <f t="shared" si="2"/>
        <v>0</v>
      </c>
      <c r="L10" s="105" t="str">
        <f t="shared" si="0"/>
        <v>f3t4</v>
      </c>
      <c r="M10" s="25">
        <v>3</v>
      </c>
      <c r="N10" s="26"/>
      <c r="O10" s="25">
        <v>4</v>
      </c>
      <c r="P10" s="27">
        <v>0.57799999999999996</v>
      </c>
      <c r="Q10" s="27"/>
      <c r="R10" s="105" t="str">
        <f t="shared" si="3"/>
        <v>f3t2</v>
      </c>
      <c r="S10" s="115">
        <v>198</v>
      </c>
      <c r="T10" s="115">
        <v>3</v>
      </c>
      <c r="U10" s="115">
        <v>2</v>
      </c>
      <c r="V10" s="115">
        <v>0</v>
      </c>
      <c r="W10" s="115">
        <v>0</v>
      </c>
      <c r="X10" s="115">
        <v>5526.3690609999994</v>
      </c>
      <c r="Y10" s="115">
        <v>392.89168100000001</v>
      </c>
      <c r="Z10" s="112">
        <f t="shared" si="4"/>
        <v>0.57799999849541173</v>
      </c>
      <c r="AA10" s="107">
        <f t="shared" si="5"/>
        <v>-1.5045882317821224E-9</v>
      </c>
      <c r="AC10" s="105" t="str">
        <f t="shared" si="6"/>
        <v>f2t4</v>
      </c>
      <c r="AD10" s="115">
        <v>16</v>
      </c>
      <c r="AE10" s="115">
        <v>2</v>
      </c>
      <c r="AF10" s="115">
        <v>4</v>
      </c>
      <c r="AG10" s="115">
        <v>0.3</v>
      </c>
    </row>
    <row r="11" spans="1:33" x14ac:dyDescent="0.3">
      <c r="A11" s="105" t="str">
        <f t="shared" si="1"/>
        <v>f1t1</v>
      </c>
      <c r="B11" s="116">
        <v>198</v>
      </c>
      <c r="C11" s="116">
        <v>1</v>
      </c>
      <c r="D11" s="116">
        <v>4</v>
      </c>
      <c r="E11" s="116">
        <v>1</v>
      </c>
      <c r="F11" s="116">
        <v>0.314</v>
      </c>
      <c r="G11" s="116">
        <v>0.52235035017593801</v>
      </c>
      <c r="H11" s="117">
        <v>41675.681516203702</v>
      </c>
      <c r="I11" s="118" t="s">
        <v>304</v>
      </c>
      <c r="J11" s="106">
        <f t="shared" si="2"/>
        <v>0</v>
      </c>
      <c r="L11" s="105" t="str">
        <f t="shared" si="0"/>
        <v>f8t1</v>
      </c>
      <c r="M11" s="25">
        <v>8</v>
      </c>
      <c r="N11" s="26"/>
      <c r="O11" s="25">
        <v>1</v>
      </c>
      <c r="P11" s="27">
        <v>1E-3</v>
      </c>
      <c r="Q11" s="27"/>
      <c r="R11" s="105" t="str">
        <f t="shared" si="3"/>
        <v>f3t3</v>
      </c>
      <c r="S11" s="115">
        <v>198</v>
      </c>
      <c r="T11" s="115">
        <v>3</v>
      </c>
      <c r="U11" s="115">
        <v>3</v>
      </c>
      <c r="V11" s="115">
        <v>0</v>
      </c>
      <c r="W11" s="115">
        <v>0</v>
      </c>
      <c r="X11" s="115">
        <v>7085.7226430000001</v>
      </c>
      <c r="Y11" s="115">
        <v>503.75237199999998</v>
      </c>
      <c r="Z11" s="112">
        <f t="shared" si="4"/>
        <v>0.57800000736458379</v>
      </c>
      <c r="AA11" s="107">
        <f t="shared" si="5"/>
        <v>7.3645838316593881E-9</v>
      </c>
      <c r="AC11" s="105" t="str">
        <f t="shared" si="6"/>
        <v>f3t1</v>
      </c>
      <c r="AD11" s="115">
        <v>16</v>
      </c>
      <c r="AE11" s="115">
        <v>3</v>
      </c>
      <c r="AF11" s="115">
        <v>1</v>
      </c>
      <c r="AG11" s="115">
        <v>0.123</v>
      </c>
    </row>
    <row r="12" spans="1:33" x14ac:dyDescent="0.3">
      <c r="A12" s="105" t="str">
        <f t="shared" si="1"/>
        <v>f1t2</v>
      </c>
      <c r="B12" s="116">
        <v>198</v>
      </c>
      <c r="C12" s="116">
        <v>1</v>
      </c>
      <c r="D12" s="116">
        <v>4</v>
      </c>
      <c r="E12" s="116">
        <v>2</v>
      </c>
      <c r="F12" s="116">
        <v>0.314</v>
      </c>
      <c r="G12" s="116">
        <v>0.33240839605386502</v>
      </c>
      <c r="H12" s="117">
        <v>41675.681516203702</v>
      </c>
      <c r="I12" s="118" t="s">
        <v>304</v>
      </c>
      <c r="J12" s="106">
        <f t="shared" si="2"/>
        <v>0</v>
      </c>
      <c r="L12" s="105" t="str">
        <f t="shared" si="0"/>
        <v>f8t2</v>
      </c>
      <c r="M12" s="25">
        <v>8</v>
      </c>
      <c r="N12" s="26"/>
      <c r="O12" s="25">
        <v>2</v>
      </c>
      <c r="P12" s="27">
        <v>1E-3</v>
      </c>
      <c r="Q12" s="27"/>
      <c r="R12" s="105" t="str">
        <f t="shared" si="3"/>
        <v>f3t4</v>
      </c>
      <c r="S12" s="115">
        <v>198</v>
      </c>
      <c r="T12" s="115">
        <v>3</v>
      </c>
      <c r="U12" s="115">
        <v>4</v>
      </c>
      <c r="V12" s="115">
        <v>0</v>
      </c>
      <c r="W12" s="115">
        <v>0</v>
      </c>
      <c r="X12" s="115">
        <v>115.85789</v>
      </c>
      <c r="Y12" s="115">
        <v>8.2367990000000031</v>
      </c>
      <c r="Z12" s="112">
        <f t="shared" si="4"/>
        <v>0.57799987146715093</v>
      </c>
      <c r="AA12" s="107">
        <f t="shared" si="5"/>
        <v>-1.2853284903080464E-7</v>
      </c>
      <c r="AC12" s="105" t="str">
        <f t="shared" si="6"/>
        <v>f3t2</v>
      </c>
      <c r="AD12" s="115">
        <v>16</v>
      </c>
      <c r="AE12" s="115">
        <v>3</v>
      </c>
      <c r="AF12" s="115">
        <v>2</v>
      </c>
      <c r="AG12" s="115">
        <v>0.123</v>
      </c>
    </row>
    <row r="13" spans="1:33" x14ac:dyDescent="0.3">
      <c r="A13" s="105" t="str">
        <f t="shared" si="1"/>
        <v>f1t3</v>
      </c>
      <c r="B13" s="116">
        <v>198</v>
      </c>
      <c r="C13" s="116">
        <v>1</v>
      </c>
      <c r="D13" s="116">
        <v>4</v>
      </c>
      <c r="E13" s="116">
        <v>3</v>
      </c>
      <c r="F13" s="116">
        <v>0.314</v>
      </c>
      <c r="G13" s="116">
        <v>0.39289238493367801</v>
      </c>
      <c r="H13" s="117">
        <v>41675.681516203702</v>
      </c>
      <c r="I13" s="118" t="s">
        <v>304</v>
      </c>
      <c r="J13" s="106">
        <f t="shared" si="2"/>
        <v>0</v>
      </c>
      <c r="L13" s="105" t="str">
        <f t="shared" si="0"/>
        <v>f8t3</v>
      </c>
      <c r="M13" s="25">
        <v>8</v>
      </c>
      <c r="N13" s="26"/>
      <c r="O13" s="25">
        <v>3</v>
      </c>
      <c r="P13" s="27">
        <v>1E-3</v>
      </c>
      <c r="Q13" s="27"/>
      <c r="R13" s="105" t="str">
        <f t="shared" si="3"/>
        <v>f4t3</v>
      </c>
      <c r="S13" s="115">
        <v>198</v>
      </c>
      <c r="T13" s="115">
        <v>4</v>
      </c>
      <c r="U13" s="115">
        <v>3</v>
      </c>
      <c r="V13" s="115">
        <v>0</v>
      </c>
      <c r="W13" s="115">
        <v>0</v>
      </c>
      <c r="X13" s="115">
        <v>2133.2342080000003</v>
      </c>
      <c r="Y13" s="115">
        <v>0</v>
      </c>
      <c r="Z13" s="112">
        <f t="shared" si="4"/>
        <v>0</v>
      </c>
      <c r="AA13" s="107" t="e">
        <f t="shared" si="5"/>
        <v>#N/A</v>
      </c>
      <c r="AC13" s="105" t="str">
        <f t="shared" si="6"/>
        <v>f3t3</v>
      </c>
      <c r="AD13" s="115">
        <v>16</v>
      </c>
      <c r="AE13" s="115">
        <v>3</v>
      </c>
      <c r="AF13" s="115">
        <v>3</v>
      </c>
      <c r="AG13" s="115">
        <v>0.123</v>
      </c>
    </row>
    <row r="14" spans="1:33" x14ac:dyDescent="0.3">
      <c r="A14" s="105" t="str">
        <f t="shared" si="1"/>
        <v>f1t4</v>
      </c>
      <c r="B14" s="116">
        <v>198</v>
      </c>
      <c r="C14" s="116">
        <v>1</v>
      </c>
      <c r="D14" s="116">
        <v>4</v>
      </c>
      <c r="E14" s="116">
        <v>4</v>
      </c>
      <c r="F14" s="116">
        <v>0.314</v>
      </c>
      <c r="G14" s="116">
        <v>0.337298439349352</v>
      </c>
      <c r="H14" s="117">
        <v>41675.681516203702</v>
      </c>
      <c r="I14" s="118" t="s">
        <v>304</v>
      </c>
      <c r="J14" s="106">
        <f t="shared" si="2"/>
        <v>0</v>
      </c>
      <c r="L14" s="105" t="str">
        <f t="shared" si="0"/>
        <v>f8t4</v>
      </c>
      <c r="M14" s="25">
        <v>8</v>
      </c>
      <c r="N14" s="26"/>
      <c r="O14" s="25">
        <v>4</v>
      </c>
      <c r="P14" s="27">
        <v>1E-3</v>
      </c>
      <c r="Q14" s="27"/>
      <c r="R14" s="105" t="str">
        <f t="shared" si="3"/>
        <v>f5t2</v>
      </c>
      <c r="S14" s="115">
        <v>198</v>
      </c>
      <c r="T14" s="115">
        <v>5</v>
      </c>
      <c r="U14" s="115">
        <v>2</v>
      </c>
      <c r="V14" s="115">
        <v>0</v>
      </c>
      <c r="W14" s="115">
        <v>0</v>
      </c>
      <c r="X14" s="115">
        <v>7.5837970000000015</v>
      </c>
      <c r="Y14" s="115">
        <v>0</v>
      </c>
      <c r="Z14" s="112">
        <f t="shared" si="4"/>
        <v>0</v>
      </c>
      <c r="AA14" s="107" t="e">
        <f t="shared" si="5"/>
        <v>#N/A</v>
      </c>
      <c r="AC14" s="105" t="str">
        <f t="shared" si="6"/>
        <v>f3t4</v>
      </c>
      <c r="AD14" s="115">
        <v>16</v>
      </c>
      <c r="AE14" s="115">
        <v>3</v>
      </c>
      <c r="AF14" s="115">
        <v>4</v>
      </c>
      <c r="AG14" s="115">
        <v>0.123</v>
      </c>
    </row>
    <row r="15" spans="1:33" x14ac:dyDescent="0.3">
      <c r="A15" s="105" t="str">
        <f t="shared" si="1"/>
        <v>f1t1</v>
      </c>
      <c r="B15" s="116">
        <v>198</v>
      </c>
      <c r="C15" s="116">
        <v>1</v>
      </c>
      <c r="D15" s="116">
        <v>5</v>
      </c>
      <c r="E15" s="116">
        <v>1</v>
      </c>
      <c r="F15" s="116">
        <v>0.314</v>
      </c>
      <c r="G15" s="116">
        <v>0.52235035017593801</v>
      </c>
      <c r="H15" s="117">
        <v>41675.681516203702</v>
      </c>
      <c r="I15" s="118" t="s">
        <v>304</v>
      </c>
      <c r="J15" s="106">
        <f t="shared" si="2"/>
        <v>0</v>
      </c>
      <c r="L15" s="105" t="str">
        <f t="shared" si="0"/>
        <v>f9t1</v>
      </c>
      <c r="M15" s="25">
        <v>9</v>
      </c>
      <c r="N15" s="26"/>
      <c r="O15" s="25">
        <v>1</v>
      </c>
      <c r="P15" s="27">
        <v>0.111</v>
      </c>
      <c r="Q15" s="27"/>
      <c r="R15" s="105" t="str">
        <f t="shared" si="3"/>
        <v>f5t3</v>
      </c>
      <c r="S15" s="115">
        <v>198</v>
      </c>
      <c r="T15" s="115">
        <v>5</v>
      </c>
      <c r="U15" s="115">
        <v>3</v>
      </c>
      <c r="V15" s="115">
        <v>0</v>
      </c>
      <c r="W15" s="115">
        <v>0</v>
      </c>
      <c r="X15" s="115">
        <v>3569.8029999999999</v>
      </c>
      <c r="Y15" s="115">
        <v>0</v>
      </c>
      <c r="Z15" s="112">
        <f t="shared" si="4"/>
        <v>0</v>
      </c>
      <c r="AA15" s="107" t="e">
        <f t="shared" si="5"/>
        <v>#N/A</v>
      </c>
      <c r="AC15" s="105" t="str">
        <f t="shared" si="6"/>
        <v>f4t1</v>
      </c>
      <c r="AD15" s="115">
        <v>16</v>
      </c>
      <c r="AE15" s="115">
        <v>4</v>
      </c>
      <c r="AF15" s="115">
        <v>1</v>
      </c>
      <c r="AG15" s="115">
        <v>0.3</v>
      </c>
    </row>
    <row r="16" spans="1:33" x14ac:dyDescent="0.3">
      <c r="A16" s="105" t="str">
        <f t="shared" si="1"/>
        <v>f1t2</v>
      </c>
      <c r="B16" s="116">
        <v>198</v>
      </c>
      <c r="C16" s="116">
        <v>1</v>
      </c>
      <c r="D16" s="116">
        <v>5</v>
      </c>
      <c r="E16" s="116">
        <v>2</v>
      </c>
      <c r="F16" s="116">
        <v>0.314</v>
      </c>
      <c r="G16" s="116">
        <v>0.33240839605386502</v>
      </c>
      <c r="H16" s="117">
        <v>41675.681516203702</v>
      </c>
      <c r="I16" s="118" t="s">
        <v>304</v>
      </c>
      <c r="J16" s="106">
        <f t="shared" si="2"/>
        <v>0</v>
      </c>
      <c r="L16" s="105" t="str">
        <f t="shared" si="0"/>
        <v>f9t2</v>
      </c>
      <c r="M16" s="25">
        <v>9</v>
      </c>
      <c r="N16" s="26"/>
      <c r="O16" s="25">
        <v>2</v>
      </c>
      <c r="P16" s="27">
        <v>0.111</v>
      </c>
      <c r="Q16" s="27"/>
      <c r="R16" s="105" t="str">
        <f t="shared" si="3"/>
        <v>f6t1</v>
      </c>
      <c r="S16" s="115">
        <v>198</v>
      </c>
      <c r="T16" s="115">
        <v>6</v>
      </c>
      <c r="U16" s="115">
        <v>1</v>
      </c>
      <c r="V16" s="115">
        <v>0</v>
      </c>
      <c r="W16" s="115">
        <v>0</v>
      </c>
      <c r="X16" s="115">
        <v>14.504599000000004</v>
      </c>
      <c r="Y16" s="115">
        <v>0</v>
      </c>
      <c r="Z16" s="112">
        <f t="shared" si="4"/>
        <v>0</v>
      </c>
      <c r="AA16" s="107" t="e">
        <f t="shared" si="5"/>
        <v>#N/A</v>
      </c>
      <c r="AC16" s="105" t="str">
        <f t="shared" si="6"/>
        <v>f4t2</v>
      </c>
      <c r="AD16" s="115">
        <v>16</v>
      </c>
      <c r="AE16" s="115">
        <v>4</v>
      </c>
      <c r="AF16" s="115">
        <v>2</v>
      </c>
      <c r="AG16" s="115">
        <v>0.3</v>
      </c>
    </row>
    <row r="17" spans="1:33" x14ac:dyDescent="0.3">
      <c r="A17" s="105" t="str">
        <f t="shared" si="1"/>
        <v>f1t3</v>
      </c>
      <c r="B17" s="116">
        <v>198</v>
      </c>
      <c r="C17" s="116">
        <v>1</v>
      </c>
      <c r="D17" s="116">
        <v>5</v>
      </c>
      <c r="E17" s="116">
        <v>3</v>
      </c>
      <c r="F17" s="116">
        <v>0.314</v>
      </c>
      <c r="G17" s="116">
        <v>0.39289238493367801</v>
      </c>
      <c r="H17" s="117">
        <v>41675.681516203702</v>
      </c>
      <c r="I17" s="118" t="s">
        <v>304</v>
      </c>
      <c r="J17" s="106">
        <f t="shared" si="2"/>
        <v>0</v>
      </c>
      <c r="L17" s="105" t="str">
        <f t="shared" si="0"/>
        <v>f9t3</v>
      </c>
      <c r="M17" s="25">
        <v>9</v>
      </c>
      <c r="N17" s="26"/>
      <c r="O17" s="25">
        <v>3</v>
      </c>
      <c r="P17" s="27">
        <v>0.111</v>
      </c>
      <c r="Q17" s="27"/>
      <c r="R17" s="105" t="str">
        <f t="shared" si="3"/>
        <v>f6t3</v>
      </c>
      <c r="S17" s="115">
        <v>198</v>
      </c>
      <c r="T17" s="115">
        <v>6</v>
      </c>
      <c r="U17" s="115">
        <v>3</v>
      </c>
      <c r="V17" s="115">
        <v>0</v>
      </c>
      <c r="W17" s="115">
        <v>0</v>
      </c>
      <c r="X17" s="115">
        <v>125.92629599999999</v>
      </c>
      <c r="Y17" s="115">
        <v>0</v>
      </c>
      <c r="Z17" s="112">
        <f t="shared" si="4"/>
        <v>0</v>
      </c>
      <c r="AA17" s="107" t="e">
        <f t="shared" si="5"/>
        <v>#N/A</v>
      </c>
      <c r="AC17" s="105" t="str">
        <f t="shared" si="6"/>
        <v>f4t3</v>
      </c>
      <c r="AD17" s="115">
        <v>16</v>
      </c>
      <c r="AE17" s="115">
        <v>4</v>
      </c>
      <c r="AF17" s="115">
        <v>3</v>
      </c>
      <c r="AG17" s="115">
        <v>0.3</v>
      </c>
    </row>
    <row r="18" spans="1:33" x14ac:dyDescent="0.3">
      <c r="A18" s="105" t="str">
        <f t="shared" si="1"/>
        <v>f1t4</v>
      </c>
      <c r="B18" s="116">
        <v>198</v>
      </c>
      <c r="C18" s="116">
        <v>1</v>
      </c>
      <c r="D18" s="116">
        <v>5</v>
      </c>
      <c r="E18" s="116">
        <v>4</v>
      </c>
      <c r="F18" s="116">
        <v>0.314</v>
      </c>
      <c r="G18" s="116">
        <v>0.337298439349352</v>
      </c>
      <c r="H18" s="117">
        <v>41675.681516203702</v>
      </c>
      <c r="I18" s="118" t="s">
        <v>304</v>
      </c>
      <c r="J18" s="106">
        <f t="shared" si="2"/>
        <v>0</v>
      </c>
      <c r="L18" s="105" t="str">
        <f t="shared" si="0"/>
        <v>f9t4</v>
      </c>
      <c r="M18" s="25">
        <v>9</v>
      </c>
      <c r="N18" s="26"/>
      <c r="O18" s="25">
        <v>4</v>
      </c>
      <c r="P18" s="27">
        <v>0.111</v>
      </c>
      <c r="Q18" s="27"/>
      <c r="R18" s="105" t="str">
        <f t="shared" si="3"/>
        <v>f6t4</v>
      </c>
      <c r="S18" s="115">
        <v>198</v>
      </c>
      <c r="T18" s="115">
        <v>6</v>
      </c>
      <c r="U18" s="115">
        <v>4</v>
      </c>
      <c r="V18" s="115">
        <v>0</v>
      </c>
      <c r="W18" s="115">
        <v>0</v>
      </c>
      <c r="X18" s="115">
        <v>14.504602</v>
      </c>
      <c r="Y18" s="115">
        <v>0</v>
      </c>
      <c r="Z18" s="112">
        <f t="shared" si="4"/>
        <v>0</v>
      </c>
      <c r="AA18" s="107" t="e">
        <f t="shared" si="5"/>
        <v>#N/A</v>
      </c>
      <c r="AC18" s="105" t="str">
        <f t="shared" si="6"/>
        <v>f4t4</v>
      </c>
      <c r="AD18" s="115">
        <v>16</v>
      </c>
      <c r="AE18" s="115">
        <v>4</v>
      </c>
      <c r="AF18" s="115">
        <v>4</v>
      </c>
      <c r="AG18" s="115">
        <v>0.3</v>
      </c>
    </row>
    <row r="19" spans="1:33" x14ac:dyDescent="0.3">
      <c r="A19" s="105" t="str">
        <f t="shared" si="1"/>
        <v>f3t1</v>
      </c>
      <c r="B19" s="116">
        <v>198</v>
      </c>
      <c r="C19" s="116">
        <v>3</v>
      </c>
      <c r="D19" s="116">
        <v>2</v>
      </c>
      <c r="E19" s="116">
        <v>1</v>
      </c>
      <c r="F19" s="116">
        <v>0.57799999999999996</v>
      </c>
      <c r="G19" s="116">
        <v>0.21282585241999799</v>
      </c>
      <c r="H19" s="117">
        <v>41675.681516203702</v>
      </c>
      <c r="I19" s="118" t="s">
        <v>304</v>
      </c>
      <c r="J19" s="106">
        <f t="shared" si="2"/>
        <v>0</v>
      </c>
      <c r="L19" s="105" t="str">
        <f t="shared" si="0"/>
        <v>f10t1</v>
      </c>
      <c r="M19" s="25">
        <v>10</v>
      </c>
      <c r="N19" s="26"/>
      <c r="O19" s="25">
        <v>1</v>
      </c>
      <c r="P19" s="27">
        <v>0.105</v>
      </c>
      <c r="Q19" s="27"/>
      <c r="R19" s="105" t="str">
        <f t="shared" si="3"/>
        <v>f8t2</v>
      </c>
      <c r="S19" s="115">
        <v>198</v>
      </c>
      <c r="T19" s="115">
        <v>8</v>
      </c>
      <c r="U19" s="115">
        <v>2</v>
      </c>
      <c r="V19" s="115">
        <v>0</v>
      </c>
      <c r="W19" s="115">
        <v>0</v>
      </c>
      <c r="X19" s="115">
        <v>13525.292813</v>
      </c>
      <c r="Y19" s="115">
        <v>1.6636110000000002</v>
      </c>
      <c r="Z19" s="112">
        <f t="shared" si="4"/>
        <v>9.9999999038296824E-4</v>
      </c>
      <c r="AA19" s="107">
        <f t="shared" si="5"/>
        <v>-9.6170317803040417E-12</v>
      </c>
      <c r="AC19" s="105" t="str">
        <f t="shared" si="6"/>
        <v>f5t1</v>
      </c>
      <c r="AD19" s="115">
        <v>16</v>
      </c>
      <c r="AE19" s="115">
        <v>5</v>
      </c>
      <c r="AF19" s="115">
        <v>1</v>
      </c>
      <c r="AG19" s="115">
        <v>0.3</v>
      </c>
    </row>
    <row r="20" spans="1:33" x14ac:dyDescent="0.3">
      <c r="A20" s="105" t="str">
        <f t="shared" si="1"/>
        <v>f3t2</v>
      </c>
      <c r="B20" s="116">
        <v>198</v>
      </c>
      <c r="C20" s="116">
        <v>3</v>
      </c>
      <c r="D20" s="116">
        <v>2</v>
      </c>
      <c r="E20" s="116">
        <v>2</v>
      </c>
      <c r="F20" s="116">
        <v>0.57799999999999996</v>
      </c>
      <c r="G20" s="116">
        <v>0.24525646591603401</v>
      </c>
      <c r="H20" s="117">
        <v>41675.681516203702</v>
      </c>
      <c r="I20" s="118" t="s">
        <v>304</v>
      </c>
      <c r="J20" s="106">
        <f t="shared" si="2"/>
        <v>0</v>
      </c>
      <c r="L20" s="105" t="str">
        <f t="shared" si="0"/>
        <v>f10t2</v>
      </c>
      <c r="M20" s="25">
        <v>10</v>
      </c>
      <c r="N20" s="26"/>
      <c r="O20" s="25">
        <v>2</v>
      </c>
      <c r="P20" s="27">
        <v>0.105</v>
      </c>
      <c r="Q20" s="27"/>
      <c r="R20" s="105" t="str">
        <f t="shared" si="3"/>
        <v>f8t3</v>
      </c>
      <c r="S20" s="115">
        <v>198</v>
      </c>
      <c r="T20" s="115">
        <v>8</v>
      </c>
      <c r="U20" s="115">
        <v>3</v>
      </c>
      <c r="V20" s="115">
        <v>0</v>
      </c>
      <c r="W20" s="115">
        <v>0</v>
      </c>
      <c r="X20" s="115">
        <v>41280.089813999992</v>
      </c>
      <c r="Y20" s="115">
        <v>5.0774529999999993</v>
      </c>
      <c r="Z20" s="112">
        <f t="shared" si="4"/>
        <v>1.0000003846177899E-3</v>
      </c>
      <c r="AA20" s="107">
        <f t="shared" si="5"/>
        <v>3.8461778987392004E-10</v>
      </c>
      <c r="AC20" s="105" t="str">
        <f t="shared" si="6"/>
        <v>f5t2</v>
      </c>
      <c r="AD20" s="115">
        <v>16</v>
      </c>
      <c r="AE20" s="115">
        <v>5</v>
      </c>
      <c r="AF20" s="115">
        <v>2</v>
      </c>
      <c r="AG20" s="115">
        <v>0.3</v>
      </c>
    </row>
    <row r="21" spans="1:33" x14ac:dyDescent="0.3">
      <c r="A21" s="105" t="str">
        <f t="shared" si="1"/>
        <v>f3t3</v>
      </c>
      <c r="B21" s="116">
        <v>198</v>
      </c>
      <c r="C21" s="116">
        <v>3</v>
      </c>
      <c r="D21" s="116">
        <v>2</v>
      </c>
      <c r="E21" s="116">
        <v>3</v>
      </c>
      <c r="F21" s="116">
        <v>0.57799999999999996</v>
      </c>
      <c r="G21" s="116">
        <v>0.25958513838384001</v>
      </c>
      <c r="H21" s="117">
        <v>41675.681516203702</v>
      </c>
      <c r="I21" s="118" t="s">
        <v>304</v>
      </c>
      <c r="J21" s="106">
        <f t="shared" si="2"/>
        <v>0</v>
      </c>
      <c r="L21" s="105" t="str">
        <f t="shared" si="0"/>
        <v>f10t3</v>
      </c>
      <c r="M21" s="25">
        <v>10</v>
      </c>
      <c r="N21" s="26"/>
      <c r="O21" s="25">
        <v>3</v>
      </c>
      <c r="P21" s="27">
        <v>0.105</v>
      </c>
      <c r="Q21" s="27"/>
      <c r="R21" s="105" t="str">
        <f t="shared" si="3"/>
        <v>f9t1</v>
      </c>
      <c r="S21" s="115">
        <v>198</v>
      </c>
      <c r="T21" s="115">
        <v>9</v>
      </c>
      <c r="U21" s="115">
        <v>1</v>
      </c>
      <c r="V21" s="115">
        <v>0</v>
      </c>
      <c r="W21" s="115">
        <v>0</v>
      </c>
      <c r="X21" s="115">
        <v>135.74924500000003</v>
      </c>
      <c r="Y21" s="115">
        <v>0</v>
      </c>
      <c r="Z21" s="112">
        <f t="shared" si="4"/>
        <v>0</v>
      </c>
      <c r="AA21" s="107">
        <f>Z21-VLOOKUP(R21,L$3:P$100,5,FALSE)</f>
        <v>-0.111</v>
      </c>
      <c r="AC21" s="105" t="str">
        <f t="shared" si="6"/>
        <v>f5t3</v>
      </c>
      <c r="AD21" s="115">
        <v>16</v>
      </c>
      <c r="AE21" s="115">
        <v>5</v>
      </c>
      <c r="AF21" s="115">
        <v>3</v>
      </c>
      <c r="AG21" s="115">
        <v>0.3</v>
      </c>
    </row>
    <row r="22" spans="1:33" x14ac:dyDescent="0.3">
      <c r="A22" s="105" t="str">
        <f t="shared" si="1"/>
        <v>f3t4</v>
      </c>
      <c r="B22" s="116">
        <v>198</v>
      </c>
      <c r="C22" s="116">
        <v>3</v>
      </c>
      <c r="D22" s="116">
        <v>2</v>
      </c>
      <c r="E22" s="116">
        <v>4</v>
      </c>
      <c r="F22" s="116">
        <v>0.57799999999999996</v>
      </c>
      <c r="G22" s="116">
        <v>0.387426649465128</v>
      </c>
      <c r="H22" s="117">
        <v>41675.681516203702</v>
      </c>
      <c r="I22" s="118" t="s">
        <v>304</v>
      </c>
      <c r="J22" s="106">
        <f t="shared" si="2"/>
        <v>0</v>
      </c>
      <c r="L22" s="105" t="str">
        <f t="shared" si="0"/>
        <v>f10t4</v>
      </c>
      <c r="M22" s="25">
        <v>10</v>
      </c>
      <c r="N22" s="26"/>
      <c r="O22" s="25">
        <v>4</v>
      </c>
      <c r="P22" s="27">
        <v>0.105</v>
      </c>
      <c r="Q22" s="27"/>
      <c r="R22" s="105" t="str">
        <f t="shared" si="3"/>
        <v>f9t2</v>
      </c>
      <c r="S22" s="115">
        <v>198</v>
      </c>
      <c r="T22" s="115">
        <v>9</v>
      </c>
      <c r="U22" s="115">
        <v>2</v>
      </c>
      <c r="V22" s="115">
        <v>0</v>
      </c>
      <c r="W22" s="115">
        <v>0</v>
      </c>
      <c r="X22" s="115">
        <v>22100.868141999996</v>
      </c>
      <c r="Y22" s="115">
        <v>625.56507499999987</v>
      </c>
      <c r="Z22" s="112">
        <f t="shared" si="4"/>
        <v>0.11100000039758708</v>
      </c>
      <c r="AA22" s="107">
        <f t="shared" si="5"/>
        <v>3.9758707437442808E-10</v>
      </c>
      <c r="AC22" s="105" t="str">
        <f t="shared" si="6"/>
        <v>f5t4</v>
      </c>
      <c r="AD22" s="115">
        <v>16</v>
      </c>
      <c r="AE22" s="115">
        <v>5</v>
      </c>
      <c r="AF22" s="115">
        <v>4</v>
      </c>
      <c r="AG22" s="115">
        <v>0.3</v>
      </c>
    </row>
    <row r="23" spans="1:33" x14ac:dyDescent="0.3">
      <c r="A23" s="105" t="str">
        <f t="shared" si="1"/>
        <v>f3t1</v>
      </c>
      <c r="B23" s="116">
        <v>198</v>
      </c>
      <c r="C23" s="116">
        <v>3</v>
      </c>
      <c r="D23" s="116">
        <v>3</v>
      </c>
      <c r="E23" s="116">
        <v>1</v>
      </c>
      <c r="F23" s="116">
        <v>0.57799999999999996</v>
      </c>
      <c r="G23" s="116">
        <v>0.21282585241999799</v>
      </c>
      <c r="H23" s="117">
        <v>41675.681516203702</v>
      </c>
      <c r="I23" s="118" t="s">
        <v>304</v>
      </c>
      <c r="J23" s="106">
        <f t="shared" si="2"/>
        <v>0</v>
      </c>
      <c r="L23" s="105" t="str">
        <f t="shared" si="0"/>
        <v>f11t1</v>
      </c>
      <c r="M23" s="25">
        <v>11</v>
      </c>
      <c r="N23" s="26"/>
      <c r="O23" s="25">
        <v>1</v>
      </c>
      <c r="P23" s="27">
        <v>0.2</v>
      </c>
      <c r="Q23" s="27"/>
      <c r="R23" s="105" t="str">
        <f t="shared" si="3"/>
        <v>f9t3</v>
      </c>
      <c r="S23" s="115">
        <v>198</v>
      </c>
      <c r="T23" s="115">
        <v>9</v>
      </c>
      <c r="U23" s="115">
        <v>3</v>
      </c>
      <c r="V23" s="115">
        <v>0</v>
      </c>
      <c r="W23" s="115">
        <v>0</v>
      </c>
      <c r="X23" s="115">
        <v>45812.491099999985</v>
      </c>
      <c r="Y23" s="115">
        <v>1296.7225460000006</v>
      </c>
      <c r="Z23" s="112">
        <f t="shared" si="4"/>
        <v>0.11099999875147511</v>
      </c>
      <c r="AA23" s="107">
        <f t="shared" si="5"/>
        <v>-1.2485248945814931E-9</v>
      </c>
      <c r="AC23" s="105" t="str">
        <f t="shared" si="6"/>
        <v>f6t1</v>
      </c>
      <c r="AD23" s="115">
        <v>16</v>
      </c>
      <c r="AE23" s="115">
        <v>6</v>
      </c>
      <c r="AF23" s="115">
        <v>1</v>
      </c>
      <c r="AG23" s="115">
        <v>0.3</v>
      </c>
    </row>
    <row r="24" spans="1:33" x14ac:dyDescent="0.3">
      <c r="A24" s="105" t="str">
        <f t="shared" si="1"/>
        <v>f3t2</v>
      </c>
      <c r="B24" s="116">
        <v>198</v>
      </c>
      <c r="C24" s="116">
        <v>3</v>
      </c>
      <c r="D24" s="116">
        <v>3</v>
      </c>
      <c r="E24" s="116">
        <v>2</v>
      </c>
      <c r="F24" s="116">
        <v>0.57799999999999996</v>
      </c>
      <c r="G24" s="116">
        <v>0.24525646591603401</v>
      </c>
      <c r="H24" s="117">
        <v>41675.681516203702</v>
      </c>
      <c r="I24" s="118" t="s">
        <v>304</v>
      </c>
      <c r="J24" s="106">
        <f t="shared" si="2"/>
        <v>0</v>
      </c>
      <c r="L24" s="105" t="str">
        <f t="shared" si="0"/>
        <v>f11t2</v>
      </c>
      <c r="M24" s="25">
        <v>11</v>
      </c>
      <c r="N24" s="26"/>
      <c r="O24" s="25">
        <v>2</v>
      </c>
      <c r="P24" s="27">
        <v>0.2</v>
      </c>
      <c r="Q24" s="27"/>
      <c r="R24" s="105" t="str">
        <f t="shared" si="3"/>
        <v>f9t4</v>
      </c>
      <c r="S24" s="115">
        <v>198</v>
      </c>
      <c r="T24" s="115">
        <v>9</v>
      </c>
      <c r="U24" s="115">
        <v>4</v>
      </c>
      <c r="V24" s="115">
        <v>0</v>
      </c>
      <c r="W24" s="115">
        <v>0</v>
      </c>
      <c r="X24" s="115">
        <v>135.82566500000001</v>
      </c>
      <c r="Y24" s="115">
        <v>0</v>
      </c>
      <c r="Z24" s="112">
        <f t="shared" si="4"/>
        <v>0</v>
      </c>
      <c r="AA24" s="107">
        <f t="shared" si="5"/>
        <v>-0.111</v>
      </c>
      <c r="AC24" s="105" t="str">
        <f t="shared" si="6"/>
        <v>f6t2</v>
      </c>
      <c r="AD24" s="115">
        <v>16</v>
      </c>
      <c r="AE24" s="115">
        <v>6</v>
      </c>
      <c r="AF24" s="115">
        <v>2</v>
      </c>
      <c r="AG24" s="115">
        <v>0.3</v>
      </c>
    </row>
    <row r="25" spans="1:33" x14ac:dyDescent="0.3">
      <c r="A25" s="105" t="str">
        <f t="shared" si="1"/>
        <v>f3t3</v>
      </c>
      <c r="B25" s="116">
        <v>198</v>
      </c>
      <c r="C25" s="116">
        <v>3</v>
      </c>
      <c r="D25" s="116">
        <v>3</v>
      </c>
      <c r="E25" s="116">
        <v>3</v>
      </c>
      <c r="F25" s="116">
        <v>0.57799999999999996</v>
      </c>
      <c r="G25" s="116">
        <v>0.25958513838384001</v>
      </c>
      <c r="H25" s="117">
        <v>41675.681516203702</v>
      </c>
      <c r="I25" s="118" t="s">
        <v>304</v>
      </c>
      <c r="J25" s="106">
        <f t="shared" si="2"/>
        <v>0</v>
      </c>
      <c r="L25" s="105" t="str">
        <f t="shared" si="0"/>
        <v>f11t3</v>
      </c>
      <c r="M25" s="25">
        <v>11</v>
      </c>
      <c r="N25" s="26"/>
      <c r="O25" s="25">
        <v>3</v>
      </c>
      <c r="P25" s="27">
        <v>0.2</v>
      </c>
      <c r="Q25" s="27"/>
      <c r="R25" s="105" t="str">
        <f t="shared" si="3"/>
        <v>f10t1</v>
      </c>
      <c r="S25" s="115">
        <v>198</v>
      </c>
      <c r="T25" s="115">
        <v>10</v>
      </c>
      <c r="U25" s="115">
        <v>1</v>
      </c>
      <c r="V25" s="115">
        <v>0</v>
      </c>
      <c r="W25" s="115">
        <v>0</v>
      </c>
      <c r="X25" s="115">
        <v>9778.9017499999973</v>
      </c>
      <c r="Y25" s="115">
        <v>261.83009300000009</v>
      </c>
      <c r="Z25" s="112">
        <f t="shared" si="4"/>
        <v>0.10499999945611205</v>
      </c>
      <c r="AA25" s="107">
        <f t="shared" si="5"/>
        <v>-5.4388794856752298E-10</v>
      </c>
      <c r="AC25" s="105" t="str">
        <f t="shared" si="6"/>
        <v>f6t3</v>
      </c>
      <c r="AD25" s="115">
        <v>16</v>
      </c>
      <c r="AE25" s="115">
        <v>6</v>
      </c>
      <c r="AF25" s="115">
        <v>3</v>
      </c>
      <c r="AG25" s="115">
        <v>0.3</v>
      </c>
    </row>
    <row r="26" spans="1:33" x14ac:dyDescent="0.3">
      <c r="A26" s="105" t="str">
        <f t="shared" si="1"/>
        <v>f3t4</v>
      </c>
      <c r="B26" s="116">
        <v>198</v>
      </c>
      <c r="C26" s="116">
        <v>3</v>
      </c>
      <c r="D26" s="116">
        <v>3</v>
      </c>
      <c r="E26" s="116">
        <v>4</v>
      </c>
      <c r="F26" s="116">
        <v>0.57799999999999996</v>
      </c>
      <c r="G26" s="116">
        <v>0.387426649465128</v>
      </c>
      <c r="H26" s="117">
        <v>41675.681516203702</v>
      </c>
      <c r="I26" s="118" t="s">
        <v>304</v>
      </c>
      <c r="J26" s="106">
        <f t="shared" si="2"/>
        <v>0</v>
      </c>
      <c r="L26" s="105" t="str">
        <f t="shared" si="0"/>
        <v>f11t4</v>
      </c>
      <c r="M26" s="25">
        <v>11</v>
      </c>
      <c r="N26" s="26"/>
      <c r="O26" s="25">
        <v>4</v>
      </c>
      <c r="P26" s="27">
        <v>0.2</v>
      </c>
      <c r="Q26" s="27"/>
      <c r="R26" s="105" t="str">
        <f t="shared" si="3"/>
        <v>f10t2</v>
      </c>
      <c r="S26" s="115">
        <v>198</v>
      </c>
      <c r="T26" s="115">
        <v>10</v>
      </c>
      <c r="U26" s="115">
        <v>2</v>
      </c>
      <c r="V26" s="115">
        <v>0</v>
      </c>
      <c r="W26" s="115">
        <v>0</v>
      </c>
      <c r="X26" s="115">
        <v>19565.415785999994</v>
      </c>
      <c r="Y26" s="115">
        <v>523.86400699999979</v>
      </c>
      <c r="Z26" s="112">
        <f t="shared" si="4"/>
        <v>0.10499999986567934</v>
      </c>
      <c r="AA26" s="107">
        <f t="shared" si="5"/>
        <v>-1.3432065182339414E-10</v>
      </c>
      <c r="AC26" s="105" t="str">
        <f t="shared" si="6"/>
        <v>f6t4</v>
      </c>
      <c r="AD26" s="115">
        <v>16</v>
      </c>
      <c r="AE26" s="115">
        <v>6</v>
      </c>
      <c r="AF26" s="115">
        <v>4</v>
      </c>
      <c r="AG26" s="115">
        <v>0.3</v>
      </c>
    </row>
    <row r="27" spans="1:33" x14ac:dyDescent="0.3">
      <c r="A27" s="105" t="str">
        <f t="shared" si="1"/>
        <v>f3t1</v>
      </c>
      <c r="B27" s="116">
        <v>198</v>
      </c>
      <c r="C27" s="116">
        <v>3</v>
      </c>
      <c r="D27" s="116">
        <v>4</v>
      </c>
      <c r="E27" s="116">
        <v>1</v>
      </c>
      <c r="F27" s="116">
        <v>0.57799999999999996</v>
      </c>
      <c r="G27" s="116">
        <v>0.21282585241999799</v>
      </c>
      <c r="H27" s="117">
        <v>41675.681516203702</v>
      </c>
      <c r="I27" s="118" t="s">
        <v>304</v>
      </c>
      <c r="J27" s="106">
        <f t="shared" si="2"/>
        <v>0</v>
      </c>
      <c r="L27" s="105" t="str">
        <f t="shared" si="0"/>
        <v>f13t1</v>
      </c>
      <c r="M27" s="25">
        <v>13</v>
      </c>
      <c r="N27" s="26"/>
      <c r="O27" s="25">
        <v>1</v>
      </c>
      <c r="P27" s="27">
        <v>0.61199999999999999</v>
      </c>
      <c r="Q27" s="27"/>
      <c r="R27" s="105" t="str">
        <f t="shared" si="3"/>
        <v>f10t3</v>
      </c>
      <c r="S27" s="115">
        <v>198</v>
      </c>
      <c r="T27" s="115">
        <v>10</v>
      </c>
      <c r="U27" s="115">
        <v>3</v>
      </c>
      <c r="V27" s="115">
        <v>0</v>
      </c>
      <c r="W27" s="115">
        <v>0</v>
      </c>
      <c r="X27" s="115">
        <v>36363.104511999984</v>
      </c>
      <c r="Y27" s="115">
        <v>973.62213099999963</v>
      </c>
      <c r="Z27" s="112">
        <f t="shared" si="4"/>
        <v>0.10500000082945528</v>
      </c>
      <c r="AA27" s="107">
        <f t="shared" si="5"/>
        <v>8.2945528223632436E-10</v>
      </c>
      <c r="AC27" s="105" t="str">
        <f t="shared" si="6"/>
        <v>f7t1</v>
      </c>
      <c r="AD27" s="115">
        <v>16</v>
      </c>
      <c r="AE27" s="115">
        <v>7</v>
      </c>
      <c r="AF27" s="115">
        <v>1</v>
      </c>
      <c r="AG27" s="115">
        <v>0.3</v>
      </c>
    </row>
    <row r="28" spans="1:33" x14ac:dyDescent="0.3">
      <c r="A28" s="105" t="str">
        <f t="shared" si="1"/>
        <v>f3t2</v>
      </c>
      <c r="B28" s="116">
        <v>198</v>
      </c>
      <c r="C28" s="116">
        <v>3</v>
      </c>
      <c r="D28" s="116">
        <v>4</v>
      </c>
      <c r="E28" s="116">
        <v>2</v>
      </c>
      <c r="F28" s="116">
        <v>0.57799999999999996</v>
      </c>
      <c r="G28" s="116">
        <v>0.24525646591603401</v>
      </c>
      <c r="H28" s="117">
        <v>41675.681516203702</v>
      </c>
      <c r="I28" s="118" t="s">
        <v>304</v>
      </c>
      <c r="J28" s="106">
        <f t="shared" si="2"/>
        <v>0</v>
      </c>
      <c r="L28" s="105" t="str">
        <f t="shared" si="0"/>
        <v>f13t2</v>
      </c>
      <c r="M28" s="25">
        <v>13</v>
      </c>
      <c r="N28" s="26"/>
      <c r="O28" s="25">
        <v>2</v>
      </c>
      <c r="P28" s="27">
        <v>0.61199999999999999</v>
      </c>
      <c r="Q28" s="27"/>
      <c r="R28" s="105" t="str">
        <f t="shared" si="3"/>
        <v>f10t4</v>
      </c>
      <c r="S28" s="115">
        <v>198</v>
      </c>
      <c r="T28" s="115">
        <v>10</v>
      </c>
      <c r="U28" s="115">
        <v>4</v>
      </c>
      <c r="V28" s="115">
        <v>0</v>
      </c>
      <c r="W28" s="115">
        <v>0</v>
      </c>
      <c r="X28" s="115">
        <v>9781.7331019999983</v>
      </c>
      <c r="Y28" s="115">
        <v>261.90589900000009</v>
      </c>
      <c r="Z28" s="112">
        <f t="shared" si="4"/>
        <v>0.10499999807321933</v>
      </c>
      <c r="AA28" s="107">
        <f t="shared" si="5"/>
        <v>-1.926780665573169E-9</v>
      </c>
      <c r="AC28" s="105" t="str">
        <f t="shared" si="6"/>
        <v>f7t2</v>
      </c>
      <c r="AD28" s="115">
        <v>16</v>
      </c>
      <c r="AE28" s="115">
        <v>7</v>
      </c>
      <c r="AF28" s="115">
        <v>2</v>
      </c>
      <c r="AG28" s="115">
        <v>0.3</v>
      </c>
    </row>
    <row r="29" spans="1:33" x14ac:dyDescent="0.3">
      <c r="A29" s="105" t="str">
        <f t="shared" si="1"/>
        <v>f3t3</v>
      </c>
      <c r="B29" s="116">
        <v>198</v>
      </c>
      <c r="C29" s="116">
        <v>3</v>
      </c>
      <c r="D29" s="116">
        <v>4</v>
      </c>
      <c r="E29" s="116">
        <v>3</v>
      </c>
      <c r="F29" s="116">
        <v>0.57799999999999996</v>
      </c>
      <c r="G29" s="116">
        <v>0.25958513838384001</v>
      </c>
      <c r="H29" s="117">
        <v>41675.681516203702</v>
      </c>
      <c r="I29" s="118" t="s">
        <v>304</v>
      </c>
      <c r="J29" s="106">
        <f t="shared" si="2"/>
        <v>0</v>
      </c>
      <c r="L29" s="105" t="str">
        <f t="shared" si="0"/>
        <v>f13t3</v>
      </c>
      <c r="M29" s="25">
        <v>13</v>
      </c>
      <c r="N29" s="26"/>
      <c r="O29" s="25">
        <v>3</v>
      </c>
      <c r="P29" s="27">
        <v>0.61199999999999999</v>
      </c>
      <c r="Q29" s="27"/>
      <c r="R29" s="105" t="str">
        <f t="shared" si="3"/>
        <v>f11t3</v>
      </c>
      <c r="S29" s="115">
        <v>198</v>
      </c>
      <c r="T29" s="115">
        <v>11</v>
      </c>
      <c r="U29" s="115">
        <v>3</v>
      </c>
      <c r="V29" s="115">
        <v>0</v>
      </c>
      <c r="W29" s="115">
        <v>0</v>
      </c>
      <c r="X29" s="115">
        <v>65482.573438000007</v>
      </c>
      <c r="Y29" s="115">
        <v>1610.871304</v>
      </c>
      <c r="Z29" s="112">
        <f t="shared" si="4"/>
        <v>0.19999999968032206</v>
      </c>
      <c r="AA29" s="107">
        <f t="shared" si="5"/>
        <v>-3.1967795077747496E-10</v>
      </c>
      <c r="AC29" s="105" t="str">
        <f t="shared" si="6"/>
        <v>f7t3</v>
      </c>
      <c r="AD29" s="115">
        <v>16</v>
      </c>
      <c r="AE29" s="115">
        <v>7</v>
      </c>
      <c r="AF29" s="115">
        <v>3</v>
      </c>
      <c r="AG29" s="115">
        <v>0.3</v>
      </c>
    </row>
    <row r="30" spans="1:33" x14ac:dyDescent="0.3">
      <c r="A30" s="105" t="str">
        <f t="shared" si="1"/>
        <v>f3t4</v>
      </c>
      <c r="B30" s="116">
        <v>198</v>
      </c>
      <c r="C30" s="116">
        <v>3</v>
      </c>
      <c r="D30" s="116">
        <v>4</v>
      </c>
      <c r="E30" s="116">
        <v>4</v>
      </c>
      <c r="F30" s="116">
        <v>0.57799999999999996</v>
      </c>
      <c r="G30" s="116">
        <v>0.387426649465128</v>
      </c>
      <c r="H30" s="117">
        <v>41675.681516203702</v>
      </c>
      <c r="I30" s="118" t="s">
        <v>304</v>
      </c>
      <c r="J30" s="106">
        <f t="shared" si="2"/>
        <v>0</v>
      </c>
      <c r="L30" s="105" t="str">
        <f t="shared" si="0"/>
        <v>f13t4</v>
      </c>
      <c r="M30" s="25">
        <v>13</v>
      </c>
      <c r="N30" s="26"/>
      <c r="O30" s="25">
        <v>4</v>
      </c>
      <c r="P30" s="27">
        <v>0.61199999999999999</v>
      </c>
      <c r="Q30" s="27"/>
      <c r="R30" s="105" t="str">
        <f t="shared" si="3"/>
        <v>f13t1</v>
      </c>
      <c r="S30" s="115">
        <v>198</v>
      </c>
      <c r="T30" s="115">
        <v>13</v>
      </c>
      <c r="U30" s="115">
        <v>1</v>
      </c>
      <c r="V30" s="115">
        <v>0</v>
      </c>
      <c r="W30" s="115">
        <v>0</v>
      </c>
      <c r="X30" s="115">
        <v>5.000001000000001</v>
      </c>
      <c r="Y30" s="115">
        <v>0</v>
      </c>
      <c r="Z30" s="112">
        <f t="shared" si="4"/>
        <v>0</v>
      </c>
      <c r="AA30" s="107">
        <f>Z30-VLOOKUP(R30,L$3:P$100,5,FALSE)</f>
        <v>-0.61199999999999999</v>
      </c>
      <c r="AC30" s="105" t="str">
        <f t="shared" si="6"/>
        <v>f7t4</v>
      </c>
      <c r="AD30" s="115">
        <v>16</v>
      </c>
      <c r="AE30" s="115">
        <v>7</v>
      </c>
      <c r="AF30" s="115">
        <v>4</v>
      </c>
      <c r="AG30" s="115">
        <v>0.3</v>
      </c>
    </row>
    <row r="31" spans="1:33" x14ac:dyDescent="0.3">
      <c r="A31" s="105" t="str">
        <f t="shared" si="1"/>
        <v>f3t1</v>
      </c>
      <c r="B31" s="116">
        <v>198</v>
      </c>
      <c r="C31" s="116">
        <v>3</v>
      </c>
      <c r="D31" s="116">
        <v>5</v>
      </c>
      <c r="E31" s="116">
        <v>1</v>
      </c>
      <c r="F31" s="116">
        <v>0.57799999999999996</v>
      </c>
      <c r="G31" s="116">
        <v>0.21282585241999799</v>
      </c>
      <c r="H31" s="117">
        <v>41675.681516203702</v>
      </c>
      <c r="I31" s="118" t="s">
        <v>304</v>
      </c>
      <c r="J31" s="106">
        <f t="shared" si="2"/>
        <v>0</v>
      </c>
      <c r="L31" s="105" t="str">
        <f t="shared" si="0"/>
        <v>f14t1</v>
      </c>
      <c r="M31" s="25">
        <v>14</v>
      </c>
      <c r="N31" s="26"/>
      <c r="O31" s="25">
        <v>1</v>
      </c>
      <c r="P31" s="27">
        <v>1.0780000000000001</v>
      </c>
      <c r="Q31" s="27"/>
      <c r="R31" s="105" t="str">
        <f t="shared" si="3"/>
        <v>f13t2</v>
      </c>
      <c r="S31" s="115">
        <v>198</v>
      </c>
      <c r="T31" s="115">
        <v>13</v>
      </c>
      <c r="U31" s="115">
        <v>2</v>
      </c>
      <c r="V31" s="115">
        <v>0</v>
      </c>
      <c r="W31" s="115">
        <v>0</v>
      </c>
      <c r="X31" s="115">
        <v>1577.0000029999997</v>
      </c>
      <c r="Y31" s="115">
        <v>118.710251</v>
      </c>
      <c r="Z31" s="112">
        <f t="shared" si="4"/>
        <v>0.6119999936803544</v>
      </c>
      <c r="AA31" s="107">
        <f t="shared" si="5"/>
        <v>-6.3196455846181721E-9</v>
      </c>
      <c r="AC31" s="105" t="str">
        <f t="shared" si="6"/>
        <v>f8t1</v>
      </c>
      <c r="AD31" s="115">
        <v>16</v>
      </c>
      <c r="AE31" s="115">
        <v>8</v>
      </c>
      <c r="AF31" s="115">
        <v>1</v>
      </c>
      <c r="AG31" s="115">
        <v>0.123</v>
      </c>
    </row>
    <row r="32" spans="1:33" x14ac:dyDescent="0.3">
      <c r="A32" s="105" t="str">
        <f t="shared" si="1"/>
        <v>f3t2</v>
      </c>
      <c r="B32" s="116">
        <v>198</v>
      </c>
      <c r="C32" s="116">
        <v>3</v>
      </c>
      <c r="D32" s="116">
        <v>5</v>
      </c>
      <c r="E32" s="116">
        <v>2</v>
      </c>
      <c r="F32" s="116">
        <v>0.57799999999999996</v>
      </c>
      <c r="G32" s="116">
        <v>0.24525646591603401</v>
      </c>
      <c r="H32" s="117">
        <v>41675.681516203702</v>
      </c>
      <c r="I32" s="118" t="s">
        <v>304</v>
      </c>
      <c r="J32" s="106">
        <f t="shared" si="2"/>
        <v>0</v>
      </c>
      <c r="L32" s="105" t="str">
        <f t="shared" si="0"/>
        <v>f14t2</v>
      </c>
      <c r="M32" s="25">
        <v>14</v>
      </c>
      <c r="N32" s="26"/>
      <c r="O32" s="25">
        <v>2</v>
      </c>
      <c r="P32" s="27">
        <v>1.0780000000000001</v>
      </c>
      <c r="Q32" s="27"/>
      <c r="R32" s="105" t="str">
        <f t="shared" si="3"/>
        <v>f13t3</v>
      </c>
      <c r="S32" s="115">
        <v>198</v>
      </c>
      <c r="T32" s="115">
        <v>13</v>
      </c>
      <c r="U32" s="115">
        <v>3</v>
      </c>
      <c r="V32" s="115">
        <v>0</v>
      </c>
      <c r="W32" s="115">
        <v>0</v>
      </c>
      <c r="X32" s="115">
        <v>16540.999997999999</v>
      </c>
      <c r="Y32" s="115">
        <v>1245.1403170000001</v>
      </c>
      <c r="Z32" s="112">
        <f t="shared" si="4"/>
        <v>0.61200000056550896</v>
      </c>
      <c r="AA32" s="107">
        <f>Z32-VLOOKUP(R32,L$3:P$100,5,FALSE)</f>
        <v>5.6550897298279779E-10</v>
      </c>
      <c r="AC32" s="105" t="str">
        <f t="shared" si="6"/>
        <v>f8t2</v>
      </c>
      <c r="AD32" s="115">
        <v>16</v>
      </c>
      <c r="AE32" s="115">
        <v>8</v>
      </c>
      <c r="AF32" s="115">
        <v>2</v>
      </c>
      <c r="AG32" s="115">
        <v>0.123</v>
      </c>
    </row>
    <row r="33" spans="1:33" x14ac:dyDescent="0.3">
      <c r="A33" s="105" t="str">
        <f t="shared" si="1"/>
        <v>f3t3</v>
      </c>
      <c r="B33" s="116">
        <v>198</v>
      </c>
      <c r="C33" s="116">
        <v>3</v>
      </c>
      <c r="D33" s="116">
        <v>5</v>
      </c>
      <c r="E33" s="116">
        <v>3</v>
      </c>
      <c r="F33" s="116">
        <v>0.57799999999999996</v>
      </c>
      <c r="G33" s="116">
        <v>0.25958513838384001</v>
      </c>
      <c r="H33" s="117">
        <v>41675.681516203702</v>
      </c>
      <c r="I33" s="118" t="s">
        <v>304</v>
      </c>
      <c r="J33" s="106">
        <f t="shared" si="2"/>
        <v>0</v>
      </c>
      <c r="L33" s="105" t="str">
        <f t="shared" si="0"/>
        <v>f14t3</v>
      </c>
      <c r="M33" s="25">
        <v>14</v>
      </c>
      <c r="N33" s="26"/>
      <c r="O33" s="25">
        <v>3</v>
      </c>
      <c r="P33" s="27">
        <v>1.0780000000000001</v>
      </c>
      <c r="Q33" s="27"/>
      <c r="R33" s="105" t="str">
        <f t="shared" si="3"/>
        <v>f13t4</v>
      </c>
      <c r="S33" s="115">
        <v>198</v>
      </c>
      <c r="T33" s="115">
        <v>13</v>
      </c>
      <c r="U33" s="115">
        <v>4</v>
      </c>
      <c r="V33" s="115">
        <v>0</v>
      </c>
      <c r="W33" s="115">
        <v>0</v>
      </c>
      <c r="X33" s="115">
        <v>1.9999990000000001</v>
      </c>
      <c r="Y33" s="115">
        <v>0</v>
      </c>
      <c r="Z33" s="112">
        <f t="shared" si="4"/>
        <v>0</v>
      </c>
      <c r="AA33" s="107">
        <f t="shared" si="5"/>
        <v>-0.61199999999999999</v>
      </c>
      <c r="AC33" s="105" t="str">
        <f t="shared" si="6"/>
        <v>f8t3</v>
      </c>
      <c r="AD33" s="115">
        <v>16</v>
      </c>
      <c r="AE33" s="115">
        <v>8</v>
      </c>
      <c r="AF33" s="115">
        <v>3</v>
      </c>
      <c r="AG33" s="115">
        <v>0.123</v>
      </c>
    </row>
    <row r="34" spans="1:33" x14ac:dyDescent="0.3">
      <c r="A34" s="105" t="str">
        <f t="shared" si="1"/>
        <v>f3t4</v>
      </c>
      <c r="B34" s="116">
        <v>198</v>
      </c>
      <c r="C34" s="116">
        <v>3</v>
      </c>
      <c r="D34" s="116">
        <v>5</v>
      </c>
      <c r="E34" s="116">
        <v>4</v>
      </c>
      <c r="F34" s="116">
        <v>0.57799999999999996</v>
      </c>
      <c r="G34" s="116">
        <v>0.387426649465128</v>
      </c>
      <c r="H34" s="117">
        <v>41675.681516203702</v>
      </c>
      <c r="I34" s="118" t="s">
        <v>304</v>
      </c>
      <c r="J34" s="106">
        <f t="shared" si="2"/>
        <v>0</v>
      </c>
      <c r="L34" s="105" t="str">
        <f t="shared" si="0"/>
        <v>f14t4</v>
      </c>
      <c r="M34" s="25">
        <v>14</v>
      </c>
      <c r="N34" s="26"/>
      <c r="O34" s="25">
        <v>4</v>
      </c>
      <c r="P34" s="27">
        <v>1.0780000000000001</v>
      </c>
      <c r="Q34" s="27"/>
      <c r="R34" s="105" t="str">
        <f t="shared" si="3"/>
        <v>f14t1</v>
      </c>
      <c r="S34" s="115">
        <v>198</v>
      </c>
      <c r="T34" s="115">
        <v>14</v>
      </c>
      <c r="U34" s="115">
        <v>1</v>
      </c>
      <c r="V34" s="115">
        <v>0</v>
      </c>
      <c r="W34" s="115">
        <v>0</v>
      </c>
      <c r="X34" s="115">
        <v>244.99999800000009</v>
      </c>
      <c r="Y34" s="115">
        <v>0</v>
      </c>
      <c r="Z34" s="112">
        <f t="shared" si="4"/>
        <v>0</v>
      </c>
      <c r="AA34" s="107">
        <f t="shared" si="5"/>
        <v>-1.0780000000000001</v>
      </c>
      <c r="AC34" s="105" t="str">
        <f t="shared" si="6"/>
        <v>f8t4</v>
      </c>
      <c r="AD34" s="115">
        <v>16</v>
      </c>
      <c r="AE34" s="115">
        <v>8</v>
      </c>
      <c r="AF34" s="115">
        <v>4</v>
      </c>
      <c r="AG34" s="115">
        <v>0.123</v>
      </c>
    </row>
    <row r="35" spans="1:33" x14ac:dyDescent="0.3">
      <c r="A35" s="105" t="str">
        <f t="shared" si="1"/>
        <v>f8t1</v>
      </c>
      <c r="B35" s="116">
        <v>198</v>
      </c>
      <c r="C35" s="116">
        <v>8</v>
      </c>
      <c r="D35" s="116">
        <v>2</v>
      </c>
      <c r="E35" s="116">
        <v>1</v>
      </c>
      <c r="F35" s="116">
        <v>1E-3</v>
      </c>
      <c r="G35" s="116">
        <v>1</v>
      </c>
      <c r="H35" s="117">
        <v>41675.681516203702</v>
      </c>
      <c r="I35" s="118" t="s">
        <v>304</v>
      </c>
      <c r="J35" s="106">
        <f t="shared" si="2"/>
        <v>0</v>
      </c>
      <c r="L35" s="105" t="str">
        <f t="shared" si="0"/>
        <v>f15t1</v>
      </c>
      <c r="M35" s="25">
        <v>15</v>
      </c>
      <c r="N35" s="26"/>
      <c r="O35" s="25">
        <v>1</v>
      </c>
      <c r="P35" s="27">
        <v>0.442</v>
      </c>
      <c r="Q35" s="27"/>
      <c r="R35" s="105" t="str">
        <f t="shared" si="3"/>
        <v>f14t2</v>
      </c>
      <c r="S35" s="115">
        <v>198</v>
      </c>
      <c r="T35" s="115">
        <v>14</v>
      </c>
      <c r="U35" s="115">
        <v>2</v>
      </c>
      <c r="V35" s="115">
        <v>0</v>
      </c>
      <c r="W35" s="115">
        <v>0</v>
      </c>
      <c r="X35" s="115">
        <v>1126.9999969999997</v>
      </c>
      <c r="Y35" s="115">
        <v>149.43344000000002</v>
      </c>
      <c r="Z35" s="112">
        <f t="shared" si="4"/>
        <v>1.078000017297394</v>
      </c>
      <c r="AA35" s="107">
        <f t="shared" si="5"/>
        <v>1.7297393961612784E-8</v>
      </c>
      <c r="AC35" s="105" t="str">
        <f t="shared" si="6"/>
        <v>f9t1</v>
      </c>
      <c r="AD35" s="115">
        <v>16</v>
      </c>
      <c r="AE35" s="115">
        <v>9</v>
      </c>
      <c r="AF35" s="115">
        <v>1</v>
      </c>
      <c r="AG35" s="115">
        <v>0.255</v>
      </c>
    </row>
    <row r="36" spans="1:33" x14ac:dyDescent="0.3">
      <c r="A36" s="105" t="str">
        <f t="shared" si="1"/>
        <v>f8t2</v>
      </c>
      <c r="B36" s="116">
        <v>198</v>
      </c>
      <c r="C36" s="116">
        <v>8</v>
      </c>
      <c r="D36" s="116">
        <v>2</v>
      </c>
      <c r="E36" s="116">
        <v>2</v>
      </c>
      <c r="F36" s="116">
        <v>1E-3</v>
      </c>
      <c r="G36" s="116">
        <v>2.7224039764064301E-3</v>
      </c>
      <c r="H36" s="117">
        <v>41675.681516203702</v>
      </c>
      <c r="I36" s="118" t="s">
        <v>304</v>
      </c>
      <c r="J36" s="106">
        <f t="shared" si="2"/>
        <v>0</v>
      </c>
      <c r="L36" s="105" t="str">
        <f t="shared" si="0"/>
        <v>f15t2</v>
      </c>
      <c r="M36" s="25">
        <v>15</v>
      </c>
      <c r="N36" s="26"/>
      <c r="O36" s="25">
        <v>2</v>
      </c>
      <c r="P36" s="27">
        <v>0.442</v>
      </c>
      <c r="Q36" s="27"/>
      <c r="R36" s="105" t="str">
        <f t="shared" si="3"/>
        <v>f14t3</v>
      </c>
      <c r="S36" s="115">
        <v>198</v>
      </c>
      <c r="T36" s="115">
        <v>14</v>
      </c>
      <c r="U36" s="115">
        <v>3</v>
      </c>
      <c r="V36" s="115">
        <v>0</v>
      </c>
      <c r="W36" s="115">
        <v>0</v>
      </c>
      <c r="X36" s="115">
        <v>4412.0000019999998</v>
      </c>
      <c r="Y36" s="115">
        <v>585.00472699999978</v>
      </c>
      <c r="Z36" s="112">
        <f t="shared" si="4"/>
        <v>1.0779999976686123</v>
      </c>
      <c r="AA36" s="107">
        <f t="shared" si="5"/>
        <v>-2.3313877495212409E-9</v>
      </c>
      <c r="AC36" s="105" t="str">
        <f t="shared" si="6"/>
        <v>f9t2</v>
      </c>
      <c r="AD36" s="115">
        <v>16</v>
      </c>
      <c r="AE36" s="115">
        <v>9</v>
      </c>
      <c r="AF36" s="115">
        <v>2</v>
      </c>
      <c r="AG36" s="115">
        <v>0.255</v>
      </c>
    </row>
    <row r="37" spans="1:33" x14ac:dyDescent="0.3">
      <c r="A37" s="105" t="str">
        <f t="shared" si="1"/>
        <v>f8t3</v>
      </c>
      <c r="B37" s="116">
        <v>198</v>
      </c>
      <c r="C37" s="116">
        <v>8</v>
      </c>
      <c r="D37" s="116">
        <v>2</v>
      </c>
      <c r="E37" s="116">
        <v>3</v>
      </c>
      <c r="F37" s="116">
        <v>1E-3</v>
      </c>
      <c r="G37" s="116">
        <v>1.16495322757085E-3</v>
      </c>
      <c r="H37" s="117">
        <v>41675.681516203702</v>
      </c>
      <c r="I37" s="118" t="s">
        <v>304</v>
      </c>
      <c r="J37" s="106">
        <f t="shared" si="2"/>
        <v>0</v>
      </c>
      <c r="L37" s="105" t="str">
        <f t="shared" si="0"/>
        <v>f15t3</v>
      </c>
      <c r="M37" s="25">
        <v>15</v>
      </c>
      <c r="N37" s="26"/>
      <c r="O37" s="25">
        <v>3</v>
      </c>
      <c r="P37" s="27">
        <v>0.442</v>
      </c>
      <c r="Q37" s="27"/>
      <c r="R37" s="105" t="str">
        <f t="shared" si="3"/>
        <v>f14t4</v>
      </c>
      <c r="S37" s="115">
        <v>198</v>
      </c>
      <c r="T37" s="115">
        <v>14</v>
      </c>
      <c r="U37" s="115">
        <v>4</v>
      </c>
      <c r="V37" s="115">
        <v>0</v>
      </c>
      <c r="W37" s="115">
        <v>0</v>
      </c>
      <c r="X37" s="115">
        <v>67.000001999999981</v>
      </c>
      <c r="Y37" s="115">
        <v>0</v>
      </c>
      <c r="Z37" s="112">
        <f t="shared" si="4"/>
        <v>0</v>
      </c>
      <c r="AA37" s="107">
        <f t="shared" si="5"/>
        <v>-1.0780000000000001</v>
      </c>
      <c r="AC37" s="105" t="str">
        <f t="shared" si="6"/>
        <v>f9t3</v>
      </c>
      <c r="AD37" s="115">
        <v>16</v>
      </c>
      <c r="AE37" s="115">
        <v>9</v>
      </c>
      <c r="AF37" s="115">
        <v>3</v>
      </c>
      <c r="AG37" s="115">
        <v>0.255</v>
      </c>
    </row>
    <row r="38" spans="1:33" x14ac:dyDescent="0.3">
      <c r="A38" s="105" t="str">
        <f t="shared" si="1"/>
        <v>f8t4</v>
      </c>
      <c r="B38" s="116">
        <v>198</v>
      </c>
      <c r="C38" s="116">
        <v>8</v>
      </c>
      <c r="D38" s="116">
        <v>2</v>
      </c>
      <c r="E38" s="116">
        <v>4</v>
      </c>
      <c r="F38" s="116">
        <v>1E-3</v>
      </c>
      <c r="G38" s="116">
        <v>1</v>
      </c>
      <c r="H38" s="117">
        <v>41675.681516203702</v>
      </c>
      <c r="I38" s="118" t="s">
        <v>304</v>
      </c>
      <c r="J38" s="106">
        <f t="shared" si="2"/>
        <v>0</v>
      </c>
      <c r="L38" s="105" t="str">
        <f t="shared" si="0"/>
        <v>f15t4</v>
      </c>
      <c r="M38" s="25">
        <v>15</v>
      </c>
      <c r="N38" s="26"/>
      <c r="O38" s="25">
        <v>4</v>
      </c>
      <c r="P38" s="27">
        <v>0.442</v>
      </c>
      <c r="Q38" s="27"/>
      <c r="R38" s="105" t="str">
        <f t="shared" si="3"/>
        <v>f15t1</v>
      </c>
      <c r="S38" s="115">
        <v>198</v>
      </c>
      <c r="T38" s="115">
        <v>15</v>
      </c>
      <c r="U38" s="115">
        <v>1</v>
      </c>
      <c r="V38" s="115">
        <v>0</v>
      </c>
      <c r="W38" s="115">
        <v>0</v>
      </c>
      <c r="X38" s="115">
        <v>1897.7610010000005</v>
      </c>
      <c r="Y38" s="115">
        <v>0</v>
      </c>
      <c r="Z38" s="112">
        <f t="shared" si="4"/>
        <v>0</v>
      </c>
      <c r="AA38" s="107">
        <f t="shared" si="5"/>
        <v>-0.442</v>
      </c>
      <c r="AC38" s="105" t="str">
        <f t="shared" si="6"/>
        <v>f9t4</v>
      </c>
      <c r="AD38" s="115">
        <v>16</v>
      </c>
      <c r="AE38" s="115">
        <v>9</v>
      </c>
      <c r="AF38" s="115">
        <v>4</v>
      </c>
      <c r="AG38" s="115">
        <v>0.255</v>
      </c>
    </row>
    <row r="39" spans="1:33" x14ac:dyDescent="0.3">
      <c r="A39" s="105" t="str">
        <f t="shared" si="1"/>
        <v>f8t1</v>
      </c>
      <c r="B39" s="116">
        <v>198</v>
      </c>
      <c r="C39" s="116">
        <v>8</v>
      </c>
      <c r="D39" s="116">
        <v>3</v>
      </c>
      <c r="E39" s="116">
        <v>1</v>
      </c>
      <c r="F39" s="116">
        <v>1E-3</v>
      </c>
      <c r="G39" s="116">
        <v>1</v>
      </c>
      <c r="H39" s="117">
        <v>41675.681516203702</v>
      </c>
      <c r="I39" s="118" t="s">
        <v>304</v>
      </c>
      <c r="J39" s="106">
        <f t="shared" si="2"/>
        <v>0</v>
      </c>
      <c r="L39" s="105" t="str">
        <f t="shared" si="0"/>
        <v>f16t2</v>
      </c>
      <c r="M39" s="25">
        <v>16</v>
      </c>
      <c r="N39" s="26"/>
      <c r="O39" s="25">
        <v>2</v>
      </c>
      <c r="P39" s="27">
        <v>0.93700000000000006</v>
      </c>
      <c r="Q39" s="27"/>
      <c r="R39" s="105" t="str">
        <f t="shared" si="3"/>
        <v>f15t2</v>
      </c>
      <c r="S39" s="115">
        <v>198</v>
      </c>
      <c r="T39" s="115">
        <v>15</v>
      </c>
      <c r="U39" s="115">
        <v>2</v>
      </c>
      <c r="V39" s="115">
        <v>0</v>
      </c>
      <c r="W39" s="115">
        <v>0</v>
      </c>
      <c r="X39" s="115">
        <v>1414.604</v>
      </c>
      <c r="Y39" s="115">
        <v>76.906357999999997</v>
      </c>
      <c r="Z39" s="112">
        <f t="shared" si="4"/>
        <v>0.44199998239042931</v>
      </c>
      <c r="AA39" s="107">
        <f t="shared" si="5"/>
        <v>-1.7609570690524379E-8</v>
      </c>
      <c r="AC39" s="105" t="str">
        <f t="shared" si="6"/>
        <v>f10t1</v>
      </c>
      <c r="AD39" s="115">
        <v>16</v>
      </c>
      <c r="AE39" s="115">
        <v>10</v>
      </c>
      <c r="AF39" s="115">
        <v>1</v>
      </c>
      <c r="AG39" s="115">
        <v>0.255</v>
      </c>
    </row>
    <row r="40" spans="1:33" x14ac:dyDescent="0.3">
      <c r="A40" s="105" t="str">
        <f t="shared" si="1"/>
        <v>f8t2</v>
      </c>
      <c r="B40" s="116">
        <v>198</v>
      </c>
      <c r="C40" s="116">
        <v>8</v>
      </c>
      <c r="D40" s="116">
        <v>3</v>
      </c>
      <c r="E40" s="116">
        <v>2</v>
      </c>
      <c r="F40" s="116">
        <v>1E-3</v>
      </c>
      <c r="G40" s="116">
        <v>2.7224039764064301E-3</v>
      </c>
      <c r="H40" s="117">
        <v>41675.681516203702</v>
      </c>
      <c r="I40" s="118" t="s">
        <v>304</v>
      </c>
      <c r="J40" s="106">
        <f t="shared" si="2"/>
        <v>0</v>
      </c>
      <c r="L40" s="105" t="str">
        <f t="shared" si="0"/>
        <v>f16t3</v>
      </c>
      <c r="M40" s="25">
        <v>16</v>
      </c>
      <c r="N40" s="26"/>
      <c r="O40" s="25">
        <v>3</v>
      </c>
      <c r="P40" s="27">
        <v>0.48199999999999998</v>
      </c>
      <c r="Q40" s="27"/>
      <c r="R40" s="105" t="str">
        <f t="shared" si="3"/>
        <v>f15t3</v>
      </c>
      <c r="S40" s="115">
        <v>198</v>
      </c>
      <c r="T40" s="115">
        <v>15</v>
      </c>
      <c r="U40" s="115">
        <v>3</v>
      </c>
      <c r="V40" s="115">
        <v>0</v>
      </c>
      <c r="W40" s="115">
        <v>0</v>
      </c>
      <c r="X40" s="115">
        <v>11204.261399999999</v>
      </c>
      <c r="Y40" s="115">
        <v>609.13087400000006</v>
      </c>
      <c r="Z40" s="112">
        <f t="shared" si="4"/>
        <v>0.44199999907671605</v>
      </c>
      <c r="AA40" s="107">
        <f t="shared" si="5"/>
        <v>-9.2328394929452884E-10</v>
      </c>
      <c r="AC40" s="105" t="str">
        <f t="shared" si="6"/>
        <v>f10t2</v>
      </c>
      <c r="AD40" s="115">
        <v>16</v>
      </c>
      <c r="AE40" s="115">
        <v>10</v>
      </c>
      <c r="AF40" s="115">
        <v>2</v>
      </c>
      <c r="AG40" s="115">
        <v>0.255</v>
      </c>
    </row>
    <row r="41" spans="1:33" x14ac:dyDescent="0.3">
      <c r="A41" s="105" t="str">
        <f t="shared" si="1"/>
        <v>f8t3</v>
      </c>
      <c r="B41" s="116">
        <v>198</v>
      </c>
      <c r="C41" s="116">
        <v>8</v>
      </c>
      <c r="D41" s="116">
        <v>3</v>
      </c>
      <c r="E41" s="116">
        <v>3</v>
      </c>
      <c r="F41" s="116">
        <v>1E-3</v>
      </c>
      <c r="G41" s="116">
        <v>1.16495322757085E-3</v>
      </c>
      <c r="H41" s="117">
        <v>41675.681516203702</v>
      </c>
      <c r="I41" s="118" t="s">
        <v>304</v>
      </c>
      <c r="J41" s="106">
        <f t="shared" si="2"/>
        <v>0</v>
      </c>
      <c r="L41" s="105" t="str">
        <f t="shared" si="0"/>
        <v>f17t1</v>
      </c>
      <c r="M41" s="25">
        <v>17</v>
      </c>
      <c r="N41" s="26"/>
      <c r="O41" s="25">
        <v>1</v>
      </c>
      <c r="P41" s="27">
        <v>0.93700000000000006</v>
      </c>
      <c r="Q41" s="27"/>
      <c r="R41" s="105" t="str">
        <f t="shared" si="3"/>
        <v>f15t4</v>
      </c>
      <c r="S41" s="115">
        <v>198</v>
      </c>
      <c r="T41" s="115">
        <v>15</v>
      </c>
      <c r="U41" s="115">
        <v>4</v>
      </c>
      <c r="V41" s="115">
        <v>0</v>
      </c>
      <c r="W41" s="115">
        <v>0</v>
      </c>
      <c r="X41" s="115">
        <v>1897.7610000000002</v>
      </c>
      <c r="Y41" s="115">
        <v>103.17367399999993</v>
      </c>
      <c r="Z41" s="112">
        <f t="shared" si="4"/>
        <v>0.44199999774659537</v>
      </c>
      <c r="AA41" s="107">
        <f t="shared" si="5"/>
        <v>-2.2534046295596966E-9</v>
      </c>
      <c r="AC41" s="105" t="str">
        <f t="shared" si="6"/>
        <v>f10t3</v>
      </c>
      <c r="AD41" s="115">
        <v>16</v>
      </c>
      <c r="AE41" s="115">
        <v>10</v>
      </c>
      <c r="AF41" s="115">
        <v>3</v>
      </c>
      <c r="AG41" s="115">
        <v>0.255</v>
      </c>
    </row>
    <row r="42" spans="1:33" x14ac:dyDescent="0.3">
      <c r="A42" s="105" t="str">
        <f t="shared" si="1"/>
        <v>f8t4</v>
      </c>
      <c r="B42" s="116">
        <v>198</v>
      </c>
      <c r="C42" s="116">
        <v>8</v>
      </c>
      <c r="D42" s="116">
        <v>3</v>
      </c>
      <c r="E42" s="116">
        <v>4</v>
      </c>
      <c r="F42" s="116">
        <v>1E-3</v>
      </c>
      <c r="G42" s="116">
        <v>1</v>
      </c>
      <c r="H42" s="117">
        <v>41675.681516203702</v>
      </c>
      <c r="I42" s="118" t="s">
        <v>304</v>
      </c>
      <c r="J42" s="106">
        <f t="shared" si="2"/>
        <v>0</v>
      </c>
      <c r="L42" s="105" t="str">
        <f t="shared" si="0"/>
        <v>f17t2</v>
      </c>
      <c r="M42" s="25">
        <v>17</v>
      </c>
      <c r="N42" s="26"/>
      <c r="O42" s="25">
        <v>2</v>
      </c>
      <c r="P42" s="27">
        <v>0.93700000000000006</v>
      </c>
      <c r="Q42" s="27"/>
      <c r="R42" s="105" t="str">
        <f t="shared" si="3"/>
        <v>f16t2</v>
      </c>
      <c r="S42" s="115">
        <v>198</v>
      </c>
      <c r="T42" s="115">
        <v>16</v>
      </c>
      <c r="U42" s="115">
        <v>2</v>
      </c>
      <c r="V42" s="115">
        <v>0</v>
      </c>
      <c r="W42" s="115">
        <v>0</v>
      </c>
      <c r="X42" s="115">
        <v>10697.200901999999</v>
      </c>
      <c r="Y42" s="115">
        <v>2555.9357020000011</v>
      </c>
      <c r="Z42" s="112">
        <f t="shared" si="4"/>
        <v>0.93700000164258901</v>
      </c>
      <c r="AA42" s="107">
        <f t="shared" si="5"/>
        <v>1.6425889537430294E-9</v>
      </c>
      <c r="AC42" s="105" t="str">
        <f t="shared" si="6"/>
        <v>f10t4</v>
      </c>
      <c r="AD42" s="115">
        <v>16</v>
      </c>
      <c r="AE42" s="115">
        <v>10</v>
      </c>
      <c r="AF42" s="115">
        <v>4</v>
      </c>
      <c r="AG42" s="115">
        <v>0.255</v>
      </c>
    </row>
    <row r="43" spans="1:33" x14ac:dyDescent="0.3">
      <c r="A43" s="105" t="str">
        <f t="shared" si="1"/>
        <v>f8t1</v>
      </c>
      <c r="B43" s="116">
        <v>198</v>
      </c>
      <c r="C43" s="116">
        <v>8</v>
      </c>
      <c r="D43" s="116">
        <v>4</v>
      </c>
      <c r="E43" s="116">
        <v>1</v>
      </c>
      <c r="F43" s="116">
        <v>1E-3</v>
      </c>
      <c r="G43" s="116">
        <v>1</v>
      </c>
      <c r="H43" s="117">
        <v>41675.681516203702</v>
      </c>
      <c r="I43" s="118" t="s">
        <v>304</v>
      </c>
      <c r="J43" s="106">
        <f t="shared" si="2"/>
        <v>0</v>
      </c>
      <c r="L43" s="105" t="str">
        <f t="shared" si="0"/>
        <v>f17t3</v>
      </c>
      <c r="M43" s="25">
        <v>17</v>
      </c>
      <c r="N43" s="26"/>
      <c r="O43" s="25">
        <v>3</v>
      </c>
      <c r="P43" s="27">
        <v>0.48199999999999998</v>
      </c>
      <c r="Q43" s="27"/>
      <c r="R43" s="105" t="str">
        <f t="shared" si="3"/>
        <v>f16t3</v>
      </c>
      <c r="S43" s="115">
        <v>198</v>
      </c>
      <c r="T43" s="115">
        <v>16</v>
      </c>
      <c r="U43" s="115">
        <v>3</v>
      </c>
      <c r="V43" s="115">
        <v>0</v>
      </c>
      <c r="W43" s="115">
        <v>0</v>
      </c>
      <c r="X43" s="115">
        <v>8425.5602959999997</v>
      </c>
      <c r="Y43" s="115">
        <v>1035.5856150000004</v>
      </c>
      <c r="Z43" s="112">
        <f t="shared" si="4"/>
        <v>0.48199999954323886</v>
      </c>
      <c r="AA43" s="107">
        <f>Z43-VLOOKUP(R43,L$3:P$100,5,FALSE)</f>
        <v>-4.5676112891968046E-10</v>
      </c>
      <c r="AC43" s="105" t="str">
        <f t="shared" si="6"/>
        <v>f11t1</v>
      </c>
      <c r="AD43" s="115">
        <v>16</v>
      </c>
      <c r="AE43" s="115">
        <v>11</v>
      </c>
      <c r="AF43" s="115">
        <v>1</v>
      </c>
      <c r="AG43" s="115">
        <v>0.123</v>
      </c>
    </row>
    <row r="44" spans="1:33" x14ac:dyDescent="0.3">
      <c r="A44" s="105" t="str">
        <f t="shared" si="1"/>
        <v>f8t2</v>
      </c>
      <c r="B44" s="116">
        <v>198</v>
      </c>
      <c r="C44" s="116">
        <v>8</v>
      </c>
      <c r="D44" s="116">
        <v>4</v>
      </c>
      <c r="E44" s="116">
        <v>2</v>
      </c>
      <c r="F44" s="116">
        <v>1E-3</v>
      </c>
      <c r="G44" s="116">
        <v>2.7224039764064301E-3</v>
      </c>
      <c r="H44" s="117">
        <v>41675.681516203702</v>
      </c>
      <c r="I44" s="118" t="s">
        <v>304</v>
      </c>
      <c r="J44" s="106">
        <f t="shared" si="2"/>
        <v>0</v>
      </c>
      <c r="L44" s="105" t="str">
        <f t="shared" si="0"/>
        <v>f17t4</v>
      </c>
      <c r="M44" s="25">
        <v>17</v>
      </c>
      <c r="N44" s="26"/>
      <c r="O44" s="25">
        <v>4</v>
      </c>
      <c r="P44" s="27">
        <v>0.93700000000000006</v>
      </c>
      <c r="Q44" s="27"/>
      <c r="R44" s="105" t="str">
        <f t="shared" si="3"/>
        <v>f17t1</v>
      </c>
      <c r="S44" s="115">
        <v>198</v>
      </c>
      <c r="T44" s="115">
        <v>17</v>
      </c>
      <c r="U44" s="115">
        <v>1</v>
      </c>
      <c r="V44" s="115">
        <v>0</v>
      </c>
      <c r="W44" s="115">
        <v>0</v>
      </c>
      <c r="X44" s="115">
        <v>588.49349899999982</v>
      </c>
      <c r="Y44" s="115">
        <v>140.61169499999997</v>
      </c>
      <c r="Z44" s="112">
        <f t="shared" si="4"/>
        <v>0.93700000544051198</v>
      </c>
      <c r="AA44" s="107">
        <f t="shared" si="5"/>
        <v>5.440511929855063E-9</v>
      </c>
      <c r="AC44" s="105" t="str">
        <f t="shared" si="6"/>
        <v>f11t2</v>
      </c>
      <c r="AD44" s="115">
        <v>16</v>
      </c>
      <c r="AE44" s="115">
        <v>11</v>
      </c>
      <c r="AF44" s="115">
        <v>2</v>
      </c>
      <c r="AG44" s="115">
        <v>0.123</v>
      </c>
    </row>
    <row r="45" spans="1:33" x14ac:dyDescent="0.3">
      <c r="A45" s="105" t="str">
        <f t="shared" si="1"/>
        <v>f8t3</v>
      </c>
      <c r="B45" s="116">
        <v>198</v>
      </c>
      <c r="C45" s="116">
        <v>8</v>
      </c>
      <c r="D45" s="116">
        <v>4</v>
      </c>
      <c r="E45" s="116">
        <v>3</v>
      </c>
      <c r="F45" s="116">
        <v>1E-3</v>
      </c>
      <c r="G45" s="116">
        <v>1.16495322757085E-3</v>
      </c>
      <c r="H45" s="117">
        <v>41675.681516203702</v>
      </c>
      <c r="I45" s="118" t="s">
        <v>304</v>
      </c>
      <c r="J45" s="106">
        <f t="shared" si="2"/>
        <v>0</v>
      </c>
      <c r="L45" s="105" t="str">
        <f t="shared" si="0"/>
        <v>f18t2</v>
      </c>
      <c r="M45" s="25">
        <v>18</v>
      </c>
      <c r="N45" s="26"/>
      <c r="O45" s="25">
        <v>2</v>
      </c>
      <c r="P45" s="27">
        <v>1.113</v>
      </c>
      <c r="Q45" s="27"/>
      <c r="R45" s="105" t="str">
        <f t="shared" si="3"/>
        <v>f17t2</v>
      </c>
      <c r="S45" s="115">
        <v>198</v>
      </c>
      <c r="T45" s="115">
        <v>17</v>
      </c>
      <c r="U45" s="115">
        <v>2</v>
      </c>
      <c r="V45" s="115">
        <v>0</v>
      </c>
      <c r="W45" s="115">
        <v>0</v>
      </c>
      <c r="X45" s="115">
        <v>25377.944902999996</v>
      </c>
      <c r="Y45" s="115">
        <v>6063.6792559999958</v>
      </c>
      <c r="Z45" s="112">
        <f t="shared" si="4"/>
        <v>0.93699999854771088</v>
      </c>
      <c r="AA45" s="107">
        <f t="shared" si="5"/>
        <v>-1.4522891778057101E-9</v>
      </c>
      <c r="AC45" s="105" t="str">
        <f t="shared" si="6"/>
        <v>f11t3</v>
      </c>
      <c r="AD45" s="115">
        <v>16</v>
      </c>
      <c r="AE45" s="115">
        <v>11</v>
      </c>
      <c r="AF45" s="115">
        <v>3</v>
      </c>
      <c r="AG45" s="115">
        <v>0.123</v>
      </c>
    </row>
    <row r="46" spans="1:33" x14ac:dyDescent="0.3">
      <c r="A46" s="105" t="str">
        <f t="shared" si="1"/>
        <v>f8t4</v>
      </c>
      <c r="B46" s="116">
        <v>198</v>
      </c>
      <c r="C46" s="116">
        <v>8</v>
      </c>
      <c r="D46" s="116">
        <v>4</v>
      </c>
      <c r="E46" s="116">
        <v>4</v>
      </c>
      <c r="F46" s="116">
        <v>1E-3</v>
      </c>
      <c r="G46" s="116">
        <v>1</v>
      </c>
      <c r="H46" s="117">
        <v>41675.681516203702</v>
      </c>
      <c r="I46" s="118" t="s">
        <v>304</v>
      </c>
      <c r="J46" s="106">
        <f t="shared" si="2"/>
        <v>0</v>
      </c>
      <c r="L46" s="105" t="str">
        <f t="shared" si="0"/>
        <v>f18t3</v>
      </c>
      <c r="M46" s="25">
        <v>18</v>
      </c>
      <c r="N46" s="26"/>
      <c r="O46" s="25">
        <v>3</v>
      </c>
      <c r="P46" s="27">
        <v>1.113</v>
      </c>
      <c r="Q46" s="27"/>
      <c r="R46" s="105" t="str">
        <f t="shared" si="3"/>
        <v>f17t3</v>
      </c>
      <c r="S46" s="115">
        <v>198</v>
      </c>
      <c r="T46" s="115">
        <v>17</v>
      </c>
      <c r="U46" s="115">
        <v>3</v>
      </c>
      <c r="V46" s="115">
        <v>0</v>
      </c>
      <c r="W46" s="115">
        <v>0</v>
      </c>
      <c r="X46" s="115">
        <v>25237.280601999984</v>
      </c>
      <c r="Y46" s="115">
        <v>3101.914154999999</v>
      </c>
      <c r="Z46" s="112">
        <f t="shared" si="4"/>
        <v>0.48199999941079713</v>
      </c>
      <c r="AA46" s="107">
        <f t="shared" si="5"/>
        <v>-5.892028531739868E-10</v>
      </c>
      <c r="AC46" s="105" t="str">
        <f t="shared" si="6"/>
        <v>f11t4</v>
      </c>
      <c r="AD46" s="115">
        <v>16</v>
      </c>
      <c r="AE46" s="115">
        <v>11</v>
      </c>
      <c r="AF46" s="115">
        <v>4</v>
      </c>
      <c r="AG46" s="115">
        <v>0.123</v>
      </c>
    </row>
    <row r="47" spans="1:33" x14ac:dyDescent="0.3">
      <c r="A47" s="105" t="str">
        <f t="shared" si="1"/>
        <v>f8t1</v>
      </c>
      <c r="B47" s="116">
        <v>198</v>
      </c>
      <c r="C47" s="116">
        <v>8</v>
      </c>
      <c r="D47" s="116">
        <v>5</v>
      </c>
      <c r="E47" s="116">
        <v>1</v>
      </c>
      <c r="F47" s="116">
        <v>1E-3</v>
      </c>
      <c r="G47" s="116">
        <v>1</v>
      </c>
      <c r="H47" s="117">
        <v>41675.681516203702</v>
      </c>
      <c r="I47" s="118" t="s">
        <v>304</v>
      </c>
      <c r="J47" s="106">
        <f t="shared" si="2"/>
        <v>0</v>
      </c>
      <c r="L47" s="105" t="str">
        <f t="shared" si="0"/>
        <v>f20t2</v>
      </c>
      <c r="M47" s="25">
        <v>20</v>
      </c>
      <c r="N47" s="26"/>
      <c r="O47" s="25">
        <v>2</v>
      </c>
      <c r="P47" s="27">
        <v>1.147</v>
      </c>
      <c r="Q47" s="27"/>
      <c r="R47" s="105" t="str">
        <f t="shared" si="3"/>
        <v>f17t4</v>
      </c>
      <c r="S47" s="115">
        <v>198</v>
      </c>
      <c r="T47" s="115">
        <v>17</v>
      </c>
      <c r="U47" s="115">
        <v>4</v>
      </c>
      <c r="V47" s="115">
        <v>0</v>
      </c>
      <c r="W47" s="115">
        <v>0</v>
      </c>
      <c r="X47" s="115">
        <v>7061.9220000000005</v>
      </c>
      <c r="Y47" s="115">
        <v>1687.3403289999992</v>
      </c>
      <c r="Z47" s="112">
        <f t="shared" si="4"/>
        <v>0.93699999773988052</v>
      </c>
      <c r="AA47" s="107">
        <f t="shared" si="5"/>
        <v>-2.2601195359683857E-9</v>
      </c>
      <c r="AC47" s="105" t="str">
        <f t="shared" si="6"/>
        <v>f12t1</v>
      </c>
      <c r="AD47" s="115">
        <v>16</v>
      </c>
      <c r="AE47" s="115">
        <v>12</v>
      </c>
      <c r="AF47" s="115">
        <v>1</v>
      </c>
      <c r="AG47" s="115">
        <v>0.255</v>
      </c>
    </row>
    <row r="48" spans="1:33" x14ac:dyDescent="0.3">
      <c r="A48" s="105" t="str">
        <f t="shared" si="1"/>
        <v>f8t2</v>
      </c>
      <c r="B48" s="116">
        <v>198</v>
      </c>
      <c r="C48" s="116">
        <v>8</v>
      </c>
      <c r="D48" s="116">
        <v>5</v>
      </c>
      <c r="E48" s="116">
        <v>2</v>
      </c>
      <c r="F48" s="116">
        <v>1E-3</v>
      </c>
      <c r="G48" s="116">
        <v>2.7224039764064301E-3</v>
      </c>
      <c r="H48" s="117">
        <v>41675.681516203702</v>
      </c>
      <c r="I48" s="118" t="s">
        <v>304</v>
      </c>
      <c r="J48" s="106">
        <f t="shared" si="2"/>
        <v>0</v>
      </c>
      <c r="L48" s="105" t="str">
        <f t="shared" si="0"/>
        <v>f20t3</v>
      </c>
      <c r="M48" s="25">
        <v>20</v>
      </c>
      <c r="N48" s="26"/>
      <c r="O48" s="25">
        <v>3</v>
      </c>
      <c r="P48" s="27">
        <v>1.2</v>
      </c>
      <c r="Q48" s="27"/>
      <c r="R48" s="105" t="str">
        <f t="shared" si="3"/>
        <v>f18t2</v>
      </c>
      <c r="S48" s="115">
        <v>198</v>
      </c>
      <c r="T48" s="115">
        <v>18</v>
      </c>
      <c r="U48" s="115">
        <v>2</v>
      </c>
      <c r="V48" s="115">
        <v>940.22278600000004</v>
      </c>
      <c r="W48" s="115">
        <v>146.50551900000008</v>
      </c>
      <c r="X48" s="115">
        <v>0</v>
      </c>
      <c r="Y48" s="115">
        <v>0</v>
      </c>
      <c r="Z48" s="112">
        <f t="shared" si="4"/>
        <v>1.1130000340761188</v>
      </c>
      <c r="AA48" s="107">
        <f t="shared" si="5"/>
        <v>3.4076118815562495E-8</v>
      </c>
      <c r="AC48" s="105" t="str">
        <f t="shared" si="6"/>
        <v>f12t2</v>
      </c>
      <c r="AD48" s="115">
        <v>16</v>
      </c>
      <c r="AE48" s="115">
        <v>12</v>
      </c>
      <c r="AF48" s="115">
        <v>2</v>
      </c>
      <c r="AG48" s="115">
        <v>0.255</v>
      </c>
    </row>
    <row r="49" spans="1:33" x14ac:dyDescent="0.3">
      <c r="A49" s="105" t="str">
        <f t="shared" si="1"/>
        <v>f8t3</v>
      </c>
      <c r="B49" s="116">
        <v>198</v>
      </c>
      <c r="C49" s="116">
        <v>8</v>
      </c>
      <c r="D49" s="116">
        <v>5</v>
      </c>
      <c r="E49" s="116">
        <v>3</v>
      </c>
      <c r="F49" s="116">
        <v>1E-3</v>
      </c>
      <c r="G49" s="116">
        <v>1.16495322757085E-3</v>
      </c>
      <c r="H49" s="117">
        <v>41675.681516203702</v>
      </c>
      <c r="I49" s="118" t="s">
        <v>304</v>
      </c>
      <c r="J49" s="106">
        <f t="shared" si="2"/>
        <v>0</v>
      </c>
      <c r="L49" s="105" t="str">
        <f t="shared" si="0"/>
        <v>f21t2</v>
      </c>
      <c r="M49" s="25">
        <v>21</v>
      </c>
      <c r="N49" s="26"/>
      <c r="O49" s="25">
        <v>2</v>
      </c>
      <c r="P49" s="27">
        <v>1.147</v>
      </c>
      <c r="Q49" s="27"/>
      <c r="R49" s="105" t="str">
        <f t="shared" si="3"/>
        <v>f18t3</v>
      </c>
      <c r="S49" s="115">
        <v>198</v>
      </c>
      <c r="T49" s="115">
        <v>18</v>
      </c>
      <c r="U49" s="115">
        <v>3</v>
      </c>
      <c r="V49" s="115">
        <v>0</v>
      </c>
      <c r="W49" s="115">
        <v>0</v>
      </c>
      <c r="X49" s="115">
        <v>6800.0000020000016</v>
      </c>
      <c r="Y49" s="115">
        <v>1059.5760019999998</v>
      </c>
      <c r="Z49" s="112">
        <f t="shared" si="4"/>
        <v>1.1130000017734869</v>
      </c>
      <c r="AA49" s="107">
        <f t="shared" si="5"/>
        <v>1.7734869128815944E-9</v>
      </c>
      <c r="AC49" s="105" t="str">
        <f t="shared" si="6"/>
        <v>f12t3</v>
      </c>
      <c r="AD49" s="115">
        <v>16</v>
      </c>
      <c r="AE49" s="115">
        <v>12</v>
      </c>
      <c r="AF49" s="115">
        <v>3</v>
      </c>
      <c r="AG49" s="115">
        <v>0.255</v>
      </c>
    </row>
    <row r="50" spans="1:33" x14ac:dyDescent="0.3">
      <c r="A50" s="105" t="str">
        <f t="shared" si="1"/>
        <v>f8t4</v>
      </c>
      <c r="B50" s="116">
        <v>198</v>
      </c>
      <c r="C50" s="116">
        <v>8</v>
      </c>
      <c r="D50" s="116">
        <v>5</v>
      </c>
      <c r="E50" s="116">
        <v>4</v>
      </c>
      <c r="F50" s="116">
        <v>1E-3</v>
      </c>
      <c r="G50" s="116">
        <v>1</v>
      </c>
      <c r="H50" s="117">
        <v>41675.681516203702</v>
      </c>
      <c r="I50" s="118" t="s">
        <v>304</v>
      </c>
      <c r="J50" s="106">
        <f t="shared" si="2"/>
        <v>0</v>
      </c>
      <c r="L50" s="105" t="str">
        <f t="shared" si="0"/>
        <v>f21t3</v>
      </c>
      <c r="M50" s="25">
        <v>21</v>
      </c>
      <c r="N50" s="26"/>
      <c r="O50" s="25">
        <v>3</v>
      </c>
      <c r="P50" s="27">
        <v>1.2</v>
      </c>
      <c r="Q50" s="27"/>
      <c r="R50" s="105" t="str">
        <f t="shared" si="3"/>
        <v>f19t3</v>
      </c>
      <c r="S50" s="115">
        <v>198</v>
      </c>
      <c r="T50" s="115">
        <v>19</v>
      </c>
      <c r="U50" s="115">
        <v>3</v>
      </c>
      <c r="V50" s="115">
        <v>0</v>
      </c>
      <c r="W50" s="115">
        <v>0</v>
      </c>
      <c r="X50" s="115">
        <v>10</v>
      </c>
      <c r="Y50" s="115">
        <v>0</v>
      </c>
      <c r="Z50" s="112">
        <f t="shared" si="4"/>
        <v>0</v>
      </c>
      <c r="AA50" s="107" t="e">
        <f t="shared" si="5"/>
        <v>#N/A</v>
      </c>
      <c r="AC50" s="105" t="str">
        <f t="shared" si="6"/>
        <v>f12t4</v>
      </c>
      <c r="AD50" s="115">
        <v>16</v>
      </c>
      <c r="AE50" s="115">
        <v>12</v>
      </c>
      <c r="AF50" s="115">
        <v>4</v>
      </c>
      <c r="AG50" s="115">
        <v>0.255</v>
      </c>
    </row>
    <row r="51" spans="1:33" x14ac:dyDescent="0.3">
      <c r="A51" s="105" t="str">
        <f t="shared" si="1"/>
        <v>f9t1</v>
      </c>
      <c r="B51" s="116">
        <v>198</v>
      </c>
      <c r="C51" s="116">
        <v>9</v>
      </c>
      <c r="D51" s="116">
        <v>2</v>
      </c>
      <c r="E51" s="116">
        <v>1</v>
      </c>
      <c r="F51" s="116">
        <v>0.111</v>
      </c>
      <c r="G51" s="116">
        <v>2.4679990221133098E-11</v>
      </c>
      <c r="H51" s="117">
        <v>41675.681516203702</v>
      </c>
      <c r="I51" s="118" t="s">
        <v>304</v>
      </c>
      <c r="J51" s="106">
        <f t="shared" si="2"/>
        <v>0</v>
      </c>
      <c r="L51" s="105" t="str">
        <f t="shared" si="0"/>
        <v>f22t2</v>
      </c>
      <c r="M51" s="25">
        <v>22</v>
      </c>
      <c r="N51" s="26"/>
      <c r="O51" s="25">
        <v>2</v>
      </c>
      <c r="P51" s="27">
        <v>0.66300000000000003</v>
      </c>
      <c r="Q51" s="27"/>
      <c r="R51" s="105" t="str">
        <f t="shared" si="3"/>
        <v>f20t2</v>
      </c>
      <c r="S51" s="115">
        <v>198</v>
      </c>
      <c r="T51" s="115">
        <v>20</v>
      </c>
      <c r="U51" s="115">
        <v>2</v>
      </c>
      <c r="V51" s="115">
        <v>0</v>
      </c>
      <c r="W51" s="115">
        <v>0</v>
      </c>
      <c r="X51" s="115">
        <v>13822.054401000003</v>
      </c>
      <c r="Y51" s="115">
        <v>4042.7435819999987</v>
      </c>
      <c r="Z51" s="112">
        <f t="shared" si="4"/>
        <v>1.1470000001485301</v>
      </c>
      <c r="AA51" s="107">
        <f t="shared" si="5"/>
        <v>1.4853007712645194E-10</v>
      </c>
      <c r="AC51" s="105" t="str">
        <f t="shared" si="6"/>
        <v>f13t1</v>
      </c>
      <c r="AD51" s="115">
        <v>16</v>
      </c>
      <c r="AE51" s="115">
        <v>13</v>
      </c>
      <c r="AF51" s="115">
        <v>1</v>
      </c>
      <c r="AG51" s="115">
        <v>0.123</v>
      </c>
    </row>
    <row r="52" spans="1:33" x14ac:dyDescent="0.3">
      <c r="A52" s="105" t="str">
        <f t="shared" si="1"/>
        <v>f9t2</v>
      </c>
      <c r="B52" s="116">
        <v>198</v>
      </c>
      <c r="C52" s="116">
        <v>9</v>
      </c>
      <c r="D52" s="116">
        <v>2</v>
      </c>
      <c r="E52" s="116">
        <v>2</v>
      </c>
      <c r="F52" s="116">
        <v>0.111</v>
      </c>
      <c r="G52" s="116">
        <v>0.186423659763405</v>
      </c>
      <c r="H52" s="117">
        <v>41675.681516203702</v>
      </c>
      <c r="I52" s="118" t="s">
        <v>304</v>
      </c>
      <c r="J52" s="106">
        <f t="shared" si="2"/>
        <v>0</v>
      </c>
      <c r="L52" s="105" t="str">
        <f t="shared" si="0"/>
        <v>f22t3</v>
      </c>
      <c r="M52" s="25">
        <v>22</v>
      </c>
      <c r="N52" s="26"/>
      <c r="O52" s="25">
        <v>3</v>
      </c>
      <c r="P52" s="27">
        <v>0.66300000000000003</v>
      </c>
      <c r="Q52" s="27"/>
      <c r="R52" s="105" t="str">
        <f t="shared" si="3"/>
        <v>f20t3</v>
      </c>
      <c r="S52" s="115">
        <v>198</v>
      </c>
      <c r="T52" s="115">
        <v>20</v>
      </c>
      <c r="U52" s="115">
        <v>3</v>
      </c>
      <c r="V52" s="115">
        <v>0</v>
      </c>
      <c r="W52" s="115">
        <v>0</v>
      </c>
      <c r="X52" s="115">
        <v>5453.3248010000034</v>
      </c>
      <c r="Y52" s="115">
        <v>1668.7173870000001</v>
      </c>
      <c r="Z52" s="112">
        <f t="shared" si="4"/>
        <v>1.199999998485543</v>
      </c>
      <c r="AA52" s="107">
        <f t="shared" si="5"/>
        <v>-1.5144570042480154E-9</v>
      </c>
      <c r="AC52" s="105" t="str">
        <f t="shared" si="6"/>
        <v>f13t2</v>
      </c>
      <c r="AD52" s="115">
        <v>16</v>
      </c>
      <c r="AE52" s="115">
        <v>13</v>
      </c>
      <c r="AF52" s="115">
        <v>2</v>
      </c>
      <c r="AG52" s="115">
        <v>0.123</v>
      </c>
    </row>
    <row r="53" spans="1:33" x14ac:dyDescent="0.3">
      <c r="A53" s="105" t="str">
        <f t="shared" si="1"/>
        <v>f9t3</v>
      </c>
      <c r="B53" s="116">
        <v>198</v>
      </c>
      <c r="C53" s="116">
        <v>9</v>
      </c>
      <c r="D53" s="116">
        <v>2</v>
      </c>
      <c r="E53" s="116">
        <v>3</v>
      </c>
      <c r="F53" s="116">
        <v>0.111</v>
      </c>
      <c r="G53" s="116">
        <v>0.13290977799887599</v>
      </c>
      <c r="H53" s="117">
        <v>41675.681516203702</v>
      </c>
      <c r="I53" s="118" t="s">
        <v>304</v>
      </c>
      <c r="J53" s="106">
        <f t="shared" si="2"/>
        <v>0</v>
      </c>
      <c r="L53" s="105" t="str">
        <f t="shared" si="0"/>
        <v>f26t2</v>
      </c>
      <c r="M53" s="25">
        <v>26</v>
      </c>
      <c r="N53" s="26"/>
      <c r="O53" s="25">
        <v>2</v>
      </c>
      <c r="P53" s="27">
        <v>4.4749999999999996</v>
      </c>
      <c r="Q53" s="27"/>
      <c r="R53" s="105" t="str">
        <f t="shared" si="3"/>
        <v>f21t2</v>
      </c>
      <c r="S53" s="115">
        <v>198</v>
      </c>
      <c r="T53" s="115">
        <v>21</v>
      </c>
      <c r="U53" s="115">
        <v>2</v>
      </c>
      <c r="V53" s="115">
        <v>0</v>
      </c>
      <c r="W53" s="115">
        <v>0</v>
      </c>
      <c r="X53" s="115">
        <v>565.66620099999989</v>
      </c>
      <c r="Y53" s="115">
        <v>165.44888199999997</v>
      </c>
      <c r="Z53" s="112">
        <f t="shared" si="4"/>
        <v>1.1470000221880663</v>
      </c>
      <c r="AA53" s="107">
        <f t="shared" si="5"/>
        <v>2.2188066273187701E-8</v>
      </c>
      <c r="AC53" s="105" t="str">
        <f t="shared" si="6"/>
        <v>f13t3</v>
      </c>
      <c r="AD53" s="115">
        <v>16</v>
      </c>
      <c r="AE53" s="115">
        <v>13</v>
      </c>
      <c r="AF53" s="115">
        <v>3</v>
      </c>
      <c r="AG53" s="115">
        <v>0.123</v>
      </c>
    </row>
    <row r="54" spans="1:33" x14ac:dyDescent="0.3">
      <c r="A54" s="105" t="str">
        <f t="shared" si="1"/>
        <v>f9t4</v>
      </c>
      <c r="B54" s="116">
        <v>198</v>
      </c>
      <c r="C54" s="116">
        <v>9</v>
      </c>
      <c r="D54" s="116">
        <v>2</v>
      </c>
      <c r="E54" s="116">
        <v>4</v>
      </c>
      <c r="F54" s="116">
        <v>0.111</v>
      </c>
      <c r="G54" s="116">
        <v>8.3022378810131105E-8</v>
      </c>
      <c r="H54" s="117">
        <v>41675.681516203702</v>
      </c>
      <c r="I54" s="118" t="s">
        <v>304</v>
      </c>
      <c r="J54" s="106">
        <f t="shared" si="2"/>
        <v>0</v>
      </c>
      <c r="L54" s="105" t="str">
        <f t="shared" si="0"/>
        <v>f26t3</v>
      </c>
      <c r="M54" s="25">
        <v>26</v>
      </c>
      <c r="N54" s="26"/>
      <c r="O54" s="25">
        <v>3</v>
      </c>
      <c r="P54" s="27">
        <v>4.6820000000000004</v>
      </c>
      <c r="Q54" s="27"/>
      <c r="R54" s="105" t="str">
        <f t="shared" si="3"/>
        <v>f21t3</v>
      </c>
      <c r="S54" s="115">
        <v>198</v>
      </c>
      <c r="T54" s="115">
        <v>21</v>
      </c>
      <c r="U54" s="115">
        <v>3</v>
      </c>
      <c r="V54" s="115">
        <v>0</v>
      </c>
      <c r="W54" s="115">
        <v>0</v>
      </c>
      <c r="X54" s="115">
        <v>650.602799</v>
      </c>
      <c r="Y54" s="115">
        <v>199.08445599999996</v>
      </c>
      <c r="Z54" s="112">
        <f t="shared" si="4"/>
        <v>1.1999999970223689</v>
      </c>
      <c r="AA54" s="107">
        <f t="shared" si="5"/>
        <v>-2.9776310306317555E-9</v>
      </c>
      <c r="AC54" s="105" t="str">
        <f t="shared" si="6"/>
        <v>f13t4</v>
      </c>
      <c r="AD54" s="115">
        <v>16</v>
      </c>
      <c r="AE54" s="115">
        <v>13</v>
      </c>
      <c r="AF54" s="115">
        <v>4</v>
      </c>
      <c r="AG54" s="115">
        <v>0.123</v>
      </c>
    </row>
    <row r="55" spans="1:33" x14ac:dyDescent="0.3">
      <c r="A55" s="105" t="str">
        <f t="shared" si="1"/>
        <v>f9t1</v>
      </c>
      <c r="B55" s="116">
        <v>198</v>
      </c>
      <c r="C55" s="116">
        <v>9</v>
      </c>
      <c r="D55" s="116">
        <v>3</v>
      </c>
      <c r="E55" s="116">
        <v>1</v>
      </c>
      <c r="F55" s="116">
        <v>0.111</v>
      </c>
      <c r="G55" s="116">
        <v>2.4679990221133098E-11</v>
      </c>
      <c r="H55" s="117">
        <v>41675.681516203702</v>
      </c>
      <c r="I55" s="118" t="s">
        <v>304</v>
      </c>
      <c r="J55" s="106">
        <f t="shared" si="2"/>
        <v>0</v>
      </c>
      <c r="L55" s="105" t="str">
        <f t="shared" si="0"/>
        <v>f27t2</v>
      </c>
      <c r="M55" s="25">
        <v>27</v>
      </c>
      <c r="N55" s="26"/>
      <c r="O55" s="25">
        <v>2</v>
      </c>
      <c r="P55" s="27">
        <v>2.5870000000000002</v>
      </c>
      <c r="Q55" s="27"/>
      <c r="R55" s="105" t="str">
        <f t="shared" si="3"/>
        <v>f22t2</v>
      </c>
      <c r="S55" s="115">
        <v>198</v>
      </c>
      <c r="T55" s="115">
        <v>22</v>
      </c>
      <c r="U55" s="115">
        <v>2</v>
      </c>
      <c r="V55" s="115">
        <v>8800.2827379999999</v>
      </c>
      <c r="W55" s="115">
        <v>816.84224500000028</v>
      </c>
      <c r="X55" s="115">
        <v>1302.0431989999995</v>
      </c>
      <c r="Y55" s="115">
        <v>120.85564400000007</v>
      </c>
      <c r="Z55" s="112">
        <f t="shared" si="4"/>
        <v>0.66299999683782884</v>
      </c>
      <c r="AA55" s="107">
        <f t="shared" si="5"/>
        <v>-3.1621711915619244E-9</v>
      </c>
      <c r="AC55" s="105" t="str">
        <f t="shared" si="6"/>
        <v>f14t1</v>
      </c>
      <c r="AD55" s="115">
        <v>16</v>
      </c>
      <c r="AE55" s="115">
        <v>14</v>
      </c>
      <c r="AF55" s="115">
        <v>1</v>
      </c>
      <c r="AG55" s="115">
        <v>0.123</v>
      </c>
    </row>
    <row r="56" spans="1:33" x14ac:dyDescent="0.3">
      <c r="A56" s="105" t="str">
        <f t="shared" si="1"/>
        <v>f9t2</v>
      </c>
      <c r="B56" s="116">
        <v>198</v>
      </c>
      <c r="C56" s="116">
        <v>9</v>
      </c>
      <c r="D56" s="116">
        <v>3</v>
      </c>
      <c r="E56" s="116">
        <v>2</v>
      </c>
      <c r="F56" s="116">
        <v>0.111</v>
      </c>
      <c r="G56" s="116">
        <v>0.186423659763405</v>
      </c>
      <c r="H56" s="117">
        <v>41675.681516203702</v>
      </c>
      <c r="I56" s="118" t="s">
        <v>304</v>
      </c>
      <c r="J56" s="106">
        <f t="shared" si="2"/>
        <v>0</v>
      </c>
      <c r="L56" s="105" t="str">
        <f t="shared" si="0"/>
        <v>f27t3</v>
      </c>
      <c r="M56" s="25">
        <v>27</v>
      </c>
      <c r="N56" s="26"/>
      <c r="O56" s="25">
        <v>3</v>
      </c>
      <c r="P56" s="27">
        <v>2.5870000000000002</v>
      </c>
      <c r="Q56" s="27"/>
      <c r="R56" s="105" t="str">
        <f t="shared" si="3"/>
        <v>f22t3</v>
      </c>
      <c r="S56" s="115">
        <v>198</v>
      </c>
      <c r="T56" s="115">
        <v>22</v>
      </c>
      <c r="U56" s="115">
        <v>3</v>
      </c>
      <c r="V56" s="115">
        <v>0</v>
      </c>
      <c r="W56" s="115">
        <v>0</v>
      </c>
      <c r="X56" s="115">
        <v>18645.476796999996</v>
      </c>
      <c r="Y56" s="115">
        <v>1730.6731559999994</v>
      </c>
      <c r="Z56" s="112">
        <f t="shared" si="4"/>
        <v>0.66299999988601588</v>
      </c>
      <c r="AA56" s="107">
        <f t="shared" si="5"/>
        <v>-1.1398415544761065E-10</v>
      </c>
      <c r="AC56" s="105" t="str">
        <f t="shared" si="6"/>
        <v>f14t2</v>
      </c>
      <c r="AD56" s="115">
        <v>16</v>
      </c>
      <c r="AE56" s="115">
        <v>14</v>
      </c>
      <c r="AF56" s="115">
        <v>2</v>
      </c>
      <c r="AG56" s="115">
        <v>0.123</v>
      </c>
    </row>
    <row r="57" spans="1:33" x14ac:dyDescent="0.3">
      <c r="A57" s="105" t="str">
        <f t="shared" si="1"/>
        <v>f9t3</v>
      </c>
      <c r="B57" s="116">
        <v>198</v>
      </c>
      <c r="C57" s="116">
        <v>9</v>
      </c>
      <c r="D57" s="116">
        <v>3</v>
      </c>
      <c r="E57" s="116">
        <v>3</v>
      </c>
      <c r="F57" s="116">
        <v>0.111</v>
      </c>
      <c r="G57" s="116">
        <v>0.13290977799887599</v>
      </c>
      <c r="H57" s="117">
        <v>41675.681516203702</v>
      </c>
      <c r="I57" s="118" t="s">
        <v>304</v>
      </c>
      <c r="J57" s="106">
        <f t="shared" si="2"/>
        <v>0</v>
      </c>
      <c r="L57" s="105" t="str">
        <f t="shared" si="0"/>
        <v>f30t1</v>
      </c>
      <c r="M57" s="25">
        <v>30</v>
      </c>
      <c r="N57" s="26"/>
      <c r="O57" s="25">
        <v>1</v>
      </c>
      <c r="P57" s="27">
        <v>0.47399999999999998</v>
      </c>
      <c r="Q57" s="27"/>
      <c r="R57" s="105" t="str">
        <f t="shared" si="3"/>
        <v>f23t3</v>
      </c>
      <c r="S57" s="115">
        <v>198</v>
      </c>
      <c r="T57" s="115">
        <v>23</v>
      </c>
      <c r="U57" s="115">
        <v>3</v>
      </c>
      <c r="V57" s="115">
        <v>0</v>
      </c>
      <c r="W57" s="115">
        <v>0</v>
      </c>
      <c r="X57" s="115">
        <v>485.03252399999997</v>
      </c>
      <c r="Y57" s="115">
        <v>0</v>
      </c>
      <c r="Z57" s="112">
        <f t="shared" si="4"/>
        <v>0</v>
      </c>
      <c r="AA57" s="107" t="e">
        <f t="shared" si="5"/>
        <v>#N/A</v>
      </c>
      <c r="AC57" s="105" t="str">
        <f t="shared" si="6"/>
        <v>f14t3</v>
      </c>
      <c r="AD57" s="115">
        <v>16</v>
      </c>
      <c r="AE57" s="115">
        <v>14</v>
      </c>
      <c r="AF57" s="115">
        <v>3</v>
      </c>
      <c r="AG57" s="115">
        <v>0.123</v>
      </c>
    </row>
    <row r="58" spans="1:33" x14ac:dyDescent="0.3">
      <c r="A58" s="105" t="str">
        <f t="shared" si="1"/>
        <v>f9t4</v>
      </c>
      <c r="B58" s="116">
        <v>198</v>
      </c>
      <c r="C58" s="116">
        <v>9</v>
      </c>
      <c r="D58" s="116">
        <v>3</v>
      </c>
      <c r="E58" s="116">
        <v>4</v>
      </c>
      <c r="F58" s="116">
        <v>0.111</v>
      </c>
      <c r="G58" s="116">
        <v>8.3022378810131105E-8</v>
      </c>
      <c r="H58" s="117">
        <v>41675.681516203702</v>
      </c>
      <c r="I58" s="118" t="s">
        <v>304</v>
      </c>
      <c r="J58" s="106">
        <f t="shared" si="2"/>
        <v>0</v>
      </c>
      <c r="L58" s="105" t="str">
        <f t="shared" si="0"/>
        <v>f30t2</v>
      </c>
      <c r="M58" s="25">
        <v>30</v>
      </c>
      <c r="N58" s="26"/>
      <c r="O58" s="25">
        <v>2</v>
      </c>
      <c r="P58" s="27">
        <v>1.0860000000000001</v>
      </c>
      <c r="Q58" s="27"/>
      <c r="R58" s="105" t="str">
        <f t="shared" si="3"/>
        <v>f24t3</v>
      </c>
      <c r="S58" s="115">
        <v>198</v>
      </c>
      <c r="T58" s="115">
        <v>24</v>
      </c>
      <c r="U58" s="115">
        <v>3</v>
      </c>
      <c r="V58" s="115">
        <v>0</v>
      </c>
      <c r="W58" s="115">
        <v>0</v>
      </c>
      <c r="X58" s="115">
        <v>32.183878999999997</v>
      </c>
      <c r="Y58" s="115">
        <v>0</v>
      </c>
      <c r="Z58" s="112">
        <f t="shared" si="4"/>
        <v>0</v>
      </c>
      <c r="AA58" s="107" t="e">
        <f t="shared" si="5"/>
        <v>#N/A</v>
      </c>
      <c r="AC58" s="105" t="str">
        <f t="shared" si="6"/>
        <v>f14t4</v>
      </c>
      <c r="AD58" s="115">
        <v>16</v>
      </c>
      <c r="AE58" s="115">
        <v>14</v>
      </c>
      <c r="AF58" s="115">
        <v>4</v>
      </c>
      <c r="AG58" s="115">
        <v>0.123</v>
      </c>
    </row>
    <row r="59" spans="1:33" x14ac:dyDescent="0.3">
      <c r="A59" s="105" t="str">
        <f t="shared" si="1"/>
        <v>f9t1</v>
      </c>
      <c r="B59" s="116">
        <v>198</v>
      </c>
      <c r="C59" s="116">
        <v>9</v>
      </c>
      <c r="D59" s="116">
        <v>4</v>
      </c>
      <c r="E59" s="116">
        <v>1</v>
      </c>
      <c r="F59" s="116">
        <v>0.111</v>
      </c>
      <c r="G59" s="116">
        <v>2.4679990221133098E-11</v>
      </c>
      <c r="H59" s="117">
        <v>41675.681516203702</v>
      </c>
      <c r="I59" s="118" t="s">
        <v>304</v>
      </c>
      <c r="J59" s="106">
        <f t="shared" si="2"/>
        <v>0</v>
      </c>
      <c r="L59" s="105" t="str">
        <f t="shared" si="0"/>
        <v>f30t3</v>
      </c>
      <c r="M59" s="25">
        <v>30</v>
      </c>
      <c r="N59" s="26"/>
      <c r="O59" s="25">
        <v>3</v>
      </c>
      <c r="P59" s="27">
        <v>1.0860000000000001</v>
      </c>
      <c r="Q59" s="27"/>
      <c r="R59" s="105" t="str">
        <f t="shared" si="3"/>
        <v>f25t3</v>
      </c>
      <c r="S59" s="115">
        <v>198</v>
      </c>
      <c r="T59" s="115">
        <v>25</v>
      </c>
      <c r="U59" s="115">
        <v>3</v>
      </c>
      <c r="V59" s="115">
        <v>0</v>
      </c>
      <c r="W59" s="115">
        <v>0</v>
      </c>
      <c r="X59" s="115">
        <v>4248.6895599999998</v>
      </c>
      <c r="Y59" s="115">
        <v>0</v>
      </c>
      <c r="Z59" s="112">
        <f t="shared" si="4"/>
        <v>0</v>
      </c>
      <c r="AA59" s="107" t="e">
        <f t="shared" si="5"/>
        <v>#N/A</v>
      </c>
      <c r="AC59" s="105" t="str">
        <f t="shared" si="6"/>
        <v>f15t1</v>
      </c>
      <c r="AD59" s="115">
        <v>16</v>
      </c>
      <c r="AE59" s="115">
        <v>15</v>
      </c>
      <c r="AF59" s="115">
        <v>1</v>
      </c>
      <c r="AG59" s="115">
        <v>0.123</v>
      </c>
    </row>
    <row r="60" spans="1:33" x14ac:dyDescent="0.3">
      <c r="A60" s="105" t="str">
        <f t="shared" si="1"/>
        <v>f9t2</v>
      </c>
      <c r="B60" s="116">
        <v>198</v>
      </c>
      <c r="C60" s="116">
        <v>9</v>
      </c>
      <c r="D60" s="116">
        <v>4</v>
      </c>
      <c r="E60" s="116">
        <v>2</v>
      </c>
      <c r="F60" s="116">
        <v>0.111</v>
      </c>
      <c r="G60" s="116">
        <v>0.186423659763405</v>
      </c>
      <c r="H60" s="117">
        <v>41675.681516203702</v>
      </c>
      <c r="I60" s="118" t="s">
        <v>304</v>
      </c>
      <c r="J60" s="106">
        <f t="shared" si="2"/>
        <v>0</v>
      </c>
      <c r="L60" s="105" t="str">
        <f t="shared" si="0"/>
        <v>f30t4</v>
      </c>
      <c r="M60" s="25">
        <v>30</v>
      </c>
      <c r="N60" s="26"/>
      <c r="O60" s="25">
        <v>4</v>
      </c>
      <c r="P60" s="27">
        <v>0.47399999999999998</v>
      </c>
      <c r="Q60" s="27"/>
      <c r="R60" s="105" t="str">
        <f t="shared" si="3"/>
        <v>f26t2</v>
      </c>
      <c r="S60" s="115">
        <v>198</v>
      </c>
      <c r="T60" s="115">
        <v>26</v>
      </c>
      <c r="U60" s="115">
        <v>2</v>
      </c>
      <c r="V60" s="115">
        <v>0</v>
      </c>
      <c r="W60" s="115">
        <v>0</v>
      </c>
      <c r="X60" s="115">
        <v>6816.9999980000002</v>
      </c>
      <c r="Y60" s="115">
        <v>7779.0491269999966</v>
      </c>
      <c r="Z60" s="112">
        <f t="shared" si="4"/>
        <v>4.4750000024634184</v>
      </c>
      <c r="AA60" s="107">
        <f t="shared" si="5"/>
        <v>2.4634188022787384E-9</v>
      </c>
      <c r="AC60" s="105" t="str">
        <f t="shared" si="6"/>
        <v>f15t2</v>
      </c>
      <c r="AD60" s="115">
        <v>16</v>
      </c>
      <c r="AE60" s="115">
        <v>15</v>
      </c>
      <c r="AF60" s="115">
        <v>2</v>
      </c>
      <c r="AG60" s="115">
        <v>0.123</v>
      </c>
    </row>
    <row r="61" spans="1:33" x14ac:dyDescent="0.3">
      <c r="A61" s="105" t="str">
        <f t="shared" si="1"/>
        <v>f9t3</v>
      </c>
      <c r="B61" s="116">
        <v>198</v>
      </c>
      <c r="C61" s="116">
        <v>9</v>
      </c>
      <c r="D61" s="116">
        <v>4</v>
      </c>
      <c r="E61" s="116">
        <v>3</v>
      </c>
      <c r="F61" s="116">
        <v>0.111</v>
      </c>
      <c r="G61" s="116">
        <v>0.13290977799887599</v>
      </c>
      <c r="H61" s="117">
        <v>41675.681516203702</v>
      </c>
      <c r="I61" s="118" t="s">
        <v>304</v>
      </c>
      <c r="J61" s="106">
        <f t="shared" si="2"/>
        <v>0</v>
      </c>
      <c r="L61" s="105" t="str">
        <f t="shared" si="0"/>
        <v>f31t2</v>
      </c>
      <c r="M61" s="25">
        <v>31</v>
      </c>
      <c r="N61" s="26"/>
      <c r="O61" s="25">
        <v>2</v>
      </c>
      <c r="P61" s="27">
        <v>0.58299999999999996</v>
      </c>
      <c r="Q61" s="27"/>
      <c r="R61" s="105" t="str">
        <f t="shared" si="3"/>
        <v>f26t3</v>
      </c>
      <c r="S61" s="115">
        <v>198</v>
      </c>
      <c r="T61" s="115">
        <v>26</v>
      </c>
      <c r="U61" s="115">
        <v>3</v>
      </c>
      <c r="V61" s="115">
        <v>0</v>
      </c>
      <c r="W61" s="115">
        <v>0</v>
      </c>
      <c r="X61" s="115">
        <v>1714.999998</v>
      </c>
      <c r="Y61" s="115">
        <v>2047.5556520000005</v>
      </c>
      <c r="Z61" s="112">
        <f t="shared" si="4"/>
        <v>4.6820000100333168</v>
      </c>
      <c r="AA61" s="107">
        <f t="shared" si="5"/>
        <v>1.0033316399926662E-8</v>
      </c>
      <c r="AC61" s="105" t="str">
        <f t="shared" si="6"/>
        <v>f15t3</v>
      </c>
      <c r="AD61" s="115">
        <v>16</v>
      </c>
      <c r="AE61" s="115">
        <v>15</v>
      </c>
      <c r="AF61" s="115">
        <v>3</v>
      </c>
      <c r="AG61" s="115">
        <v>0.123</v>
      </c>
    </row>
    <row r="62" spans="1:33" x14ac:dyDescent="0.3">
      <c r="A62" s="105" t="str">
        <f t="shared" si="1"/>
        <v>f9t4</v>
      </c>
      <c r="B62" s="116">
        <v>198</v>
      </c>
      <c r="C62" s="116">
        <v>9</v>
      </c>
      <c r="D62" s="116">
        <v>4</v>
      </c>
      <c r="E62" s="116">
        <v>4</v>
      </c>
      <c r="F62" s="116">
        <v>0.111</v>
      </c>
      <c r="G62" s="116">
        <v>8.3022378810131105E-8</v>
      </c>
      <c r="H62" s="117">
        <v>41675.681516203702</v>
      </c>
      <c r="I62" s="118" t="s">
        <v>304</v>
      </c>
      <c r="J62" s="106">
        <f t="shared" si="2"/>
        <v>0</v>
      </c>
      <c r="L62" s="105" t="str">
        <f t="shared" si="0"/>
        <v>f31t3</v>
      </c>
      <c r="M62" s="25">
        <v>31</v>
      </c>
      <c r="N62" s="26"/>
      <c r="O62" s="25">
        <v>3</v>
      </c>
      <c r="P62" s="27">
        <v>0.68899999999999995</v>
      </c>
      <c r="Q62" s="27"/>
      <c r="R62" s="105" t="str">
        <f t="shared" si="3"/>
        <v>f27t2</v>
      </c>
      <c r="S62" s="115">
        <v>198</v>
      </c>
      <c r="T62" s="115">
        <v>27</v>
      </c>
      <c r="U62" s="115">
        <v>2</v>
      </c>
      <c r="V62" s="115">
        <v>814.85081300000013</v>
      </c>
      <c r="W62" s="115">
        <v>295.12266499999998</v>
      </c>
      <c r="X62" s="115">
        <v>156.93480000000005</v>
      </c>
      <c r="Y62" s="115">
        <v>56.838649000000011</v>
      </c>
      <c r="Z62" s="112">
        <f t="shared" si="4"/>
        <v>2.5870000050250641</v>
      </c>
      <c r="AA62" s="107">
        <f t="shared" si="5"/>
        <v>5.0250639205273728E-9</v>
      </c>
      <c r="AC62" s="105" t="str">
        <f t="shared" si="6"/>
        <v>f15t4</v>
      </c>
      <c r="AD62" s="115">
        <v>16</v>
      </c>
      <c r="AE62" s="115">
        <v>15</v>
      </c>
      <c r="AF62" s="115">
        <v>4</v>
      </c>
      <c r="AG62" s="115">
        <v>0.123</v>
      </c>
    </row>
    <row r="63" spans="1:33" x14ac:dyDescent="0.3">
      <c r="A63" s="105" t="str">
        <f t="shared" si="1"/>
        <v>f9t1</v>
      </c>
      <c r="B63" s="116">
        <v>198</v>
      </c>
      <c r="C63" s="116">
        <v>9</v>
      </c>
      <c r="D63" s="116">
        <v>5</v>
      </c>
      <c r="E63" s="116">
        <v>1</v>
      </c>
      <c r="F63" s="116">
        <v>0.111</v>
      </c>
      <c r="G63" s="116">
        <v>2.4679990221133098E-11</v>
      </c>
      <c r="H63" s="117">
        <v>41675.681516203702</v>
      </c>
      <c r="I63" s="118" t="s">
        <v>304</v>
      </c>
      <c r="J63" s="106">
        <f t="shared" si="2"/>
        <v>0</v>
      </c>
      <c r="L63" s="105" t="str">
        <f t="shared" si="0"/>
        <v>f32t2</v>
      </c>
      <c r="M63" s="25">
        <v>32</v>
      </c>
      <c r="N63" s="26"/>
      <c r="O63" s="25">
        <v>2</v>
      </c>
      <c r="P63" s="27">
        <v>1.0860000000000001</v>
      </c>
      <c r="Q63" s="27"/>
      <c r="R63" s="105" t="str">
        <f t="shared" si="3"/>
        <v>f27t3</v>
      </c>
      <c r="S63" s="115">
        <v>198</v>
      </c>
      <c r="T63" s="115">
        <v>27</v>
      </c>
      <c r="U63" s="115">
        <v>3</v>
      </c>
      <c r="V63" s="115">
        <v>0</v>
      </c>
      <c r="W63" s="115">
        <v>0</v>
      </c>
      <c r="X63" s="115">
        <v>8640.1326009999993</v>
      </c>
      <c r="Y63" s="115">
        <v>3129.2832249999992</v>
      </c>
      <c r="Z63" s="112">
        <f t="shared" si="4"/>
        <v>2.5869999996443664</v>
      </c>
      <c r="AA63" s="107">
        <f t="shared" si="5"/>
        <v>-3.5563374467528774E-10</v>
      </c>
      <c r="AC63" s="105" t="str">
        <f t="shared" si="6"/>
        <v>f16t1</v>
      </c>
      <c r="AD63" s="115">
        <v>16</v>
      </c>
      <c r="AE63" s="115">
        <v>16</v>
      </c>
      <c r="AF63" s="115">
        <v>1</v>
      </c>
      <c r="AG63" s="115">
        <v>0.255</v>
      </c>
    </row>
    <row r="64" spans="1:33" x14ac:dyDescent="0.3">
      <c r="A64" s="105" t="str">
        <f t="shared" si="1"/>
        <v>f9t2</v>
      </c>
      <c r="B64" s="116">
        <v>198</v>
      </c>
      <c r="C64" s="116">
        <v>9</v>
      </c>
      <c r="D64" s="116">
        <v>5</v>
      </c>
      <c r="E64" s="116">
        <v>2</v>
      </c>
      <c r="F64" s="116">
        <v>0.111</v>
      </c>
      <c r="G64" s="116">
        <v>0.186423659763405</v>
      </c>
      <c r="H64" s="117">
        <v>41675.681516203702</v>
      </c>
      <c r="I64" s="118" t="s">
        <v>304</v>
      </c>
      <c r="J64" s="106">
        <f t="shared" si="2"/>
        <v>0</v>
      </c>
      <c r="L64" s="105" t="str">
        <f t="shared" si="0"/>
        <v>f32t3</v>
      </c>
      <c r="M64" s="25">
        <v>32</v>
      </c>
      <c r="N64" s="26"/>
      <c r="O64" s="25">
        <v>3</v>
      </c>
      <c r="P64" s="27">
        <v>1.0860000000000001</v>
      </c>
      <c r="Q64" s="27"/>
      <c r="R64" s="105" t="str">
        <f t="shared" si="3"/>
        <v>f28t1</v>
      </c>
      <c r="S64" s="115">
        <v>198</v>
      </c>
      <c r="T64" s="115">
        <v>28</v>
      </c>
      <c r="U64" s="115">
        <v>1</v>
      </c>
      <c r="V64" s="115">
        <v>0</v>
      </c>
      <c r="W64" s="115">
        <v>0</v>
      </c>
      <c r="X64" s="115">
        <v>5357.8854519999995</v>
      </c>
      <c r="Y64" s="115">
        <v>0</v>
      </c>
      <c r="Z64" s="112">
        <f t="shared" si="4"/>
        <v>0</v>
      </c>
      <c r="AA64" s="107" t="e">
        <f t="shared" si="5"/>
        <v>#N/A</v>
      </c>
      <c r="AC64" s="105" t="str">
        <f t="shared" si="6"/>
        <v>f16t2</v>
      </c>
      <c r="AD64" s="115">
        <v>16</v>
      </c>
      <c r="AE64" s="115">
        <v>16</v>
      </c>
      <c r="AF64" s="115">
        <v>2</v>
      </c>
      <c r="AG64" s="115">
        <v>0.255</v>
      </c>
    </row>
    <row r="65" spans="1:33" x14ac:dyDescent="0.3">
      <c r="A65" s="105" t="str">
        <f t="shared" si="1"/>
        <v>f9t3</v>
      </c>
      <c r="B65" s="116">
        <v>198</v>
      </c>
      <c r="C65" s="116">
        <v>9</v>
      </c>
      <c r="D65" s="116">
        <v>5</v>
      </c>
      <c r="E65" s="116">
        <v>3</v>
      </c>
      <c r="F65" s="116">
        <v>0.111</v>
      </c>
      <c r="G65" s="116">
        <v>0.13290977799887599</v>
      </c>
      <c r="H65" s="117">
        <v>41675.681516203702</v>
      </c>
      <c r="I65" s="118" t="s">
        <v>304</v>
      </c>
      <c r="J65" s="106">
        <f t="shared" si="2"/>
        <v>0</v>
      </c>
      <c r="L65" s="105" t="str">
        <f t="shared" si="0"/>
        <v>f33t2</v>
      </c>
      <c r="M65" s="25">
        <v>33</v>
      </c>
      <c r="N65" s="26"/>
      <c r="O65" s="25">
        <v>2</v>
      </c>
      <c r="P65" s="27">
        <v>0.58299999999999996</v>
      </c>
      <c r="Q65" s="27"/>
      <c r="R65" s="105" t="str">
        <f t="shared" si="3"/>
        <v>f28t3</v>
      </c>
      <c r="S65" s="115">
        <v>198</v>
      </c>
      <c r="T65" s="115">
        <v>28</v>
      </c>
      <c r="U65" s="115">
        <v>3</v>
      </c>
      <c r="V65" s="115">
        <v>0</v>
      </c>
      <c r="W65" s="115">
        <v>0</v>
      </c>
      <c r="X65" s="115">
        <v>248491.15640000001</v>
      </c>
      <c r="Y65" s="115">
        <v>0</v>
      </c>
      <c r="Z65" s="112">
        <f t="shared" si="4"/>
        <v>0</v>
      </c>
      <c r="AA65" s="107" t="e">
        <f t="shared" si="5"/>
        <v>#N/A</v>
      </c>
      <c r="AC65" s="105" t="str">
        <f t="shared" si="6"/>
        <v>f16t3</v>
      </c>
      <c r="AD65" s="115">
        <v>16</v>
      </c>
      <c r="AE65" s="115">
        <v>16</v>
      </c>
      <c r="AF65" s="115">
        <v>3</v>
      </c>
      <c r="AG65" s="115">
        <v>0.255</v>
      </c>
    </row>
    <row r="66" spans="1:33" x14ac:dyDescent="0.3">
      <c r="A66" s="105" t="str">
        <f t="shared" si="1"/>
        <v>f9t4</v>
      </c>
      <c r="B66" s="116">
        <v>198</v>
      </c>
      <c r="C66" s="116">
        <v>9</v>
      </c>
      <c r="D66" s="116">
        <v>5</v>
      </c>
      <c r="E66" s="116">
        <v>4</v>
      </c>
      <c r="F66" s="116">
        <v>0.111</v>
      </c>
      <c r="G66" s="116">
        <v>8.3022378810131105E-8</v>
      </c>
      <c r="H66" s="117">
        <v>41675.681516203702</v>
      </c>
      <c r="I66" s="118" t="s">
        <v>304</v>
      </c>
      <c r="J66" s="106">
        <f t="shared" si="2"/>
        <v>0</v>
      </c>
      <c r="L66" s="105" t="str">
        <f t="shared" si="0"/>
        <v>f33t3</v>
      </c>
      <c r="M66" s="25">
        <v>33</v>
      </c>
      <c r="N66" s="26"/>
      <c r="O66" s="25">
        <v>3</v>
      </c>
      <c r="P66" s="27">
        <v>0.68899999999999995</v>
      </c>
      <c r="Q66" s="27"/>
      <c r="R66" s="105" t="str">
        <f t="shared" si="3"/>
        <v>f28t4</v>
      </c>
      <c r="S66" s="115">
        <v>198</v>
      </c>
      <c r="T66" s="115">
        <v>28</v>
      </c>
      <c r="U66" s="115">
        <v>4</v>
      </c>
      <c r="V66" s="115">
        <v>0</v>
      </c>
      <c r="W66" s="115">
        <v>0</v>
      </c>
      <c r="X66" s="115">
        <v>14062.242377999999</v>
      </c>
      <c r="Y66" s="115">
        <v>0</v>
      </c>
      <c r="Z66" s="112">
        <f t="shared" si="4"/>
        <v>0</v>
      </c>
      <c r="AA66" s="107" t="e">
        <f t="shared" si="5"/>
        <v>#N/A</v>
      </c>
      <c r="AC66" s="105" t="str">
        <f t="shared" si="6"/>
        <v>f16t4</v>
      </c>
      <c r="AD66" s="115">
        <v>16</v>
      </c>
      <c r="AE66" s="115">
        <v>16</v>
      </c>
      <c r="AF66" s="115">
        <v>4</v>
      </c>
      <c r="AG66" s="115">
        <v>0.255</v>
      </c>
    </row>
    <row r="67" spans="1:33" x14ac:dyDescent="0.3">
      <c r="A67" s="105" t="str">
        <f t="shared" si="1"/>
        <v>f10t1</v>
      </c>
      <c r="B67" s="116">
        <v>198</v>
      </c>
      <c r="C67" s="116">
        <v>10</v>
      </c>
      <c r="D67" s="116">
        <v>2</v>
      </c>
      <c r="E67" s="116">
        <v>1</v>
      </c>
      <c r="F67" s="116">
        <v>0.105</v>
      </c>
      <c r="G67" s="116">
        <v>0.49031817929579402</v>
      </c>
      <c r="H67" s="117">
        <v>41675.681516203702</v>
      </c>
      <c r="I67" s="118" t="s">
        <v>304</v>
      </c>
      <c r="J67" s="106">
        <f t="shared" ref="J67:J99" si="7">F67-VLOOKUP(A67,L$3:P$100,5,FALSE)</f>
        <v>0</v>
      </c>
      <c r="L67" s="105" t="str">
        <f t="shared" ref="L67:L98" si="8">"f"&amp;M67&amp;"t"&amp;O67</f>
        <v>f34t2</v>
      </c>
      <c r="M67" s="25">
        <v>34</v>
      </c>
      <c r="N67" s="26"/>
      <c r="O67" s="25">
        <v>2</v>
      </c>
      <c r="P67" s="27">
        <v>0.36799999999999999</v>
      </c>
      <c r="Q67" s="27"/>
      <c r="R67" s="105" t="str">
        <f t="shared" si="3"/>
        <v>f30t1</v>
      </c>
      <c r="S67" s="115">
        <v>198</v>
      </c>
      <c r="T67" s="115">
        <v>30</v>
      </c>
      <c r="U67" s="115">
        <v>1</v>
      </c>
      <c r="V67" s="115">
        <v>0</v>
      </c>
      <c r="W67" s="115">
        <v>0</v>
      </c>
      <c r="X67" s="115">
        <v>252.72214299999999</v>
      </c>
      <c r="Y67" s="115">
        <v>30.546524000000005</v>
      </c>
      <c r="Z67" s="112">
        <f t="shared" si="4"/>
        <v>0.47399997789698406</v>
      </c>
      <c r="AA67" s="107">
        <f t="shared" si="5"/>
        <v>-2.2103015917540603E-8</v>
      </c>
      <c r="AC67" s="105" t="str">
        <f t="shared" si="6"/>
        <v>f17t1</v>
      </c>
      <c r="AD67" s="115">
        <v>16</v>
      </c>
      <c r="AE67" s="115">
        <v>17</v>
      </c>
      <c r="AF67" s="115">
        <v>1</v>
      </c>
      <c r="AG67" s="115">
        <v>0.255</v>
      </c>
    </row>
    <row r="68" spans="1:33" x14ac:dyDescent="0.3">
      <c r="A68" s="105" t="str">
        <f t="shared" ref="A68:A131" si="9">"f"&amp;C68&amp;"t"&amp;E68</f>
        <v>f10t2</v>
      </c>
      <c r="B68" s="116">
        <v>198</v>
      </c>
      <c r="C68" s="116">
        <v>10</v>
      </c>
      <c r="D68" s="116">
        <v>2</v>
      </c>
      <c r="E68" s="116">
        <v>2</v>
      </c>
      <c r="F68" s="116">
        <v>0.105</v>
      </c>
      <c r="G68" s="116">
        <v>0.29463358285829899</v>
      </c>
      <c r="H68" s="117">
        <v>41675.681516203702</v>
      </c>
      <c r="I68" s="118" t="s">
        <v>304</v>
      </c>
      <c r="J68" s="106">
        <f t="shared" si="7"/>
        <v>0</v>
      </c>
      <c r="L68" s="105" t="str">
        <f t="shared" si="8"/>
        <v>f34t3</v>
      </c>
      <c r="M68" s="25">
        <v>34</v>
      </c>
      <c r="N68" s="26"/>
      <c r="O68" s="25">
        <v>3</v>
      </c>
      <c r="P68" s="27">
        <v>0.6</v>
      </c>
      <c r="Q68" s="27"/>
      <c r="R68" s="105" t="str">
        <f t="shared" ref="R68:R131" si="10">"f"&amp;T68&amp;"t"&amp;U68</f>
        <v>f30t2</v>
      </c>
      <c r="S68" s="115">
        <v>198</v>
      </c>
      <c r="T68" s="115">
        <v>30</v>
      </c>
      <c r="U68" s="115">
        <v>2</v>
      </c>
      <c r="V68" s="115">
        <v>0</v>
      </c>
      <c r="W68" s="115">
        <v>0</v>
      </c>
      <c r="X68" s="115">
        <v>7355.1757799999996</v>
      </c>
      <c r="Y68" s="115">
        <v>2036.8688259999999</v>
      </c>
      <c r="Z68" s="112">
        <f t="shared" ref="Z68:Z131" si="11">((Y68+W68)/VLOOKUP(R68,AC$3:AG$294,5,FALSE))/(X68+V68)</f>
        <v>1.0859999985308997</v>
      </c>
      <c r="AA68" s="107">
        <f t="shared" ref="AA68:AA131" si="12">Z68-VLOOKUP(R68,L$3:P$100,5,FALSE)</f>
        <v>-1.4691003968891891E-9</v>
      </c>
      <c r="AC68" s="105" t="str">
        <f t="shared" ref="AC68:AC131" si="13">"f"&amp;AE68&amp;"t"&amp;AF68</f>
        <v>f17t2</v>
      </c>
      <c r="AD68" s="115">
        <v>16</v>
      </c>
      <c r="AE68" s="115">
        <v>17</v>
      </c>
      <c r="AF68" s="115">
        <v>2</v>
      </c>
      <c r="AG68" s="115">
        <v>0.255</v>
      </c>
    </row>
    <row r="69" spans="1:33" x14ac:dyDescent="0.3">
      <c r="A69" s="105" t="str">
        <f t="shared" si="9"/>
        <v>f10t3</v>
      </c>
      <c r="B69" s="116">
        <v>198</v>
      </c>
      <c r="C69" s="116">
        <v>10</v>
      </c>
      <c r="D69" s="116">
        <v>2</v>
      </c>
      <c r="E69" s="116">
        <v>3</v>
      </c>
      <c r="F69" s="116">
        <v>0.105</v>
      </c>
      <c r="G69" s="116">
        <v>0.37084470338583297</v>
      </c>
      <c r="H69" s="117">
        <v>41675.681516203702</v>
      </c>
      <c r="I69" s="118" t="s">
        <v>304</v>
      </c>
      <c r="J69" s="106">
        <f t="shared" si="7"/>
        <v>0</v>
      </c>
      <c r="L69" s="105" t="str">
        <f t="shared" si="8"/>
        <v>f35t1</v>
      </c>
      <c r="M69" s="25">
        <v>35</v>
      </c>
      <c r="N69" s="26"/>
      <c r="O69" s="25">
        <v>1</v>
      </c>
      <c r="P69" s="27">
        <v>0.92</v>
      </c>
      <c r="Q69" s="27"/>
      <c r="R69" s="105" t="str">
        <f t="shared" si="10"/>
        <v>f30t3</v>
      </c>
      <c r="S69" s="115">
        <v>198</v>
      </c>
      <c r="T69" s="115">
        <v>30</v>
      </c>
      <c r="U69" s="115">
        <v>3</v>
      </c>
      <c r="V69" s="115">
        <v>0</v>
      </c>
      <c r="W69" s="115">
        <v>0</v>
      </c>
      <c r="X69" s="115">
        <v>31639.557242999999</v>
      </c>
      <c r="Y69" s="115">
        <v>8761.9425889999984</v>
      </c>
      <c r="Z69" s="112">
        <f t="shared" si="11"/>
        <v>1.0860000002102121</v>
      </c>
      <c r="AA69" s="107">
        <f t="shared" si="12"/>
        <v>2.1021206997318131E-10</v>
      </c>
      <c r="AC69" s="105" t="str">
        <f t="shared" si="13"/>
        <v>f17t3</v>
      </c>
      <c r="AD69" s="115">
        <v>16</v>
      </c>
      <c r="AE69" s="115">
        <v>17</v>
      </c>
      <c r="AF69" s="115">
        <v>3</v>
      </c>
      <c r="AG69" s="115">
        <v>0.255</v>
      </c>
    </row>
    <row r="70" spans="1:33" x14ac:dyDescent="0.3">
      <c r="A70" s="105" t="str">
        <f t="shared" si="9"/>
        <v>f10t4</v>
      </c>
      <c r="B70" s="116">
        <v>198</v>
      </c>
      <c r="C70" s="116">
        <v>10</v>
      </c>
      <c r="D70" s="116">
        <v>2</v>
      </c>
      <c r="E70" s="116">
        <v>4</v>
      </c>
      <c r="F70" s="116">
        <v>0.105</v>
      </c>
      <c r="G70" s="116">
        <v>0.51756860596976195</v>
      </c>
      <c r="H70" s="117">
        <v>41675.681516203702</v>
      </c>
      <c r="I70" s="118" t="s">
        <v>304</v>
      </c>
      <c r="J70" s="106">
        <f t="shared" si="7"/>
        <v>0</v>
      </c>
      <c r="L70" s="105" t="str">
        <f t="shared" si="8"/>
        <v>f35t2</v>
      </c>
      <c r="M70" s="25">
        <v>35</v>
      </c>
      <c r="N70" s="26"/>
      <c r="O70" s="25">
        <v>2</v>
      </c>
      <c r="P70" s="27">
        <v>0.61</v>
      </c>
      <c r="Q70" s="27"/>
      <c r="R70" s="105" t="str">
        <f t="shared" si="10"/>
        <v>f30t4</v>
      </c>
      <c r="S70" s="115">
        <v>198</v>
      </c>
      <c r="T70" s="115">
        <v>30</v>
      </c>
      <c r="U70" s="115">
        <v>4</v>
      </c>
      <c r="V70" s="115">
        <v>0</v>
      </c>
      <c r="W70" s="115">
        <v>0</v>
      </c>
      <c r="X70" s="115">
        <v>588.75268600000004</v>
      </c>
      <c r="Y70" s="115">
        <v>71.162531999999999</v>
      </c>
      <c r="Z70" s="112">
        <f t="shared" si="11"/>
        <v>0.47399996565141178</v>
      </c>
      <c r="AA70" s="107">
        <f t="shared" si="12"/>
        <v>-3.4348588195953766E-8</v>
      </c>
      <c r="AC70" s="105" t="str">
        <f t="shared" si="13"/>
        <v>f17t4</v>
      </c>
      <c r="AD70" s="115">
        <v>16</v>
      </c>
      <c r="AE70" s="115">
        <v>17</v>
      </c>
      <c r="AF70" s="115">
        <v>4</v>
      </c>
      <c r="AG70" s="115">
        <v>0.255</v>
      </c>
    </row>
    <row r="71" spans="1:33" x14ac:dyDescent="0.3">
      <c r="A71" s="105" t="str">
        <f t="shared" si="9"/>
        <v>f10t1</v>
      </c>
      <c r="B71" s="116">
        <v>198</v>
      </c>
      <c r="C71" s="116">
        <v>10</v>
      </c>
      <c r="D71" s="116">
        <v>3</v>
      </c>
      <c r="E71" s="116">
        <v>1</v>
      </c>
      <c r="F71" s="116">
        <v>0.105</v>
      </c>
      <c r="G71" s="116">
        <v>0.49031817929579402</v>
      </c>
      <c r="H71" s="117">
        <v>41675.681516203702</v>
      </c>
      <c r="I71" s="118" t="s">
        <v>304</v>
      </c>
      <c r="J71" s="106">
        <f t="shared" si="7"/>
        <v>0</v>
      </c>
      <c r="L71" s="105" t="str">
        <f t="shared" si="8"/>
        <v>f35t3</v>
      </c>
      <c r="M71" s="25">
        <v>35</v>
      </c>
      <c r="N71" s="26"/>
      <c r="O71" s="25">
        <v>3</v>
      </c>
      <c r="P71" s="27">
        <v>0.495</v>
      </c>
      <c r="Q71" s="27"/>
      <c r="R71" s="105" t="str">
        <f t="shared" si="10"/>
        <v>f31t2</v>
      </c>
      <c r="S71" s="115">
        <v>198</v>
      </c>
      <c r="T71" s="115">
        <v>31</v>
      </c>
      <c r="U71" s="115">
        <v>2</v>
      </c>
      <c r="V71" s="115">
        <v>0</v>
      </c>
      <c r="W71" s="115">
        <v>0</v>
      </c>
      <c r="X71" s="115">
        <v>27.859782000000003</v>
      </c>
      <c r="Y71" s="115">
        <v>2.2739160000000003</v>
      </c>
      <c r="Z71" s="112">
        <f t="shared" si="11"/>
        <v>0.58300015207790001</v>
      </c>
      <c r="AA71" s="107">
        <f t="shared" si="12"/>
        <v>1.5207790005078436E-7</v>
      </c>
      <c r="AC71" s="105" t="str">
        <f t="shared" si="13"/>
        <v>f18t1</v>
      </c>
      <c r="AD71" s="115">
        <v>16</v>
      </c>
      <c r="AE71" s="115">
        <v>18</v>
      </c>
      <c r="AF71" s="115">
        <v>1</v>
      </c>
      <c r="AG71" s="115">
        <v>0.14000000000000001</v>
      </c>
    </row>
    <row r="72" spans="1:33" x14ac:dyDescent="0.3">
      <c r="A72" s="105" t="str">
        <f t="shared" si="9"/>
        <v>f10t2</v>
      </c>
      <c r="B72" s="116">
        <v>198</v>
      </c>
      <c r="C72" s="116">
        <v>10</v>
      </c>
      <c r="D72" s="116">
        <v>3</v>
      </c>
      <c r="E72" s="116">
        <v>2</v>
      </c>
      <c r="F72" s="116">
        <v>0.105</v>
      </c>
      <c r="G72" s="116">
        <v>0.29463358285829899</v>
      </c>
      <c r="H72" s="117">
        <v>41675.681516203702</v>
      </c>
      <c r="I72" s="118" t="s">
        <v>304</v>
      </c>
      <c r="J72" s="106">
        <f t="shared" si="7"/>
        <v>0</v>
      </c>
      <c r="L72" s="105" t="str">
        <f t="shared" si="8"/>
        <v>f35t4</v>
      </c>
      <c r="M72" s="25">
        <v>35</v>
      </c>
      <c r="N72" s="26"/>
      <c r="O72" s="25">
        <v>4</v>
      </c>
      <c r="P72" s="27">
        <v>0.92</v>
      </c>
      <c r="Q72" s="27"/>
      <c r="R72" s="105" t="str">
        <f t="shared" si="10"/>
        <v>f31t3</v>
      </c>
      <c r="S72" s="115">
        <v>198</v>
      </c>
      <c r="T72" s="115">
        <v>31</v>
      </c>
      <c r="U72" s="115">
        <v>3</v>
      </c>
      <c r="V72" s="115">
        <v>0</v>
      </c>
      <c r="W72" s="115">
        <v>0</v>
      </c>
      <c r="X72" s="115">
        <v>1638.1447580000004</v>
      </c>
      <c r="Y72" s="115">
        <v>158.01544499999997</v>
      </c>
      <c r="Z72" s="112">
        <f t="shared" si="11"/>
        <v>0.68900000716542265</v>
      </c>
      <c r="AA72" s="107">
        <f t="shared" si="12"/>
        <v>7.1654226996287207E-9</v>
      </c>
      <c r="AC72" s="105" t="str">
        <f t="shared" si="13"/>
        <v>f18t2</v>
      </c>
      <c r="AD72" s="115">
        <v>16</v>
      </c>
      <c r="AE72" s="115">
        <v>18</v>
      </c>
      <c r="AF72" s="115">
        <v>2</v>
      </c>
      <c r="AG72" s="115">
        <v>0.14000000000000001</v>
      </c>
    </row>
    <row r="73" spans="1:33" x14ac:dyDescent="0.3">
      <c r="A73" s="105" t="str">
        <f t="shared" si="9"/>
        <v>f10t3</v>
      </c>
      <c r="B73" s="116">
        <v>198</v>
      </c>
      <c r="C73" s="116">
        <v>10</v>
      </c>
      <c r="D73" s="116">
        <v>3</v>
      </c>
      <c r="E73" s="116">
        <v>3</v>
      </c>
      <c r="F73" s="116">
        <v>0.105</v>
      </c>
      <c r="G73" s="116">
        <v>0.37084470338583297</v>
      </c>
      <c r="H73" s="117">
        <v>41675.681516203702</v>
      </c>
      <c r="I73" s="118" t="s">
        <v>304</v>
      </c>
      <c r="J73" s="106">
        <f t="shared" si="7"/>
        <v>0</v>
      </c>
      <c r="L73" s="105" t="str">
        <f t="shared" si="8"/>
        <v>f36t1</v>
      </c>
      <c r="M73" s="25">
        <v>36</v>
      </c>
      <c r="N73" s="26"/>
      <c r="O73" s="25">
        <v>1</v>
      </c>
      <c r="P73" s="27">
        <v>0.24199999999999999</v>
      </c>
      <c r="Q73" s="27"/>
      <c r="R73" s="105" t="str">
        <f t="shared" si="10"/>
        <v>f32t2</v>
      </c>
      <c r="S73" s="115">
        <v>198</v>
      </c>
      <c r="T73" s="115">
        <v>32</v>
      </c>
      <c r="U73" s="115">
        <v>2</v>
      </c>
      <c r="V73" s="115">
        <v>0</v>
      </c>
      <c r="W73" s="115">
        <v>0</v>
      </c>
      <c r="X73" s="115">
        <v>901.46367800000007</v>
      </c>
      <c r="Y73" s="115">
        <v>249.642336</v>
      </c>
      <c r="Z73" s="112">
        <f t="shared" si="11"/>
        <v>1.0859999984837729</v>
      </c>
      <c r="AA73" s="107">
        <f t="shared" si="12"/>
        <v>-1.5162271438384778E-9</v>
      </c>
      <c r="AC73" s="105" t="str">
        <f t="shared" si="13"/>
        <v>f18t3</v>
      </c>
      <c r="AD73" s="115">
        <v>16</v>
      </c>
      <c r="AE73" s="115">
        <v>18</v>
      </c>
      <c r="AF73" s="115">
        <v>3</v>
      </c>
      <c r="AG73" s="115">
        <v>0.14000000000000001</v>
      </c>
    </row>
    <row r="74" spans="1:33" x14ac:dyDescent="0.3">
      <c r="A74" s="105" t="str">
        <f t="shared" si="9"/>
        <v>f10t4</v>
      </c>
      <c r="B74" s="116">
        <v>198</v>
      </c>
      <c r="C74" s="116">
        <v>10</v>
      </c>
      <c r="D74" s="116">
        <v>3</v>
      </c>
      <c r="E74" s="116">
        <v>4</v>
      </c>
      <c r="F74" s="116">
        <v>0.105</v>
      </c>
      <c r="G74" s="116">
        <v>0.51756860596976195</v>
      </c>
      <c r="H74" s="117">
        <v>41675.681516203702</v>
      </c>
      <c r="I74" s="118" t="s">
        <v>304</v>
      </c>
      <c r="J74" s="106">
        <f t="shared" si="7"/>
        <v>0</v>
      </c>
      <c r="L74" s="105" t="str">
        <f t="shared" si="8"/>
        <v>f36t3</v>
      </c>
      <c r="M74" s="25">
        <v>36</v>
      </c>
      <c r="N74" s="26"/>
      <c r="O74" s="25">
        <v>3</v>
      </c>
      <c r="P74" s="27">
        <v>0.6</v>
      </c>
      <c r="Q74" s="27"/>
      <c r="R74" s="105" t="str">
        <f t="shared" si="10"/>
        <v>f32t3</v>
      </c>
      <c r="S74" s="115">
        <v>198</v>
      </c>
      <c r="T74" s="115">
        <v>32</v>
      </c>
      <c r="U74" s="115">
        <v>3</v>
      </c>
      <c r="V74" s="115">
        <v>0</v>
      </c>
      <c r="W74" s="115">
        <v>0</v>
      </c>
      <c r="X74" s="115">
        <v>2281.7290969999999</v>
      </c>
      <c r="Y74" s="115">
        <v>631.87923900000021</v>
      </c>
      <c r="Z74" s="112">
        <f t="shared" si="11"/>
        <v>1.0860000002883781</v>
      </c>
      <c r="AA74" s="107">
        <f t="shared" si="12"/>
        <v>2.8837798815573024E-10</v>
      </c>
      <c r="AC74" s="105" t="str">
        <f t="shared" si="13"/>
        <v>f18t4</v>
      </c>
      <c r="AD74" s="115">
        <v>16</v>
      </c>
      <c r="AE74" s="115">
        <v>18</v>
      </c>
      <c r="AF74" s="115">
        <v>4</v>
      </c>
      <c r="AG74" s="115">
        <v>0.14000000000000001</v>
      </c>
    </row>
    <row r="75" spans="1:33" x14ac:dyDescent="0.3">
      <c r="A75" s="105" t="str">
        <f t="shared" si="9"/>
        <v>f10t1</v>
      </c>
      <c r="B75" s="116">
        <v>198</v>
      </c>
      <c r="C75" s="116">
        <v>10</v>
      </c>
      <c r="D75" s="116">
        <v>4</v>
      </c>
      <c r="E75" s="116">
        <v>1</v>
      </c>
      <c r="F75" s="116">
        <v>0.105</v>
      </c>
      <c r="G75" s="116">
        <v>0.49031817929579402</v>
      </c>
      <c r="H75" s="117">
        <v>41675.681516203702</v>
      </c>
      <c r="I75" s="118" t="s">
        <v>304</v>
      </c>
      <c r="J75" s="106">
        <f t="shared" si="7"/>
        <v>0</v>
      </c>
      <c r="L75" s="105" t="str">
        <f t="shared" si="8"/>
        <v>f36t4</v>
      </c>
      <c r="M75" s="25">
        <v>36</v>
      </c>
      <c r="N75" s="26"/>
      <c r="O75" s="25">
        <v>4</v>
      </c>
      <c r="P75" s="27">
        <v>0.24199999999999999</v>
      </c>
      <c r="Q75" s="27"/>
      <c r="R75" s="105" t="str">
        <f t="shared" si="10"/>
        <v>f33t1</v>
      </c>
      <c r="S75" s="115">
        <v>198</v>
      </c>
      <c r="T75" s="115">
        <v>33</v>
      </c>
      <c r="U75" s="115">
        <v>1</v>
      </c>
      <c r="V75" s="115">
        <v>0</v>
      </c>
      <c r="W75" s="115">
        <v>0</v>
      </c>
      <c r="X75" s="115">
        <v>17.438220000000001</v>
      </c>
      <c r="Y75" s="115">
        <v>0</v>
      </c>
      <c r="Z75" s="112">
        <f t="shared" si="11"/>
        <v>0</v>
      </c>
      <c r="AA75" s="107" t="e">
        <f t="shared" si="12"/>
        <v>#N/A</v>
      </c>
      <c r="AC75" s="105" t="str">
        <f t="shared" si="13"/>
        <v>f19t1</v>
      </c>
      <c r="AD75" s="115">
        <v>16</v>
      </c>
      <c r="AE75" s="115">
        <v>19</v>
      </c>
      <c r="AF75" s="115">
        <v>1</v>
      </c>
      <c r="AG75" s="115">
        <v>0.3</v>
      </c>
    </row>
    <row r="76" spans="1:33" x14ac:dyDescent="0.3">
      <c r="A76" s="105" t="str">
        <f t="shared" si="9"/>
        <v>f10t2</v>
      </c>
      <c r="B76" s="116">
        <v>198</v>
      </c>
      <c r="C76" s="116">
        <v>10</v>
      </c>
      <c r="D76" s="116">
        <v>4</v>
      </c>
      <c r="E76" s="116">
        <v>2</v>
      </c>
      <c r="F76" s="116">
        <v>0.105</v>
      </c>
      <c r="G76" s="116">
        <v>0.29463358285829899</v>
      </c>
      <c r="H76" s="117">
        <v>41675.681516203702</v>
      </c>
      <c r="I76" s="118" t="s">
        <v>304</v>
      </c>
      <c r="J76" s="106">
        <f t="shared" si="7"/>
        <v>0</v>
      </c>
      <c r="L76" s="105" t="str">
        <f t="shared" si="8"/>
        <v>f42t1</v>
      </c>
      <c r="M76" s="25">
        <v>42</v>
      </c>
      <c r="N76" s="26"/>
      <c r="O76" s="25">
        <v>1</v>
      </c>
      <c r="P76" s="27">
        <v>1.92</v>
      </c>
      <c r="Q76" s="27"/>
      <c r="R76" s="105" t="str">
        <f t="shared" si="10"/>
        <v>f33t2</v>
      </c>
      <c r="S76" s="115">
        <v>198</v>
      </c>
      <c r="T76" s="115">
        <v>33</v>
      </c>
      <c r="U76" s="115">
        <v>2</v>
      </c>
      <c r="V76" s="115">
        <v>0</v>
      </c>
      <c r="W76" s="115">
        <v>0</v>
      </c>
      <c r="X76" s="115">
        <v>1526.4992070000001</v>
      </c>
      <c r="Y76" s="115">
        <v>204.68827999999996</v>
      </c>
      <c r="Z76" s="112">
        <f t="shared" si="11"/>
        <v>0.58300000379774886</v>
      </c>
      <c r="AA76" s="107">
        <f t="shared" si="12"/>
        <v>3.7977488931417724E-9</v>
      </c>
      <c r="AC76" s="105" t="str">
        <f t="shared" si="13"/>
        <v>f19t2</v>
      </c>
      <c r="AD76" s="115">
        <v>16</v>
      </c>
      <c r="AE76" s="115">
        <v>19</v>
      </c>
      <c r="AF76" s="115">
        <v>2</v>
      </c>
      <c r="AG76" s="115">
        <v>0.3</v>
      </c>
    </row>
    <row r="77" spans="1:33" x14ac:dyDescent="0.3">
      <c r="A77" s="105" t="str">
        <f t="shared" si="9"/>
        <v>f10t3</v>
      </c>
      <c r="B77" s="116">
        <v>198</v>
      </c>
      <c r="C77" s="116">
        <v>10</v>
      </c>
      <c r="D77" s="116">
        <v>4</v>
      </c>
      <c r="E77" s="116">
        <v>3</v>
      </c>
      <c r="F77" s="116">
        <v>0.105</v>
      </c>
      <c r="G77" s="116">
        <v>0.37084470338583297</v>
      </c>
      <c r="H77" s="117">
        <v>41675.681516203702</v>
      </c>
      <c r="I77" s="118" t="s">
        <v>304</v>
      </c>
      <c r="J77" s="106">
        <f t="shared" si="7"/>
        <v>0</v>
      </c>
      <c r="L77" s="105" t="str">
        <f t="shared" si="8"/>
        <v>f42t3</v>
      </c>
      <c r="M77" s="25">
        <v>42</v>
      </c>
      <c r="N77" s="26"/>
      <c r="O77" s="25">
        <v>3</v>
      </c>
      <c r="P77" s="27">
        <v>0.77400000000000002</v>
      </c>
      <c r="Q77" s="27"/>
      <c r="R77" s="105" t="str">
        <f t="shared" si="10"/>
        <v>f33t3</v>
      </c>
      <c r="S77" s="115">
        <v>198</v>
      </c>
      <c r="T77" s="115">
        <v>33</v>
      </c>
      <c r="U77" s="115">
        <v>3</v>
      </c>
      <c r="V77" s="115">
        <v>0</v>
      </c>
      <c r="W77" s="115">
        <v>0</v>
      </c>
      <c r="X77" s="115">
        <v>2077.4273010000002</v>
      </c>
      <c r="Y77" s="115">
        <v>329.20989900000001</v>
      </c>
      <c r="Z77" s="112">
        <f t="shared" si="11"/>
        <v>0.68899998872043389</v>
      </c>
      <c r="AA77" s="107">
        <f t="shared" si="12"/>
        <v>-1.1279566058952639E-8</v>
      </c>
      <c r="AC77" s="105" t="str">
        <f t="shared" si="13"/>
        <v>f19t3</v>
      </c>
      <c r="AD77" s="115">
        <v>16</v>
      </c>
      <c r="AE77" s="115">
        <v>19</v>
      </c>
      <c r="AF77" s="115">
        <v>3</v>
      </c>
      <c r="AG77" s="115">
        <v>0.3</v>
      </c>
    </row>
    <row r="78" spans="1:33" x14ac:dyDescent="0.3">
      <c r="A78" s="105" t="str">
        <f t="shared" si="9"/>
        <v>f10t4</v>
      </c>
      <c r="B78" s="116">
        <v>198</v>
      </c>
      <c r="C78" s="116">
        <v>10</v>
      </c>
      <c r="D78" s="116">
        <v>4</v>
      </c>
      <c r="E78" s="116">
        <v>4</v>
      </c>
      <c r="F78" s="116">
        <v>0.105</v>
      </c>
      <c r="G78" s="116">
        <v>0.51756860596976195</v>
      </c>
      <c r="H78" s="117">
        <v>41675.681516203702</v>
      </c>
      <c r="I78" s="118" t="s">
        <v>304</v>
      </c>
      <c r="J78" s="106">
        <f t="shared" si="7"/>
        <v>0</v>
      </c>
      <c r="L78" s="105" t="str">
        <f t="shared" si="8"/>
        <v>f42t4</v>
      </c>
      <c r="M78" s="25">
        <v>42</v>
      </c>
      <c r="N78" s="26"/>
      <c r="O78" s="25">
        <v>4</v>
      </c>
      <c r="P78" s="27">
        <v>1.92</v>
      </c>
      <c r="Q78" s="27"/>
      <c r="R78" s="105" t="str">
        <f t="shared" si="10"/>
        <v>f33t4</v>
      </c>
      <c r="S78" s="115">
        <v>198</v>
      </c>
      <c r="T78" s="115">
        <v>33</v>
      </c>
      <c r="U78" s="115">
        <v>4</v>
      </c>
      <c r="V78" s="115">
        <v>0</v>
      </c>
      <c r="W78" s="115">
        <v>0</v>
      </c>
      <c r="X78" s="115">
        <v>56.630347</v>
      </c>
      <c r="Y78" s="115">
        <v>0</v>
      </c>
      <c r="Z78" s="112">
        <f t="shared" si="11"/>
        <v>0</v>
      </c>
      <c r="AA78" s="107" t="e">
        <f t="shared" si="12"/>
        <v>#N/A</v>
      </c>
      <c r="AC78" s="105" t="str">
        <f t="shared" si="13"/>
        <v>f19t4</v>
      </c>
      <c r="AD78" s="115">
        <v>16</v>
      </c>
      <c r="AE78" s="115">
        <v>19</v>
      </c>
      <c r="AF78" s="115">
        <v>4</v>
      </c>
      <c r="AG78" s="115">
        <v>0.3</v>
      </c>
    </row>
    <row r="79" spans="1:33" x14ac:dyDescent="0.3">
      <c r="A79" s="105" t="str">
        <f t="shared" si="9"/>
        <v>f10t1</v>
      </c>
      <c r="B79" s="116">
        <v>198</v>
      </c>
      <c r="C79" s="116">
        <v>10</v>
      </c>
      <c r="D79" s="116">
        <v>5</v>
      </c>
      <c r="E79" s="116">
        <v>1</v>
      </c>
      <c r="F79" s="116">
        <v>0.105</v>
      </c>
      <c r="G79" s="116">
        <v>0.49031817929579402</v>
      </c>
      <c r="H79" s="117">
        <v>41675.681516203702</v>
      </c>
      <c r="I79" s="118" t="s">
        <v>304</v>
      </c>
      <c r="J79" s="106">
        <f t="shared" si="7"/>
        <v>0</v>
      </c>
      <c r="L79" s="105" t="str">
        <f t="shared" si="8"/>
        <v>f45t1</v>
      </c>
      <c r="M79" s="25">
        <v>45</v>
      </c>
      <c r="N79" s="26"/>
      <c r="O79" s="25">
        <v>1</v>
      </c>
      <c r="P79" s="27">
        <v>3.6480000000000001</v>
      </c>
      <c r="Q79" s="27"/>
      <c r="R79" s="105" t="str">
        <f t="shared" si="10"/>
        <v>f34t2</v>
      </c>
      <c r="S79" s="115">
        <v>198</v>
      </c>
      <c r="T79" s="115">
        <v>34</v>
      </c>
      <c r="U79" s="115">
        <v>2</v>
      </c>
      <c r="V79" s="115">
        <v>0</v>
      </c>
      <c r="W79" s="115">
        <v>0</v>
      </c>
      <c r="X79" s="115">
        <v>44004.045695000008</v>
      </c>
      <c r="Y79" s="115">
        <v>0</v>
      </c>
      <c r="Z79" s="112">
        <f t="shared" si="11"/>
        <v>0</v>
      </c>
      <c r="AA79" s="107">
        <f t="shared" si="12"/>
        <v>-0.36799999999999999</v>
      </c>
      <c r="AC79" s="105" t="str">
        <f t="shared" si="13"/>
        <v>f20t1</v>
      </c>
      <c r="AD79" s="115">
        <v>16</v>
      </c>
      <c r="AE79" s="115">
        <v>20</v>
      </c>
      <c r="AF79" s="115">
        <v>1</v>
      </c>
      <c r="AG79" s="115">
        <v>0.255</v>
      </c>
    </row>
    <row r="80" spans="1:33" x14ac:dyDescent="0.3">
      <c r="A80" s="105" t="str">
        <f t="shared" si="9"/>
        <v>f10t2</v>
      </c>
      <c r="B80" s="116">
        <v>198</v>
      </c>
      <c r="C80" s="116">
        <v>10</v>
      </c>
      <c r="D80" s="116">
        <v>5</v>
      </c>
      <c r="E80" s="116">
        <v>2</v>
      </c>
      <c r="F80" s="116">
        <v>0.105</v>
      </c>
      <c r="G80" s="116">
        <v>0.29463358285829899</v>
      </c>
      <c r="H80" s="117">
        <v>41675.681516203702</v>
      </c>
      <c r="I80" s="118" t="s">
        <v>304</v>
      </c>
      <c r="J80" s="106">
        <f t="shared" si="7"/>
        <v>0</v>
      </c>
      <c r="L80" s="105" t="str">
        <f t="shared" si="8"/>
        <v>f45t4</v>
      </c>
      <c r="M80" s="25">
        <v>45</v>
      </c>
      <c r="N80" s="26"/>
      <c r="O80" s="25">
        <v>4</v>
      </c>
      <c r="P80" s="27">
        <v>3.6480000000000001</v>
      </c>
      <c r="Q80" s="27"/>
      <c r="R80" s="105" t="str">
        <f t="shared" si="10"/>
        <v>f34t3</v>
      </c>
      <c r="S80" s="115">
        <v>198</v>
      </c>
      <c r="T80" s="115">
        <v>34</v>
      </c>
      <c r="U80" s="115">
        <v>3</v>
      </c>
      <c r="V80" s="115">
        <v>0</v>
      </c>
      <c r="W80" s="115">
        <v>0</v>
      </c>
      <c r="X80" s="115">
        <v>70731.607086000004</v>
      </c>
      <c r="Y80" s="115">
        <v>10821.935883999999</v>
      </c>
      <c r="Z80" s="112">
        <f t="shared" si="11"/>
        <v>0.59999999999123999</v>
      </c>
      <c r="AA80" s="107">
        <f t="shared" si="12"/>
        <v>-8.7599927311998727E-12</v>
      </c>
      <c r="AC80" s="105" t="str">
        <f t="shared" si="13"/>
        <v>f20t2</v>
      </c>
      <c r="AD80" s="115">
        <v>16</v>
      </c>
      <c r="AE80" s="115">
        <v>20</v>
      </c>
      <c r="AF80" s="115">
        <v>2</v>
      </c>
      <c r="AG80" s="115">
        <v>0.255</v>
      </c>
    </row>
    <row r="81" spans="1:33" x14ac:dyDescent="0.3">
      <c r="A81" s="105" t="str">
        <f t="shared" si="9"/>
        <v>f10t3</v>
      </c>
      <c r="B81" s="116">
        <v>198</v>
      </c>
      <c r="C81" s="116">
        <v>10</v>
      </c>
      <c r="D81" s="116">
        <v>5</v>
      </c>
      <c r="E81" s="116">
        <v>3</v>
      </c>
      <c r="F81" s="116">
        <v>0.105</v>
      </c>
      <c r="G81" s="116">
        <v>0.37084470338583297</v>
      </c>
      <c r="H81" s="117">
        <v>41675.681516203702</v>
      </c>
      <c r="I81" s="118" t="s">
        <v>304</v>
      </c>
      <c r="J81" s="106">
        <f t="shared" si="7"/>
        <v>0</v>
      </c>
      <c r="L81" s="105" t="str">
        <f t="shared" si="8"/>
        <v>f53t1</v>
      </c>
      <c r="M81" s="25">
        <v>53</v>
      </c>
      <c r="N81" s="26"/>
      <c r="O81" s="25">
        <v>1</v>
      </c>
      <c r="P81" s="27">
        <v>2.5169999999999999</v>
      </c>
      <c r="Q81" s="27"/>
      <c r="R81" s="105" t="str">
        <f t="shared" si="10"/>
        <v>f35t1</v>
      </c>
      <c r="S81" s="115">
        <v>198</v>
      </c>
      <c r="T81" s="115">
        <v>35</v>
      </c>
      <c r="U81" s="115">
        <v>1</v>
      </c>
      <c r="V81" s="115">
        <v>0</v>
      </c>
      <c r="W81" s="115">
        <v>0</v>
      </c>
      <c r="X81" s="115">
        <v>24684.840356999997</v>
      </c>
      <c r="Y81" s="115">
        <v>5223.3122199999998</v>
      </c>
      <c r="Z81" s="112">
        <f t="shared" si="11"/>
        <v>0.92000000008081007</v>
      </c>
      <c r="AA81" s="107">
        <f t="shared" si="12"/>
        <v>8.0810025337996194E-11</v>
      </c>
      <c r="AC81" s="105" t="str">
        <f t="shared" si="13"/>
        <v>f20t3</v>
      </c>
      <c r="AD81" s="115">
        <v>16</v>
      </c>
      <c r="AE81" s="115">
        <v>20</v>
      </c>
      <c r="AF81" s="115">
        <v>3</v>
      </c>
      <c r="AG81" s="115">
        <v>0.255</v>
      </c>
    </row>
    <row r="82" spans="1:33" x14ac:dyDescent="0.3">
      <c r="A82" s="105" t="str">
        <f t="shared" si="9"/>
        <v>f10t4</v>
      </c>
      <c r="B82" s="116">
        <v>198</v>
      </c>
      <c r="C82" s="116">
        <v>10</v>
      </c>
      <c r="D82" s="116">
        <v>5</v>
      </c>
      <c r="E82" s="116">
        <v>4</v>
      </c>
      <c r="F82" s="116">
        <v>0.105</v>
      </c>
      <c r="G82" s="116">
        <v>0.51756860596976195</v>
      </c>
      <c r="H82" s="117">
        <v>41675.681516203702</v>
      </c>
      <c r="I82" s="118" t="s">
        <v>304</v>
      </c>
      <c r="J82" s="106">
        <f t="shared" si="7"/>
        <v>0</v>
      </c>
      <c r="L82" s="105" t="str">
        <f t="shared" si="8"/>
        <v>f53t3</v>
      </c>
      <c r="M82" s="25">
        <v>53</v>
      </c>
      <c r="N82" s="26"/>
      <c r="O82" s="25">
        <v>3</v>
      </c>
      <c r="P82" s="27">
        <v>0.94599999999999995</v>
      </c>
      <c r="Q82" s="27"/>
      <c r="R82" s="105" t="str">
        <f t="shared" si="10"/>
        <v>f35t2</v>
      </c>
      <c r="S82" s="115">
        <v>198</v>
      </c>
      <c r="T82" s="115">
        <v>35</v>
      </c>
      <c r="U82" s="115">
        <v>2</v>
      </c>
      <c r="V82" s="115">
        <v>0</v>
      </c>
      <c r="W82" s="115">
        <v>0</v>
      </c>
      <c r="X82" s="115">
        <v>23641.862825000004</v>
      </c>
      <c r="Y82" s="115">
        <v>3316.9533539999993</v>
      </c>
      <c r="Z82" s="112">
        <f t="shared" si="11"/>
        <v>0.60999999993609322</v>
      </c>
      <c r="AA82" s="107">
        <f t="shared" si="12"/>
        <v>-6.3906768765775723E-11</v>
      </c>
      <c r="AC82" s="105" t="str">
        <f t="shared" si="13"/>
        <v>f20t4</v>
      </c>
      <c r="AD82" s="115">
        <v>16</v>
      </c>
      <c r="AE82" s="115">
        <v>20</v>
      </c>
      <c r="AF82" s="115">
        <v>4</v>
      </c>
      <c r="AG82" s="115">
        <v>0.255</v>
      </c>
    </row>
    <row r="83" spans="1:33" x14ac:dyDescent="0.3">
      <c r="A83" s="105" t="str">
        <f t="shared" si="9"/>
        <v>f11t1</v>
      </c>
      <c r="B83" s="116">
        <v>198</v>
      </c>
      <c r="C83" s="116">
        <v>11</v>
      </c>
      <c r="D83" s="116">
        <v>2</v>
      </c>
      <c r="E83" s="116">
        <v>1</v>
      </c>
      <c r="F83" s="116">
        <v>0.2</v>
      </c>
      <c r="G83" s="116">
        <v>1</v>
      </c>
      <c r="H83" s="117">
        <v>41675.681516203702</v>
      </c>
      <c r="I83" s="118" t="s">
        <v>304</v>
      </c>
      <c r="J83" s="106">
        <f t="shared" si="7"/>
        <v>0</v>
      </c>
      <c r="L83" s="105" t="str">
        <f t="shared" si="8"/>
        <v>f53t4</v>
      </c>
      <c r="M83" s="25">
        <v>53</v>
      </c>
      <c r="N83" s="26"/>
      <c r="O83" s="25">
        <v>4</v>
      </c>
      <c r="P83" s="27">
        <v>2.5169999999999999</v>
      </c>
      <c r="Q83" s="27"/>
      <c r="R83" s="105" t="str">
        <f t="shared" si="10"/>
        <v>f35t3</v>
      </c>
      <c r="S83" s="115">
        <v>198</v>
      </c>
      <c r="T83" s="115">
        <v>35</v>
      </c>
      <c r="U83" s="115">
        <v>3</v>
      </c>
      <c r="V83" s="115">
        <v>0</v>
      </c>
      <c r="W83" s="115">
        <v>0</v>
      </c>
      <c r="X83" s="115">
        <v>55272.164992000005</v>
      </c>
      <c r="Y83" s="115">
        <v>6292.7359839999999</v>
      </c>
      <c r="Z83" s="112">
        <f t="shared" si="11"/>
        <v>0.49499999997331773</v>
      </c>
      <c r="AA83" s="107">
        <f t="shared" si="12"/>
        <v>-2.6682267506572543E-11</v>
      </c>
      <c r="AC83" s="105" t="str">
        <f t="shared" si="13"/>
        <v>f21t1</v>
      </c>
      <c r="AD83" s="115">
        <v>16</v>
      </c>
      <c r="AE83" s="115">
        <v>21</v>
      </c>
      <c r="AF83" s="115">
        <v>1</v>
      </c>
      <c r="AG83" s="115">
        <v>0.255</v>
      </c>
    </row>
    <row r="84" spans="1:33" x14ac:dyDescent="0.3">
      <c r="A84" s="105" t="str">
        <f t="shared" si="9"/>
        <v>f11t2</v>
      </c>
      <c r="B84" s="116">
        <v>198</v>
      </c>
      <c r="C84" s="116">
        <v>11</v>
      </c>
      <c r="D84" s="116">
        <v>2</v>
      </c>
      <c r="E84" s="116">
        <v>2</v>
      </c>
      <c r="F84" s="116">
        <v>0.2</v>
      </c>
      <c r="G84" s="116">
        <v>1</v>
      </c>
      <c r="H84" s="117">
        <v>41675.681516203702</v>
      </c>
      <c r="I84" s="118" t="s">
        <v>304</v>
      </c>
      <c r="J84" s="106">
        <f t="shared" si="7"/>
        <v>0</v>
      </c>
      <c r="L84" s="105" t="str">
        <f t="shared" si="8"/>
        <v>f54t1</v>
      </c>
      <c r="M84" s="25">
        <v>54</v>
      </c>
      <c r="N84" s="26"/>
      <c r="O84" s="25">
        <v>1</v>
      </c>
      <c r="P84" s="27">
        <v>1.0580000000000001</v>
      </c>
      <c r="Q84" s="27"/>
      <c r="R84" s="105" t="str">
        <f t="shared" si="10"/>
        <v>f35t4</v>
      </c>
      <c r="S84" s="115">
        <v>198</v>
      </c>
      <c r="T84" s="115">
        <v>35</v>
      </c>
      <c r="U84" s="115">
        <v>4</v>
      </c>
      <c r="V84" s="115">
        <v>0</v>
      </c>
      <c r="W84" s="115">
        <v>0</v>
      </c>
      <c r="X84" s="115">
        <v>19681.433168</v>
      </c>
      <c r="Y84" s="115">
        <v>4164.5912500000004</v>
      </c>
      <c r="Z84" s="112">
        <f t="shared" si="11"/>
        <v>0.91999999815566647</v>
      </c>
      <c r="AA84" s="107">
        <f t="shared" si="12"/>
        <v>-1.8443335747519995E-9</v>
      </c>
      <c r="AC84" s="105" t="str">
        <f t="shared" si="13"/>
        <v>f21t2</v>
      </c>
      <c r="AD84" s="115">
        <v>16</v>
      </c>
      <c r="AE84" s="115">
        <v>21</v>
      </c>
      <c r="AF84" s="115">
        <v>2</v>
      </c>
      <c r="AG84" s="115">
        <v>0.255</v>
      </c>
    </row>
    <row r="85" spans="1:33" x14ac:dyDescent="0.3">
      <c r="A85" s="105" t="str">
        <f t="shared" si="9"/>
        <v>f11t3</v>
      </c>
      <c r="B85" s="116">
        <v>198</v>
      </c>
      <c r="C85" s="116">
        <v>11</v>
      </c>
      <c r="D85" s="116">
        <v>2</v>
      </c>
      <c r="E85" s="116">
        <v>3</v>
      </c>
      <c r="F85" s="116">
        <v>0.2</v>
      </c>
      <c r="G85" s="116">
        <v>0.41726435238364601</v>
      </c>
      <c r="H85" s="117">
        <v>41675.681516203702</v>
      </c>
      <c r="I85" s="118" t="s">
        <v>304</v>
      </c>
      <c r="J85" s="106">
        <f t="shared" si="7"/>
        <v>0</v>
      </c>
      <c r="L85" s="105" t="str">
        <f t="shared" si="8"/>
        <v>f54t3</v>
      </c>
      <c r="M85" s="25">
        <v>54</v>
      </c>
      <c r="N85" s="26"/>
      <c r="O85" s="25">
        <v>3</v>
      </c>
      <c r="P85" s="27">
        <v>3.4000000000000002E-2</v>
      </c>
      <c r="Q85" s="27"/>
      <c r="R85" s="105" t="str">
        <f t="shared" si="10"/>
        <v>f36t1</v>
      </c>
      <c r="S85" s="115">
        <v>198</v>
      </c>
      <c r="T85" s="115">
        <v>36</v>
      </c>
      <c r="U85" s="115">
        <v>1</v>
      </c>
      <c r="V85" s="115">
        <v>2649.2658819999997</v>
      </c>
      <c r="W85" s="115">
        <v>128.22448000000006</v>
      </c>
      <c r="X85" s="115">
        <v>128.94267500000001</v>
      </c>
      <c r="Y85" s="115">
        <v>6.2408199999999976</v>
      </c>
      <c r="Z85" s="112">
        <f t="shared" si="11"/>
        <v>0.24200001051252976</v>
      </c>
      <c r="AA85" s="107">
        <f t="shared" si="12"/>
        <v>1.0512529763362366E-8</v>
      </c>
      <c r="AC85" s="105" t="str">
        <f t="shared" si="13"/>
        <v>f21t3</v>
      </c>
      <c r="AD85" s="115">
        <v>16</v>
      </c>
      <c r="AE85" s="115">
        <v>21</v>
      </c>
      <c r="AF85" s="115">
        <v>3</v>
      </c>
      <c r="AG85" s="115">
        <v>0.255</v>
      </c>
    </row>
    <row r="86" spans="1:33" x14ac:dyDescent="0.3">
      <c r="A86" s="105" t="str">
        <f t="shared" si="9"/>
        <v>f11t4</v>
      </c>
      <c r="B86" s="116">
        <v>198</v>
      </c>
      <c r="C86" s="116">
        <v>11</v>
      </c>
      <c r="D86" s="116">
        <v>2</v>
      </c>
      <c r="E86" s="116">
        <v>4</v>
      </c>
      <c r="F86" s="116">
        <v>0.2</v>
      </c>
      <c r="G86" s="116">
        <v>1</v>
      </c>
      <c r="H86" s="117">
        <v>41675.681516203702</v>
      </c>
      <c r="I86" s="118" t="s">
        <v>304</v>
      </c>
      <c r="J86" s="106">
        <f t="shared" si="7"/>
        <v>0</v>
      </c>
      <c r="L86" s="105" t="str">
        <f t="shared" si="8"/>
        <v>f54t4</v>
      </c>
      <c r="M86" s="25">
        <v>54</v>
      </c>
      <c r="N86" s="26"/>
      <c r="O86" s="25">
        <v>4</v>
      </c>
      <c r="P86" s="27">
        <v>1.0580000000000001</v>
      </c>
      <c r="Q86" s="27"/>
      <c r="R86" s="105" t="str">
        <f t="shared" si="10"/>
        <v>f36t3</v>
      </c>
      <c r="S86" s="115">
        <v>198</v>
      </c>
      <c r="T86" s="115">
        <v>36</v>
      </c>
      <c r="U86" s="115">
        <v>3</v>
      </c>
      <c r="V86" s="115">
        <v>0</v>
      </c>
      <c r="W86" s="115">
        <v>0</v>
      </c>
      <c r="X86" s="115">
        <v>2303.9837599999996</v>
      </c>
      <c r="Y86" s="115">
        <v>276.47804900000006</v>
      </c>
      <c r="Z86" s="112">
        <f t="shared" si="11"/>
        <v>0.59999999522566105</v>
      </c>
      <c r="AA86" s="107">
        <f t="shared" si="12"/>
        <v>-4.7743389242071999E-9</v>
      </c>
      <c r="AC86" s="105" t="str">
        <f t="shared" si="13"/>
        <v>f21t4</v>
      </c>
      <c r="AD86" s="115">
        <v>16</v>
      </c>
      <c r="AE86" s="115">
        <v>21</v>
      </c>
      <c r="AF86" s="115">
        <v>4</v>
      </c>
      <c r="AG86" s="115">
        <v>0.255</v>
      </c>
    </row>
    <row r="87" spans="1:33" x14ac:dyDescent="0.3">
      <c r="A87" s="105" t="str">
        <f t="shared" si="9"/>
        <v>f11t1</v>
      </c>
      <c r="B87" s="116">
        <v>198</v>
      </c>
      <c r="C87" s="116">
        <v>11</v>
      </c>
      <c r="D87" s="116">
        <v>3</v>
      </c>
      <c r="E87" s="116">
        <v>1</v>
      </c>
      <c r="F87" s="116">
        <v>0.2</v>
      </c>
      <c r="G87" s="116">
        <v>1</v>
      </c>
      <c r="H87" s="117">
        <v>41675.681516203702</v>
      </c>
      <c r="I87" s="118" t="s">
        <v>304</v>
      </c>
      <c r="J87" s="106">
        <f t="shared" si="7"/>
        <v>0</v>
      </c>
      <c r="L87" s="105" t="str">
        <f t="shared" si="8"/>
        <v>f56t1</v>
      </c>
      <c r="M87" s="25">
        <v>56</v>
      </c>
      <c r="N87" s="26"/>
      <c r="O87" s="25">
        <v>1</v>
      </c>
      <c r="P87" s="27">
        <v>6.1040000000000001</v>
      </c>
      <c r="Q87" s="27"/>
      <c r="R87" s="105" t="str">
        <f t="shared" si="10"/>
        <v>f36t4</v>
      </c>
      <c r="S87" s="115">
        <v>198</v>
      </c>
      <c r="T87" s="115">
        <v>36</v>
      </c>
      <c r="U87" s="115">
        <v>4</v>
      </c>
      <c r="V87" s="115">
        <v>4290.4031620000005</v>
      </c>
      <c r="W87" s="115">
        <v>207.65551000000002</v>
      </c>
      <c r="X87" s="115">
        <v>209.04045599999998</v>
      </c>
      <c r="Y87" s="115">
        <v>10.117564000000002</v>
      </c>
      <c r="Z87" s="112">
        <f t="shared" si="11"/>
        <v>0.24200000321017467</v>
      </c>
      <c r="AA87" s="107">
        <f t="shared" si="12"/>
        <v>3.2101746816337595E-9</v>
      </c>
      <c r="AC87" s="105" t="str">
        <f t="shared" si="13"/>
        <v>f22t1</v>
      </c>
      <c r="AD87" s="115">
        <v>16</v>
      </c>
      <c r="AE87" s="115">
        <v>22</v>
      </c>
      <c r="AF87" s="115">
        <v>1</v>
      </c>
      <c r="AG87" s="115">
        <v>0.14000000000000001</v>
      </c>
    </row>
    <row r="88" spans="1:33" x14ac:dyDescent="0.3">
      <c r="A88" s="105" t="str">
        <f t="shared" si="9"/>
        <v>f11t2</v>
      </c>
      <c r="B88" s="116">
        <v>198</v>
      </c>
      <c r="C88" s="116">
        <v>11</v>
      </c>
      <c r="D88" s="116">
        <v>3</v>
      </c>
      <c r="E88" s="116">
        <v>2</v>
      </c>
      <c r="F88" s="116">
        <v>0.2</v>
      </c>
      <c r="G88" s="116">
        <v>1</v>
      </c>
      <c r="H88" s="117">
        <v>41675.681516203702</v>
      </c>
      <c r="I88" s="118" t="s">
        <v>304</v>
      </c>
      <c r="J88" s="106">
        <f t="shared" si="7"/>
        <v>0</v>
      </c>
      <c r="L88" s="105" t="str">
        <f t="shared" si="8"/>
        <v>f56t3</v>
      </c>
      <c r="M88" s="25">
        <v>56</v>
      </c>
      <c r="N88" s="26"/>
      <c r="O88" s="25">
        <v>3</v>
      </c>
      <c r="P88" s="27">
        <v>1.2230000000000001</v>
      </c>
      <c r="Q88" s="27"/>
      <c r="R88" s="105" t="str">
        <f t="shared" si="10"/>
        <v>f37t3</v>
      </c>
      <c r="S88" s="115">
        <v>198</v>
      </c>
      <c r="T88" s="115">
        <v>37</v>
      </c>
      <c r="U88" s="115">
        <v>3</v>
      </c>
      <c r="V88" s="115">
        <v>607.31758900000023</v>
      </c>
      <c r="W88" s="115">
        <v>0</v>
      </c>
      <c r="X88" s="115">
        <v>1112.0000019999998</v>
      </c>
      <c r="Y88" s="115">
        <v>0</v>
      </c>
      <c r="Z88" s="112">
        <f t="shared" si="11"/>
        <v>0</v>
      </c>
      <c r="AA88" s="107" t="e">
        <f t="shared" si="12"/>
        <v>#N/A</v>
      </c>
      <c r="AC88" s="105" t="str">
        <f t="shared" si="13"/>
        <v>f22t2</v>
      </c>
      <c r="AD88" s="115">
        <v>16</v>
      </c>
      <c r="AE88" s="115">
        <v>22</v>
      </c>
      <c r="AF88" s="115">
        <v>2</v>
      </c>
      <c r="AG88" s="115">
        <v>0.14000000000000001</v>
      </c>
    </row>
    <row r="89" spans="1:33" x14ac:dyDescent="0.3">
      <c r="A89" s="105" t="str">
        <f t="shared" si="9"/>
        <v>f11t3</v>
      </c>
      <c r="B89" s="116">
        <v>198</v>
      </c>
      <c r="C89" s="116">
        <v>11</v>
      </c>
      <c r="D89" s="116">
        <v>3</v>
      </c>
      <c r="E89" s="116">
        <v>3</v>
      </c>
      <c r="F89" s="116">
        <v>0.2</v>
      </c>
      <c r="G89" s="116">
        <v>0.41726435238364601</v>
      </c>
      <c r="H89" s="117">
        <v>41675.681516203702</v>
      </c>
      <c r="I89" s="118" t="s">
        <v>304</v>
      </c>
      <c r="J89" s="106">
        <f t="shared" si="7"/>
        <v>0</v>
      </c>
      <c r="L89" s="105" t="str">
        <f t="shared" si="8"/>
        <v>f56t4</v>
      </c>
      <c r="M89" s="25">
        <v>56</v>
      </c>
      <c r="N89" s="26"/>
      <c r="O89" s="25">
        <v>4</v>
      </c>
      <c r="P89" s="27">
        <v>6.1040000000000001</v>
      </c>
      <c r="Q89" s="27"/>
      <c r="R89" s="105" t="str">
        <f t="shared" si="10"/>
        <v>f37t4</v>
      </c>
      <c r="S89" s="115">
        <v>198</v>
      </c>
      <c r="T89" s="115">
        <v>37</v>
      </c>
      <c r="U89" s="115">
        <v>4</v>
      </c>
      <c r="V89" s="115">
        <v>0</v>
      </c>
      <c r="W89" s="115">
        <v>0</v>
      </c>
      <c r="X89" s="115">
        <v>48.000002000000009</v>
      </c>
      <c r="Y89" s="115">
        <v>0</v>
      </c>
      <c r="Z89" s="112">
        <f t="shared" si="11"/>
        <v>0</v>
      </c>
      <c r="AA89" s="107" t="e">
        <f t="shared" si="12"/>
        <v>#N/A</v>
      </c>
      <c r="AC89" s="105" t="str">
        <f t="shared" si="13"/>
        <v>f22t3</v>
      </c>
      <c r="AD89" s="115">
        <v>16</v>
      </c>
      <c r="AE89" s="115">
        <v>22</v>
      </c>
      <c r="AF89" s="115">
        <v>3</v>
      </c>
      <c r="AG89" s="115">
        <v>0.14000000000000001</v>
      </c>
    </row>
    <row r="90" spans="1:33" x14ac:dyDescent="0.3">
      <c r="A90" s="105" t="str">
        <f t="shared" si="9"/>
        <v>f11t4</v>
      </c>
      <c r="B90" s="116">
        <v>198</v>
      </c>
      <c r="C90" s="116">
        <v>11</v>
      </c>
      <c r="D90" s="116">
        <v>3</v>
      </c>
      <c r="E90" s="116">
        <v>4</v>
      </c>
      <c r="F90" s="116">
        <v>0.2</v>
      </c>
      <c r="G90" s="116">
        <v>1</v>
      </c>
      <c r="H90" s="117">
        <v>41675.681516203702</v>
      </c>
      <c r="I90" s="118" t="s">
        <v>304</v>
      </c>
      <c r="J90" s="106">
        <f t="shared" si="7"/>
        <v>0</v>
      </c>
      <c r="L90" s="105" t="str">
        <f t="shared" si="8"/>
        <v>f57t1</v>
      </c>
      <c r="M90" s="25">
        <v>57</v>
      </c>
      <c r="N90" s="26"/>
      <c r="O90" s="25">
        <v>1</v>
      </c>
      <c r="P90" s="27">
        <v>1.9630000000000001</v>
      </c>
      <c r="Q90" s="27"/>
      <c r="R90" s="105" t="str">
        <f t="shared" si="10"/>
        <v>f38t1</v>
      </c>
      <c r="S90" s="115">
        <v>198</v>
      </c>
      <c r="T90" s="115">
        <v>38</v>
      </c>
      <c r="U90" s="115">
        <v>1</v>
      </c>
      <c r="V90" s="115">
        <v>0</v>
      </c>
      <c r="W90" s="115">
        <v>0</v>
      </c>
      <c r="X90" s="115">
        <v>3.0000000000000009</v>
      </c>
      <c r="Y90" s="115">
        <v>0</v>
      </c>
      <c r="Z90" s="112">
        <f t="shared" si="11"/>
        <v>0</v>
      </c>
      <c r="AA90" s="107" t="e">
        <f t="shared" si="12"/>
        <v>#N/A</v>
      </c>
      <c r="AC90" s="105" t="str">
        <f t="shared" si="13"/>
        <v>f22t4</v>
      </c>
      <c r="AD90" s="115">
        <v>16</v>
      </c>
      <c r="AE90" s="115">
        <v>22</v>
      </c>
      <c r="AF90" s="115">
        <v>4</v>
      </c>
      <c r="AG90" s="115">
        <v>0.14000000000000001</v>
      </c>
    </row>
    <row r="91" spans="1:33" x14ac:dyDescent="0.3">
      <c r="A91" s="105" t="str">
        <f t="shared" si="9"/>
        <v>f11t1</v>
      </c>
      <c r="B91" s="116">
        <v>198</v>
      </c>
      <c r="C91" s="116">
        <v>11</v>
      </c>
      <c r="D91" s="116">
        <v>4</v>
      </c>
      <c r="E91" s="116">
        <v>1</v>
      </c>
      <c r="F91" s="116">
        <v>0.2</v>
      </c>
      <c r="G91" s="116">
        <v>1</v>
      </c>
      <c r="H91" s="117">
        <v>41675.681516203702</v>
      </c>
      <c r="I91" s="118" t="s">
        <v>304</v>
      </c>
      <c r="J91" s="106">
        <f t="shared" si="7"/>
        <v>0</v>
      </c>
      <c r="L91" s="105" t="str">
        <f t="shared" si="8"/>
        <v>f57t3</v>
      </c>
      <c r="M91" s="25">
        <v>57</v>
      </c>
      <c r="N91" s="26"/>
      <c r="O91" s="25">
        <v>3</v>
      </c>
      <c r="P91" s="27">
        <v>0.64</v>
      </c>
      <c r="Q91" s="27"/>
      <c r="R91" s="105" t="str">
        <f t="shared" si="10"/>
        <v>f38t3</v>
      </c>
      <c r="S91" s="115">
        <v>198</v>
      </c>
      <c r="T91" s="115">
        <v>38</v>
      </c>
      <c r="U91" s="115">
        <v>3</v>
      </c>
      <c r="V91" s="115">
        <v>0</v>
      </c>
      <c r="W91" s="115">
        <v>0</v>
      </c>
      <c r="X91" s="115">
        <v>4670.0000110000001</v>
      </c>
      <c r="Y91" s="115">
        <v>0</v>
      </c>
      <c r="Z91" s="112">
        <f t="shared" si="11"/>
        <v>0</v>
      </c>
      <c r="AA91" s="107" t="e">
        <f t="shared" si="12"/>
        <v>#N/A</v>
      </c>
      <c r="AC91" s="105" t="str">
        <f t="shared" si="13"/>
        <v>f23t1</v>
      </c>
      <c r="AD91" s="115">
        <v>16</v>
      </c>
      <c r="AE91" s="115">
        <v>23</v>
      </c>
      <c r="AF91" s="115">
        <v>1</v>
      </c>
      <c r="AG91" s="115">
        <v>0.3</v>
      </c>
    </row>
    <row r="92" spans="1:33" x14ac:dyDescent="0.3">
      <c r="A92" s="105" t="str">
        <f t="shared" si="9"/>
        <v>f11t2</v>
      </c>
      <c r="B92" s="116">
        <v>198</v>
      </c>
      <c r="C92" s="116">
        <v>11</v>
      </c>
      <c r="D92" s="116">
        <v>4</v>
      </c>
      <c r="E92" s="116">
        <v>2</v>
      </c>
      <c r="F92" s="116">
        <v>0.2</v>
      </c>
      <c r="G92" s="116">
        <v>1</v>
      </c>
      <c r="H92" s="117">
        <v>41675.681516203702</v>
      </c>
      <c r="I92" s="118" t="s">
        <v>304</v>
      </c>
      <c r="J92" s="106">
        <f t="shared" si="7"/>
        <v>0</v>
      </c>
      <c r="L92" s="105" t="str">
        <f t="shared" si="8"/>
        <v>f57t4</v>
      </c>
      <c r="M92" s="25">
        <v>57</v>
      </c>
      <c r="N92" s="26"/>
      <c r="O92" s="25">
        <v>4</v>
      </c>
      <c r="P92" s="27">
        <v>1.9630000000000001</v>
      </c>
      <c r="Q92" s="27"/>
      <c r="R92" s="105" t="str">
        <f t="shared" si="10"/>
        <v>f38t4</v>
      </c>
      <c r="S92" s="115">
        <v>198</v>
      </c>
      <c r="T92" s="115">
        <v>38</v>
      </c>
      <c r="U92" s="115">
        <v>4</v>
      </c>
      <c r="V92" s="115">
        <v>0</v>
      </c>
      <c r="W92" s="115">
        <v>0</v>
      </c>
      <c r="X92" s="115">
        <v>30</v>
      </c>
      <c r="Y92" s="115">
        <v>0</v>
      </c>
      <c r="Z92" s="112">
        <f t="shared" si="11"/>
        <v>0</v>
      </c>
      <c r="AA92" s="107" t="e">
        <f t="shared" si="12"/>
        <v>#N/A</v>
      </c>
      <c r="AC92" s="105" t="str">
        <f t="shared" si="13"/>
        <v>f23t2</v>
      </c>
      <c r="AD92" s="115">
        <v>16</v>
      </c>
      <c r="AE92" s="115">
        <v>23</v>
      </c>
      <c r="AF92" s="115">
        <v>2</v>
      </c>
      <c r="AG92" s="115">
        <v>0.3</v>
      </c>
    </row>
    <row r="93" spans="1:33" x14ac:dyDescent="0.3">
      <c r="A93" s="105" t="str">
        <f t="shared" si="9"/>
        <v>f11t3</v>
      </c>
      <c r="B93" s="116">
        <v>198</v>
      </c>
      <c r="C93" s="116">
        <v>11</v>
      </c>
      <c r="D93" s="116">
        <v>4</v>
      </c>
      <c r="E93" s="116">
        <v>3</v>
      </c>
      <c r="F93" s="116">
        <v>0.2</v>
      </c>
      <c r="G93" s="116">
        <v>0.41726435238364601</v>
      </c>
      <c r="H93" s="117">
        <v>41675.681516203702</v>
      </c>
      <c r="I93" s="118" t="s">
        <v>304</v>
      </c>
      <c r="J93" s="106">
        <f t="shared" si="7"/>
        <v>0</v>
      </c>
      <c r="L93" s="105" t="str">
        <f t="shared" si="8"/>
        <v>f64t1</v>
      </c>
      <c r="M93" s="25">
        <v>64</v>
      </c>
      <c r="N93" s="26"/>
      <c r="O93" s="25">
        <v>1</v>
      </c>
      <c r="P93" s="27">
        <v>3.3130000000000002</v>
      </c>
      <c r="Q93" s="27"/>
      <c r="R93" s="105" t="str">
        <f t="shared" si="10"/>
        <v>f39t1</v>
      </c>
      <c r="S93" s="115">
        <v>198</v>
      </c>
      <c r="T93" s="115">
        <v>39</v>
      </c>
      <c r="U93" s="115">
        <v>1</v>
      </c>
      <c r="V93" s="115">
        <v>0</v>
      </c>
      <c r="W93" s="115">
        <v>0</v>
      </c>
      <c r="X93" s="115">
        <v>51.262942000000002</v>
      </c>
      <c r="Y93" s="115">
        <v>0</v>
      </c>
      <c r="Z93" s="112">
        <f t="shared" si="11"/>
        <v>0</v>
      </c>
      <c r="AA93" s="107" t="e">
        <f t="shared" si="12"/>
        <v>#N/A</v>
      </c>
      <c r="AC93" s="105" t="str">
        <f t="shared" si="13"/>
        <v>f23t3</v>
      </c>
      <c r="AD93" s="115">
        <v>16</v>
      </c>
      <c r="AE93" s="115">
        <v>23</v>
      </c>
      <c r="AF93" s="115">
        <v>3</v>
      </c>
      <c r="AG93" s="115">
        <v>0.3</v>
      </c>
    </row>
    <row r="94" spans="1:33" x14ac:dyDescent="0.3">
      <c r="A94" s="105" t="str">
        <f t="shared" si="9"/>
        <v>f11t4</v>
      </c>
      <c r="B94" s="116">
        <v>198</v>
      </c>
      <c r="C94" s="116">
        <v>11</v>
      </c>
      <c r="D94" s="116">
        <v>4</v>
      </c>
      <c r="E94" s="116">
        <v>4</v>
      </c>
      <c r="F94" s="116">
        <v>0.2</v>
      </c>
      <c r="G94" s="116">
        <v>1</v>
      </c>
      <c r="H94" s="117">
        <v>41675.681516203702</v>
      </c>
      <c r="I94" s="118" t="s">
        <v>304</v>
      </c>
      <c r="J94" s="106">
        <f t="shared" si="7"/>
        <v>0</v>
      </c>
      <c r="L94" s="105" t="str">
        <f t="shared" si="8"/>
        <v>f64t3</v>
      </c>
      <c r="M94" s="25">
        <v>64</v>
      </c>
      <c r="N94" s="26"/>
      <c r="O94" s="25">
        <v>3</v>
      </c>
      <c r="P94" s="27">
        <v>1.696</v>
      </c>
      <c r="Q94" s="27"/>
      <c r="R94" s="105" t="str">
        <f t="shared" si="10"/>
        <v>f39t3</v>
      </c>
      <c r="S94" s="115">
        <v>198</v>
      </c>
      <c r="T94" s="115">
        <v>39</v>
      </c>
      <c r="U94" s="115">
        <v>3</v>
      </c>
      <c r="V94" s="115">
        <v>0</v>
      </c>
      <c r="W94" s="115">
        <v>0</v>
      </c>
      <c r="X94" s="115">
        <v>16840.279241</v>
      </c>
      <c r="Y94" s="115">
        <v>0</v>
      </c>
      <c r="Z94" s="112">
        <f t="shared" si="11"/>
        <v>0</v>
      </c>
      <c r="AA94" s="107" t="e">
        <f t="shared" si="12"/>
        <v>#N/A</v>
      </c>
      <c r="AC94" s="105" t="str">
        <f t="shared" si="13"/>
        <v>f23t4</v>
      </c>
      <c r="AD94" s="115">
        <v>16</v>
      </c>
      <c r="AE94" s="115">
        <v>23</v>
      </c>
      <c r="AF94" s="115">
        <v>4</v>
      </c>
      <c r="AG94" s="115">
        <v>0.3</v>
      </c>
    </row>
    <row r="95" spans="1:33" x14ac:dyDescent="0.3">
      <c r="A95" s="105" t="str">
        <f t="shared" si="9"/>
        <v>f11t1</v>
      </c>
      <c r="B95" s="116">
        <v>198</v>
      </c>
      <c r="C95" s="116">
        <v>11</v>
      </c>
      <c r="D95" s="116">
        <v>5</v>
      </c>
      <c r="E95" s="116">
        <v>1</v>
      </c>
      <c r="F95" s="116">
        <v>0.2</v>
      </c>
      <c r="G95" s="116">
        <v>1</v>
      </c>
      <c r="H95" s="117">
        <v>41675.681516203702</v>
      </c>
      <c r="I95" s="118" t="s">
        <v>304</v>
      </c>
      <c r="J95" s="106">
        <f t="shared" si="7"/>
        <v>0</v>
      </c>
      <c r="L95" s="105" t="str">
        <f t="shared" si="8"/>
        <v>f64t4</v>
      </c>
      <c r="M95" s="25">
        <v>64</v>
      </c>
      <c r="N95" s="26"/>
      <c r="O95" s="25">
        <v>4</v>
      </c>
      <c r="P95" s="27">
        <v>3.3130000000000002</v>
      </c>
      <c r="Q95" s="27"/>
      <c r="R95" s="105" t="str">
        <f t="shared" si="10"/>
        <v>f39t4</v>
      </c>
      <c r="S95" s="115">
        <v>198</v>
      </c>
      <c r="T95" s="115">
        <v>39</v>
      </c>
      <c r="U95" s="115">
        <v>4</v>
      </c>
      <c r="V95" s="115">
        <v>0</v>
      </c>
      <c r="W95" s="115">
        <v>0</v>
      </c>
      <c r="X95" s="115">
        <v>80</v>
      </c>
      <c r="Y95" s="115">
        <v>0</v>
      </c>
      <c r="Z95" s="112">
        <f t="shared" si="11"/>
        <v>0</v>
      </c>
      <c r="AA95" s="107" t="e">
        <f t="shared" si="12"/>
        <v>#N/A</v>
      </c>
      <c r="AC95" s="105" t="str">
        <f t="shared" si="13"/>
        <v>f24t1</v>
      </c>
      <c r="AD95" s="115">
        <v>16</v>
      </c>
      <c r="AE95" s="115">
        <v>24</v>
      </c>
      <c r="AF95" s="115">
        <v>1</v>
      </c>
      <c r="AG95" s="115">
        <v>0.3</v>
      </c>
    </row>
    <row r="96" spans="1:33" x14ac:dyDescent="0.3">
      <c r="A96" s="105" t="str">
        <f t="shared" si="9"/>
        <v>f11t2</v>
      </c>
      <c r="B96" s="116">
        <v>198</v>
      </c>
      <c r="C96" s="116">
        <v>11</v>
      </c>
      <c r="D96" s="116">
        <v>5</v>
      </c>
      <c r="E96" s="116">
        <v>2</v>
      </c>
      <c r="F96" s="116">
        <v>0.2</v>
      </c>
      <c r="G96" s="116">
        <v>1</v>
      </c>
      <c r="H96" s="117">
        <v>41675.681516203702</v>
      </c>
      <c r="I96" s="118" t="s">
        <v>304</v>
      </c>
      <c r="J96" s="106">
        <f t="shared" si="7"/>
        <v>0</v>
      </c>
      <c r="L96" s="105" t="str">
        <f t="shared" si="8"/>
        <v>f67t1</v>
      </c>
      <c r="M96" s="25">
        <v>67</v>
      </c>
      <c r="N96" s="26"/>
      <c r="O96" s="25">
        <v>1</v>
      </c>
      <c r="P96" s="27">
        <v>8.3930000000000007</v>
      </c>
      <c r="Q96" s="27"/>
      <c r="R96" s="105" t="str">
        <f t="shared" si="10"/>
        <v>f40t1</v>
      </c>
      <c r="S96" s="115">
        <v>198</v>
      </c>
      <c r="T96" s="115">
        <v>40</v>
      </c>
      <c r="U96" s="115">
        <v>1</v>
      </c>
      <c r="V96" s="115">
        <v>0</v>
      </c>
      <c r="W96" s="115">
        <v>0</v>
      </c>
      <c r="X96" s="115">
        <v>48.905693000000007</v>
      </c>
      <c r="Y96" s="115">
        <v>0</v>
      </c>
      <c r="Z96" s="112">
        <f t="shared" si="11"/>
        <v>0</v>
      </c>
      <c r="AA96" s="107" t="e">
        <f t="shared" si="12"/>
        <v>#N/A</v>
      </c>
      <c r="AC96" s="105" t="str">
        <f t="shared" si="13"/>
        <v>f24t2</v>
      </c>
      <c r="AD96" s="115">
        <v>16</v>
      </c>
      <c r="AE96" s="115">
        <v>24</v>
      </c>
      <c r="AF96" s="115">
        <v>2</v>
      </c>
      <c r="AG96" s="115">
        <v>0.3</v>
      </c>
    </row>
    <row r="97" spans="1:33" x14ac:dyDescent="0.3">
      <c r="A97" s="105" t="str">
        <f t="shared" si="9"/>
        <v>f11t3</v>
      </c>
      <c r="B97" s="116">
        <v>198</v>
      </c>
      <c r="C97" s="116">
        <v>11</v>
      </c>
      <c r="D97" s="116">
        <v>5</v>
      </c>
      <c r="E97" s="116">
        <v>3</v>
      </c>
      <c r="F97" s="116">
        <v>0.2</v>
      </c>
      <c r="G97" s="116">
        <v>0.41726435238364601</v>
      </c>
      <c r="H97" s="117">
        <v>41675.681516203702</v>
      </c>
      <c r="I97" s="118" t="s">
        <v>304</v>
      </c>
      <c r="J97" s="106">
        <f t="shared" si="7"/>
        <v>0</v>
      </c>
      <c r="L97" s="105" t="str">
        <f t="shared" si="8"/>
        <v>f67t3</v>
      </c>
      <c r="M97" s="25">
        <v>67</v>
      </c>
      <c r="N97" s="26"/>
      <c r="O97" s="25">
        <v>3</v>
      </c>
      <c r="P97" s="27">
        <v>1.474</v>
      </c>
      <c r="Q97" s="27"/>
      <c r="R97" s="105" t="str">
        <f t="shared" si="10"/>
        <v>f40t3</v>
      </c>
      <c r="S97" s="115">
        <v>198</v>
      </c>
      <c r="T97" s="115">
        <v>40</v>
      </c>
      <c r="U97" s="115">
        <v>3</v>
      </c>
      <c r="V97" s="115">
        <v>0</v>
      </c>
      <c r="W97" s="115">
        <v>0</v>
      </c>
      <c r="X97" s="115">
        <v>12750.999998000001</v>
      </c>
      <c r="Y97" s="115">
        <v>0</v>
      </c>
      <c r="Z97" s="112">
        <f t="shared" si="11"/>
        <v>0</v>
      </c>
      <c r="AA97" s="107" t="e">
        <f t="shared" si="12"/>
        <v>#N/A</v>
      </c>
      <c r="AC97" s="105" t="str">
        <f t="shared" si="13"/>
        <v>f24t3</v>
      </c>
      <c r="AD97" s="115">
        <v>16</v>
      </c>
      <c r="AE97" s="115">
        <v>24</v>
      </c>
      <c r="AF97" s="115">
        <v>3</v>
      </c>
      <c r="AG97" s="115">
        <v>0.3</v>
      </c>
    </row>
    <row r="98" spans="1:33" x14ac:dyDescent="0.3">
      <c r="A98" s="105" t="str">
        <f t="shared" si="9"/>
        <v>f11t4</v>
      </c>
      <c r="B98" s="116">
        <v>198</v>
      </c>
      <c r="C98" s="116">
        <v>11</v>
      </c>
      <c r="D98" s="116">
        <v>5</v>
      </c>
      <c r="E98" s="116">
        <v>4</v>
      </c>
      <c r="F98" s="116">
        <v>0.2</v>
      </c>
      <c r="G98" s="116">
        <v>1</v>
      </c>
      <c r="H98" s="117">
        <v>41675.681516203702</v>
      </c>
      <c r="I98" s="118" t="s">
        <v>304</v>
      </c>
      <c r="J98" s="106">
        <f t="shared" si="7"/>
        <v>0</v>
      </c>
      <c r="L98" s="105" t="str">
        <f t="shared" si="8"/>
        <v>f67t4</v>
      </c>
      <c r="M98" s="25">
        <v>67</v>
      </c>
      <c r="N98" s="26"/>
      <c r="O98" s="25">
        <v>4</v>
      </c>
      <c r="P98" s="27">
        <v>8.3930000000000007</v>
      </c>
      <c r="Q98" s="27"/>
      <c r="R98" s="105" t="str">
        <f t="shared" si="10"/>
        <v>f40t4</v>
      </c>
      <c r="S98" s="115">
        <v>198</v>
      </c>
      <c r="T98" s="115">
        <v>40</v>
      </c>
      <c r="U98" s="115">
        <v>4</v>
      </c>
      <c r="V98" s="115">
        <v>0</v>
      </c>
      <c r="W98" s="115">
        <v>0</v>
      </c>
      <c r="X98" s="115">
        <v>184</v>
      </c>
      <c r="Y98" s="115">
        <v>0</v>
      </c>
      <c r="Z98" s="112">
        <f t="shared" si="11"/>
        <v>0</v>
      </c>
      <c r="AA98" s="107" t="e">
        <f t="shared" si="12"/>
        <v>#N/A</v>
      </c>
      <c r="AC98" s="105" t="str">
        <f t="shared" si="13"/>
        <v>f24t4</v>
      </c>
      <c r="AD98" s="115">
        <v>16</v>
      </c>
      <c r="AE98" s="115">
        <v>24</v>
      </c>
      <c r="AF98" s="115">
        <v>4</v>
      </c>
      <c r="AG98" s="115">
        <v>0.3</v>
      </c>
    </row>
    <row r="99" spans="1:33" x14ac:dyDescent="0.3">
      <c r="A99" s="105" t="str">
        <f t="shared" si="9"/>
        <v>f13t1</v>
      </c>
      <c r="B99" s="116">
        <v>198</v>
      </c>
      <c r="C99" s="116">
        <v>13</v>
      </c>
      <c r="D99" s="116">
        <v>2</v>
      </c>
      <c r="E99" s="116">
        <v>1</v>
      </c>
      <c r="F99" s="116">
        <v>0.61199999999999999</v>
      </c>
      <c r="G99" s="116">
        <v>2.4891777080770398E-12</v>
      </c>
      <c r="H99" s="117">
        <v>41675.681516203702</v>
      </c>
      <c r="I99" s="118" t="s">
        <v>304</v>
      </c>
      <c r="J99" s="106">
        <f t="shared" si="7"/>
        <v>0</v>
      </c>
      <c r="L99" s="105"/>
      <c r="R99" s="105" t="str">
        <f t="shared" si="10"/>
        <v>f41t2</v>
      </c>
      <c r="S99" s="115">
        <v>198</v>
      </c>
      <c r="T99" s="115">
        <v>41</v>
      </c>
      <c r="U99" s="115">
        <v>2</v>
      </c>
      <c r="V99" s="115">
        <v>0</v>
      </c>
      <c r="W99" s="115">
        <v>0</v>
      </c>
      <c r="X99" s="115">
        <v>499.99999999999989</v>
      </c>
      <c r="Y99" s="115">
        <v>48.619996000000036</v>
      </c>
      <c r="Z99" s="112">
        <f t="shared" si="11"/>
        <v>0.38133330196078469</v>
      </c>
      <c r="AA99" s="107" t="e">
        <f t="shared" si="12"/>
        <v>#N/A</v>
      </c>
      <c r="AC99" s="105" t="str">
        <f t="shared" si="13"/>
        <v>f25t1</v>
      </c>
      <c r="AD99" s="115">
        <v>16</v>
      </c>
      <c r="AE99" s="115">
        <v>25</v>
      </c>
      <c r="AF99" s="115">
        <v>1</v>
      </c>
      <c r="AG99" s="115">
        <v>0.3</v>
      </c>
    </row>
    <row r="100" spans="1:33" x14ac:dyDescent="0.3">
      <c r="A100" s="105" t="str">
        <f t="shared" si="9"/>
        <v>f13t2</v>
      </c>
      <c r="B100" s="116">
        <v>198</v>
      </c>
      <c r="C100" s="116">
        <v>13</v>
      </c>
      <c r="D100" s="116">
        <v>2</v>
      </c>
      <c r="E100" s="116">
        <v>2</v>
      </c>
      <c r="F100" s="116">
        <v>0.61199999999999999</v>
      </c>
      <c r="G100" s="116">
        <v>12.589873787558</v>
      </c>
      <c r="H100" s="117">
        <v>41675.681516203702</v>
      </c>
      <c r="I100" s="118" t="s">
        <v>304</v>
      </c>
      <c r="J100" s="106">
        <f>F100-VLOOKUP(A100,L$3:P$100,5,FALSE)</f>
        <v>0</v>
      </c>
      <c r="L100" s="105"/>
      <c r="R100" s="105" t="str">
        <f t="shared" si="10"/>
        <v>f41t3</v>
      </c>
      <c r="S100" s="115">
        <v>198</v>
      </c>
      <c r="T100" s="115">
        <v>41</v>
      </c>
      <c r="U100" s="115">
        <v>3</v>
      </c>
      <c r="V100" s="115">
        <v>0</v>
      </c>
      <c r="W100" s="115">
        <v>0</v>
      </c>
      <c r="X100" s="115">
        <v>300.00000399999982</v>
      </c>
      <c r="Y100" s="115">
        <v>50.020430999999995</v>
      </c>
      <c r="Z100" s="112">
        <f t="shared" si="11"/>
        <v>0.6538618344190974</v>
      </c>
      <c r="AA100" s="107" t="e">
        <f t="shared" si="12"/>
        <v>#N/A</v>
      </c>
      <c r="AC100" s="105" t="str">
        <f t="shared" si="13"/>
        <v>f25t2</v>
      </c>
      <c r="AD100" s="115">
        <v>16</v>
      </c>
      <c r="AE100" s="115">
        <v>25</v>
      </c>
      <c r="AF100" s="115">
        <v>2</v>
      </c>
      <c r="AG100" s="115">
        <v>0.3</v>
      </c>
    </row>
    <row r="101" spans="1:33" x14ac:dyDescent="0.3">
      <c r="A101" s="105" t="str">
        <f t="shared" si="9"/>
        <v>f13t3</v>
      </c>
      <c r="B101" s="116">
        <v>198</v>
      </c>
      <c r="C101" s="116">
        <v>13</v>
      </c>
      <c r="D101" s="116">
        <v>2</v>
      </c>
      <c r="E101" s="116">
        <v>3</v>
      </c>
      <c r="F101" s="116">
        <v>0.61199999999999999</v>
      </c>
      <c r="G101" s="116">
        <v>7.5742971920595998</v>
      </c>
      <c r="H101" s="117">
        <v>41675.681516203702</v>
      </c>
      <c r="I101" s="118" t="s">
        <v>304</v>
      </c>
      <c r="J101" s="106">
        <f t="shared" ref="J101:J164" si="14">F101-VLOOKUP(A101,L$3:P$100,5,FALSE)</f>
        <v>0</v>
      </c>
      <c r="R101" s="105" t="str">
        <f t="shared" si="10"/>
        <v>f41t4</v>
      </c>
      <c r="S101" s="115">
        <v>198</v>
      </c>
      <c r="T101" s="115">
        <v>41</v>
      </c>
      <c r="U101" s="115">
        <v>4</v>
      </c>
      <c r="V101" s="115">
        <v>0</v>
      </c>
      <c r="W101" s="115">
        <v>0</v>
      </c>
      <c r="X101" s="115">
        <v>1120.0000030000006</v>
      </c>
      <c r="Y101" s="115">
        <v>75.002551999999937</v>
      </c>
      <c r="Z101" s="112">
        <f t="shared" si="11"/>
        <v>0.26261397688760574</v>
      </c>
      <c r="AA101" s="107" t="e">
        <f t="shared" si="12"/>
        <v>#N/A</v>
      </c>
      <c r="AC101" s="105" t="str">
        <f t="shared" si="13"/>
        <v>f25t3</v>
      </c>
      <c r="AD101" s="115">
        <v>16</v>
      </c>
      <c r="AE101" s="115">
        <v>25</v>
      </c>
      <c r="AF101" s="115">
        <v>3</v>
      </c>
      <c r="AG101" s="115">
        <v>0.3</v>
      </c>
    </row>
    <row r="102" spans="1:33" x14ac:dyDescent="0.3">
      <c r="A102" s="105" t="str">
        <f t="shared" si="9"/>
        <v>f13t4</v>
      </c>
      <c r="B102" s="116">
        <v>198</v>
      </c>
      <c r="C102" s="116">
        <v>13</v>
      </c>
      <c r="D102" s="116">
        <v>2</v>
      </c>
      <c r="E102" s="116">
        <v>4</v>
      </c>
      <c r="F102" s="116">
        <v>0.61199999999999999</v>
      </c>
      <c r="G102" s="116">
        <v>4.09656230815996E-12</v>
      </c>
      <c r="H102" s="117">
        <v>41675.681516203702</v>
      </c>
      <c r="I102" s="118" t="s">
        <v>304</v>
      </c>
      <c r="J102" s="106">
        <f t="shared" si="14"/>
        <v>0</v>
      </c>
      <c r="R102" s="105" t="str">
        <f t="shared" si="10"/>
        <v>f42t1</v>
      </c>
      <c r="S102" s="115">
        <v>198</v>
      </c>
      <c r="T102" s="115">
        <v>42</v>
      </c>
      <c r="U102" s="115">
        <v>1</v>
      </c>
      <c r="V102" s="115">
        <v>0</v>
      </c>
      <c r="W102" s="115">
        <v>0</v>
      </c>
      <c r="X102" s="115">
        <v>478.64337500000005</v>
      </c>
      <c r="Y102" s="115">
        <v>183.79905600000009</v>
      </c>
      <c r="Z102" s="112">
        <f t="shared" si="11"/>
        <v>1.9200000000000008</v>
      </c>
      <c r="AA102" s="107">
        <f t="shared" si="12"/>
        <v>0</v>
      </c>
      <c r="AC102" s="105" t="str">
        <f t="shared" si="13"/>
        <v>f25t4</v>
      </c>
      <c r="AD102" s="115">
        <v>16</v>
      </c>
      <c r="AE102" s="115">
        <v>25</v>
      </c>
      <c r="AF102" s="115">
        <v>4</v>
      </c>
      <c r="AG102" s="115">
        <v>0.3</v>
      </c>
    </row>
    <row r="103" spans="1:33" x14ac:dyDescent="0.3">
      <c r="A103" s="105" t="str">
        <f t="shared" si="9"/>
        <v>f13t1</v>
      </c>
      <c r="B103" s="116">
        <v>198</v>
      </c>
      <c r="C103" s="116">
        <v>13</v>
      </c>
      <c r="D103" s="116">
        <v>3</v>
      </c>
      <c r="E103" s="116">
        <v>1</v>
      </c>
      <c r="F103" s="116">
        <v>0.61199999999999999</v>
      </c>
      <c r="G103" s="116">
        <v>2.4891777080770398E-12</v>
      </c>
      <c r="H103" s="117">
        <v>41675.681516203702</v>
      </c>
      <c r="I103" s="118" t="s">
        <v>304</v>
      </c>
      <c r="J103" s="106">
        <f t="shared" si="14"/>
        <v>0</v>
      </c>
      <c r="R103" s="105" t="str">
        <f t="shared" si="10"/>
        <v>f42t3</v>
      </c>
      <c r="S103" s="115">
        <v>198</v>
      </c>
      <c r="T103" s="115">
        <v>42</v>
      </c>
      <c r="U103" s="115">
        <v>3</v>
      </c>
      <c r="V103" s="115">
        <v>8943.083384000005</v>
      </c>
      <c r="W103" s="115">
        <v>1384.3893100000003</v>
      </c>
      <c r="X103" s="115">
        <v>0</v>
      </c>
      <c r="Y103" s="115">
        <v>0</v>
      </c>
      <c r="Z103" s="112">
        <f t="shared" si="11"/>
        <v>0.77400000120584767</v>
      </c>
      <c r="AA103" s="107">
        <f t="shared" si="12"/>
        <v>1.2058476439591459E-9</v>
      </c>
      <c r="AC103" s="105" t="str">
        <f t="shared" si="13"/>
        <v>f26t1</v>
      </c>
      <c r="AD103" s="115">
        <v>16</v>
      </c>
      <c r="AE103" s="115">
        <v>26</v>
      </c>
      <c r="AF103" s="115">
        <v>1</v>
      </c>
      <c r="AG103" s="115">
        <v>0.255</v>
      </c>
    </row>
    <row r="104" spans="1:33" x14ac:dyDescent="0.3">
      <c r="A104" s="105" t="str">
        <f t="shared" si="9"/>
        <v>f13t2</v>
      </c>
      <c r="B104" s="116">
        <v>198</v>
      </c>
      <c r="C104" s="116">
        <v>13</v>
      </c>
      <c r="D104" s="116">
        <v>3</v>
      </c>
      <c r="E104" s="116">
        <v>2</v>
      </c>
      <c r="F104" s="116">
        <v>0.61199999999999999</v>
      </c>
      <c r="G104" s="116">
        <v>12.589873787558</v>
      </c>
      <c r="H104" s="117">
        <v>41675.681516203702</v>
      </c>
      <c r="I104" s="118" t="s">
        <v>304</v>
      </c>
      <c r="J104" s="106">
        <f t="shared" si="14"/>
        <v>0</v>
      </c>
      <c r="R104" s="105" t="str">
        <f t="shared" si="10"/>
        <v>f42t4</v>
      </c>
      <c r="S104" s="115">
        <v>198</v>
      </c>
      <c r="T104" s="115">
        <v>42</v>
      </c>
      <c r="U104" s="115">
        <v>4</v>
      </c>
      <c r="V104" s="115">
        <v>0</v>
      </c>
      <c r="W104" s="115">
        <v>0</v>
      </c>
      <c r="X104" s="115">
        <v>636.7727910000001</v>
      </c>
      <c r="Y104" s="115">
        <v>244.52075500000004</v>
      </c>
      <c r="Z104" s="112">
        <f t="shared" si="11"/>
        <v>1.9200000255664187</v>
      </c>
      <c r="AA104" s="107">
        <f t="shared" si="12"/>
        <v>2.5566418759837006E-8</v>
      </c>
      <c r="AC104" s="105" t="str">
        <f t="shared" si="13"/>
        <v>f26t2</v>
      </c>
      <c r="AD104" s="115">
        <v>16</v>
      </c>
      <c r="AE104" s="115">
        <v>26</v>
      </c>
      <c r="AF104" s="115">
        <v>2</v>
      </c>
      <c r="AG104" s="115">
        <v>0.255</v>
      </c>
    </row>
    <row r="105" spans="1:33" x14ac:dyDescent="0.3">
      <c r="A105" s="105" t="str">
        <f t="shared" si="9"/>
        <v>f13t3</v>
      </c>
      <c r="B105" s="116">
        <v>198</v>
      </c>
      <c r="C105" s="116">
        <v>13</v>
      </c>
      <c r="D105" s="116">
        <v>3</v>
      </c>
      <c r="E105" s="116">
        <v>3</v>
      </c>
      <c r="F105" s="116">
        <v>0.61199999999999999</v>
      </c>
      <c r="G105" s="116">
        <v>7.5742971920595998</v>
      </c>
      <c r="H105" s="117">
        <v>41675.681516203702</v>
      </c>
      <c r="I105" s="118" t="s">
        <v>304</v>
      </c>
      <c r="J105" s="106">
        <f t="shared" si="14"/>
        <v>0</v>
      </c>
      <c r="R105" s="105" t="str">
        <f t="shared" si="10"/>
        <v>f44t2</v>
      </c>
      <c r="S105" s="115">
        <v>198</v>
      </c>
      <c r="T105" s="115">
        <v>44</v>
      </c>
      <c r="U105" s="115">
        <v>2</v>
      </c>
      <c r="V105" s="115">
        <v>0</v>
      </c>
      <c r="W105" s="115">
        <v>0</v>
      </c>
      <c r="X105" s="115">
        <v>9.999998999999999</v>
      </c>
      <c r="Y105" s="115">
        <v>0</v>
      </c>
      <c r="Z105" s="112">
        <f t="shared" si="11"/>
        <v>0</v>
      </c>
      <c r="AA105" s="107" t="e">
        <f t="shared" si="12"/>
        <v>#N/A</v>
      </c>
      <c r="AC105" s="105" t="str">
        <f t="shared" si="13"/>
        <v>f26t3</v>
      </c>
      <c r="AD105" s="115">
        <v>16</v>
      </c>
      <c r="AE105" s="115">
        <v>26</v>
      </c>
      <c r="AF105" s="115">
        <v>3</v>
      </c>
      <c r="AG105" s="115">
        <v>0.255</v>
      </c>
    </row>
    <row r="106" spans="1:33" x14ac:dyDescent="0.3">
      <c r="A106" s="105" t="str">
        <f t="shared" si="9"/>
        <v>f13t4</v>
      </c>
      <c r="B106" s="116">
        <v>198</v>
      </c>
      <c r="C106" s="116">
        <v>13</v>
      </c>
      <c r="D106" s="116">
        <v>3</v>
      </c>
      <c r="E106" s="116">
        <v>4</v>
      </c>
      <c r="F106" s="116">
        <v>0.61199999999999999</v>
      </c>
      <c r="G106" s="116">
        <v>4.09656230815996E-12</v>
      </c>
      <c r="H106" s="117">
        <v>41675.681516203702</v>
      </c>
      <c r="I106" s="118" t="s">
        <v>304</v>
      </c>
      <c r="J106" s="106">
        <f t="shared" si="14"/>
        <v>0</v>
      </c>
      <c r="R106" s="105" t="str">
        <f t="shared" si="10"/>
        <v>f44t3</v>
      </c>
      <c r="S106" s="115">
        <v>198</v>
      </c>
      <c r="T106" s="115">
        <v>44</v>
      </c>
      <c r="U106" s="115">
        <v>3</v>
      </c>
      <c r="V106" s="115">
        <v>0</v>
      </c>
      <c r="W106" s="115">
        <v>0</v>
      </c>
      <c r="X106" s="115">
        <v>609.99999800000001</v>
      </c>
      <c r="Y106" s="115">
        <v>0</v>
      </c>
      <c r="Z106" s="112">
        <f t="shared" si="11"/>
        <v>0</v>
      </c>
      <c r="AA106" s="107" t="e">
        <f t="shared" si="12"/>
        <v>#N/A</v>
      </c>
      <c r="AC106" s="105" t="str">
        <f t="shared" si="13"/>
        <v>f26t4</v>
      </c>
      <c r="AD106" s="115">
        <v>16</v>
      </c>
      <c r="AE106" s="115">
        <v>26</v>
      </c>
      <c r="AF106" s="115">
        <v>4</v>
      </c>
      <c r="AG106" s="115">
        <v>0.255</v>
      </c>
    </row>
    <row r="107" spans="1:33" x14ac:dyDescent="0.3">
      <c r="A107" s="105" t="str">
        <f t="shared" si="9"/>
        <v>f13t1</v>
      </c>
      <c r="B107" s="116">
        <v>198</v>
      </c>
      <c r="C107" s="116">
        <v>13</v>
      </c>
      <c r="D107" s="116">
        <v>4</v>
      </c>
      <c r="E107" s="116">
        <v>1</v>
      </c>
      <c r="F107" s="116">
        <v>0.61199999999999999</v>
      </c>
      <c r="G107" s="116">
        <v>2.4891777080770398E-12</v>
      </c>
      <c r="H107" s="117">
        <v>41675.681516203702</v>
      </c>
      <c r="I107" s="118" t="s">
        <v>304</v>
      </c>
      <c r="J107" s="106">
        <f t="shared" si="14"/>
        <v>0</v>
      </c>
      <c r="R107" s="105" t="str">
        <f t="shared" si="10"/>
        <v>f44t4</v>
      </c>
      <c r="S107" s="115">
        <v>198</v>
      </c>
      <c r="T107" s="115">
        <v>44</v>
      </c>
      <c r="U107" s="115">
        <v>4</v>
      </c>
      <c r="V107" s="115">
        <v>0</v>
      </c>
      <c r="W107" s="115">
        <v>0</v>
      </c>
      <c r="X107" s="115">
        <v>60.000000999999997</v>
      </c>
      <c r="Y107" s="115">
        <v>0</v>
      </c>
      <c r="Z107" s="112">
        <f t="shared" si="11"/>
        <v>0</v>
      </c>
      <c r="AA107" s="107" t="e">
        <f t="shared" si="12"/>
        <v>#N/A</v>
      </c>
      <c r="AC107" s="105" t="str">
        <f t="shared" si="13"/>
        <v>f27t1</v>
      </c>
      <c r="AD107" s="115">
        <v>16</v>
      </c>
      <c r="AE107" s="115">
        <v>27</v>
      </c>
      <c r="AF107" s="115">
        <v>1</v>
      </c>
      <c r="AG107" s="115">
        <v>0.14000000000000001</v>
      </c>
    </row>
    <row r="108" spans="1:33" x14ac:dyDescent="0.3">
      <c r="A108" s="105" t="str">
        <f t="shared" si="9"/>
        <v>f13t2</v>
      </c>
      <c r="B108" s="116">
        <v>198</v>
      </c>
      <c r="C108" s="116">
        <v>13</v>
      </c>
      <c r="D108" s="116">
        <v>4</v>
      </c>
      <c r="E108" s="116">
        <v>2</v>
      </c>
      <c r="F108" s="116">
        <v>0.61199999999999999</v>
      </c>
      <c r="G108" s="116">
        <v>12.589873787558</v>
      </c>
      <c r="H108" s="117">
        <v>41675.681516203702</v>
      </c>
      <c r="I108" s="118" t="s">
        <v>304</v>
      </c>
      <c r="J108" s="106">
        <f t="shared" si="14"/>
        <v>0</v>
      </c>
      <c r="R108" s="105" t="str">
        <f t="shared" si="10"/>
        <v>f45t1</v>
      </c>
      <c r="S108" s="115">
        <v>198</v>
      </c>
      <c r="T108" s="115">
        <v>45</v>
      </c>
      <c r="U108" s="115">
        <v>1</v>
      </c>
      <c r="V108" s="115">
        <v>2378.0502380000003</v>
      </c>
      <c r="W108" s="115">
        <v>1735.0254529999997</v>
      </c>
      <c r="X108" s="115">
        <v>0</v>
      </c>
      <c r="Y108" s="115">
        <v>0</v>
      </c>
      <c r="Z108" s="112">
        <f t="shared" si="11"/>
        <v>3.6479999986442659</v>
      </c>
      <c r="AA108" s="107">
        <f t="shared" si="12"/>
        <v>-1.3557341915770849E-9</v>
      </c>
      <c r="AC108" s="105" t="str">
        <f t="shared" si="13"/>
        <v>f27t2</v>
      </c>
      <c r="AD108" s="115">
        <v>16</v>
      </c>
      <c r="AE108" s="115">
        <v>27</v>
      </c>
      <c r="AF108" s="115">
        <v>2</v>
      </c>
      <c r="AG108" s="115">
        <v>0.14000000000000001</v>
      </c>
    </row>
    <row r="109" spans="1:33" x14ac:dyDescent="0.3">
      <c r="A109" s="105" t="str">
        <f t="shared" si="9"/>
        <v>f13t3</v>
      </c>
      <c r="B109" s="116">
        <v>198</v>
      </c>
      <c r="C109" s="116">
        <v>13</v>
      </c>
      <c r="D109" s="116">
        <v>4</v>
      </c>
      <c r="E109" s="116">
        <v>3</v>
      </c>
      <c r="F109" s="116">
        <v>0.61199999999999999</v>
      </c>
      <c r="G109" s="116">
        <v>7.5742971920595998</v>
      </c>
      <c r="H109" s="117">
        <v>41675.681516203702</v>
      </c>
      <c r="I109" s="118" t="s">
        <v>304</v>
      </c>
      <c r="J109" s="106">
        <f t="shared" si="14"/>
        <v>0</v>
      </c>
      <c r="R109" s="105" t="str">
        <f t="shared" si="10"/>
        <v>f45t3</v>
      </c>
      <c r="S109" s="115">
        <v>198</v>
      </c>
      <c r="T109" s="115">
        <v>45</v>
      </c>
      <c r="U109" s="115">
        <v>3</v>
      </c>
      <c r="V109" s="115">
        <v>0</v>
      </c>
      <c r="W109" s="115">
        <v>0</v>
      </c>
      <c r="X109" s="115">
        <v>0</v>
      </c>
      <c r="Y109" s="115">
        <v>0</v>
      </c>
      <c r="Z109" s="112" t="e">
        <f t="shared" si="11"/>
        <v>#DIV/0!</v>
      </c>
      <c r="AA109" s="107" t="e">
        <f t="shared" si="12"/>
        <v>#DIV/0!</v>
      </c>
      <c r="AC109" s="105" t="str">
        <f t="shared" si="13"/>
        <v>f27t3</v>
      </c>
      <c r="AD109" s="115">
        <v>16</v>
      </c>
      <c r="AE109" s="115">
        <v>27</v>
      </c>
      <c r="AF109" s="115">
        <v>3</v>
      </c>
      <c r="AG109" s="115">
        <v>0.14000000000000001</v>
      </c>
    </row>
    <row r="110" spans="1:33" x14ac:dyDescent="0.3">
      <c r="A110" s="105" t="str">
        <f t="shared" si="9"/>
        <v>f13t4</v>
      </c>
      <c r="B110" s="116">
        <v>198</v>
      </c>
      <c r="C110" s="116">
        <v>13</v>
      </c>
      <c r="D110" s="116">
        <v>4</v>
      </c>
      <c r="E110" s="116">
        <v>4</v>
      </c>
      <c r="F110" s="116">
        <v>0.61199999999999999</v>
      </c>
      <c r="G110" s="116">
        <v>4.09656230815996E-12</v>
      </c>
      <c r="H110" s="117">
        <v>41675.681516203702</v>
      </c>
      <c r="I110" s="118" t="s">
        <v>304</v>
      </c>
      <c r="J110" s="106">
        <f t="shared" si="14"/>
        <v>0</v>
      </c>
      <c r="R110" s="105" t="str">
        <f t="shared" si="10"/>
        <v>f45t4</v>
      </c>
      <c r="S110" s="115">
        <v>198</v>
      </c>
      <c r="T110" s="115">
        <v>45</v>
      </c>
      <c r="U110" s="115">
        <v>4</v>
      </c>
      <c r="V110" s="115">
        <v>2773.391995</v>
      </c>
      <c r="W110" s="115">
        <v>2023.4667910000005</v>
      </c>
      <c r="X110" s="115">
        <v>0</v>
      </c>
      <c r="Y110" s="115">
        <v>0</v>
      </c>
      <c r="Z110" s="112">
        <f t="shared" si="11"/>
        <v>3.6479999845820577</v>
      </c>
      <c r="AA110" s="107">
        <f t="shared" si="12"/>
        <v>-1.5417942478279656E-8</v>
      </c>
      <c r="AC110" s="105" t="str">
        <f t="shared" si="13"/>
        <v>f27t4</v>
      </c>
      <c r="AD110" s="115">
        <v>16</v>
      </c>
      <c r="AE110" s="115">
        <v>27</v>
      </c>
      <c r="AF110" s="115">
        <v>4</v>
      </c>
      <c r="AG110" s="115">
        <v>0.14000000000000001</v>
      </c>
    </row>
    <row r="111" spans="1:33" x14ac:dyDescent="0.3">
      <c r="A111" s="105" t="str">
        <f t="shared" si="9"/>
        <v>f13t1</v>
      </c>
      <c r="B111" s="116">
        <v>198</v>
      </c>
      <c r="C111" s="116">
        <v>13</v>
      </c>
      <c r="D111" s="116">
        <v>5</v>
      </c>
      <c r="E111" s="116">
        <v>1</v>
      </c>
      <c r="F111" s="116">
        <v>0.61199999999999999</v>
      </c>
      <c r="G111" s="116">
        <v>2.4891777080770398E-12</v>
      </c>
      <c r="H111" s="117">
        <v>41675.681516203702</v>
      </c>
      <c r="I111" s="118" t="s">
        <v>304</v>
      </c>
      <c r="J111" s="106">
        <f t="shared" si="14"/>
        <v>0</v>
      </c>
      <c r="R111" s="105" t="str">
        <f t="shared" si="10"/>
        <v>f46t1</v>
      </c>
      <c r="S111" s="115">
        <v>198</v>
      </c>
      <c r="T111" s="115">
        <v>46</v>
      </c>
      <c r="U111" s="115">
        <v>1</v>
      </c>
      <c r="V111" s="115">
        <v>0</v>
      </c>
      <c r="W111" s="115">
        <v>0</v>
      </c>
      <c r="X111" s="115">
        <v>365.73616899999996</v>
      </c>
      <c r="Y111" s="115">
        <v>0</v>
      </c>
      <c r="Z111" s="112">
        <f t="shared" si="11"/>
        <v>0</v>
      </c>
      <c r="AA111" s="107" t="e">
        <f t="shared" si="12"/>
        <v>#N/A</v>
      </c>
      <c r="AC111" s="105" t="str">
        <f t="shared" si="13"/>
        <v>f28t1</v>
      </c>
      <c r="AD111" s="115">
        <v>16</v>
      </c>
      <c r="AE111" s="115">
        <v>28</v>
      </c>
      <c r="AF111" s="115">
        <v>1</v>
      </c>
      <c r="AG111" s="115">
        <v>0.3</v>
      </c>
    </row>
    <row r="112" spans="1:33" x14ac:dyDescent="0.3">
      <c r="A112" s="105" t="str">
        <f t="shared" si="9"/>
        <v>f13t2</v>
      </c>
      <c r="B112" s="116">
        <v>198</v>
      </c>
      <c r="C112" s="116">
        <v>13</v>
      </c>
      <c r="D112" s="116">
        <v>5</v>
      </c>
      <c r="E112" s="116">
        <v>2</v>
      </c>
      <c r="F112" s="116">
        <v>0.61199999999999999</v>
      </c>
      <c r="G112" s="116">
        <v>12.589873787558</v>
      </c>
      <c r="H112" s="117">
        <v>41675.681516203702</v>
      </c>
      <c r="I112" s="118" t="s">
        <v>304</v>
      </c>
      <c r="J112" s="106">
        <f t="shared" si="14"/>
        <v>0</v>
      </c>
      <c r="R112" s="105" t="str">
        <f t="shared" si="10"/>
        <v>f47t1</v>
      </c>
      <c r="S112" s="115">
        <v>198</v>
      </c>
      <c r="T112" s="115">
        <v>47</v>
      </c>
      <c r="U112" s="115">
        <v>1</v>
      </c>
      <c r="V112" s="115">
        <v>0</v>
      </c>
      <c r="W112" s="115">
        <v>0</v>
      </c>
      <c r="X112" s="115">
        <v>21.755088999999998</v>
      </c>
      <c r="Y112" s="115">
        <v>0</v>
      </c>
      <c r="Z112" s="112">
        <f t="shared" si="11"/>
        <v>0</v>
      </c>
      <c r="AA112" s="107" t="e">
        <f t="shared" si="12"/>
        <v>#N/A</v>
      </c>
      <c r="AC112" s="105" t="str">
        <f t="shared" si="13"/>
        <v>f28t2</v>
      </c>
      <c r="AD112" s="115">
        <v>16</v>
      </c>
      <c r="AE112" s="115">
        <v>28</v>
      </c>
      <c r="AF112" s="115">
        <v>2</v>
      </c>
      <c r="AG112" s="115">
        <v>0.3</v>
      </c>
    </row>
    <row r="113" spans="1:33" x14ac:dyDescent="0.3">
      <c r="A113" s="105" t="str">
        <f t="shared" si="9"/>
        <v>f13t3</v>
      </c>
      <c r="B113" s="116">
        <v>198</v>
      </c>
      <c r="C113" s="116">
        <v>13</v>
      </c>
      <c r="D113" s="116">
        <v>5</v>
      </c>
      <c r="E113" s="116">
        <v>3</v>
      </c>
      <c r="F113" s="116">
        <v>0.61199999999999999</v>
      </c>
      <c r="G113" s="116">
        <v>7.5742971920595998</v>
      </c>
      <c r="H113" s="117">
        <v>41675.681516203702</v>
      </c>
      <c r="I113" s="118" t="s">
        <v>304</v>
      </c>
      <c r="J113" s="106">
        <f t="shared" si="14"/>
        <v>0</v>
      </c>
      <c r="R113" s="105" t="str">
        <f t="shared" si="10"/>
        <v>f47t3</v>
      </c>
      <c r="S113" s="115">
        <v>198</v>
      </c>
      <c r="T113" s="115">
        <v>47</v>
      </c>
      <c r="U113" s="115">
        <v>3</v>
      </c>
      <c r="V113" s="115">
        <v>0</v>
      </c>
      <c r="W113" s="115">
        <v>0</v>
      </c>
      <c r="X113" s="115">
        <v>41.522131999999999</v>
      </c>
      <c r="Y113" s="115">
        <v>0</v>
      </c>
      <c r="Z113" s="112">
        <f t="shared" si="11"/>
        <v>0</v>
      </c>
      <c r="AA113" s="107" t="e">
        <f t="shared" si="12"/>
        <v>#N/A</v>
      </c>
      <c r="AC113" s="105" t="str">
        <f t="shared" si="13"/>
        <v>f28t3</v>
      </c>
      <c r="AD113" s="115">
        <v>16</v>
      </c>
      <c r="AE113" s="115">
        <v>28</v>
      </c>
      <c r="AF113" s="115">
        <v>3</v>
      </c>
      <c r="AG113" s="115">
        <v>0.3</v>
      </c>
    </row>
    <row r="114" spans="1:33" x14ac:dyDescent="0.3">
      <c r="A114" s="105" t="str">
        <f t="shared" si="9"/>
        <v>f13t4</v>
      </c>
      <c r="B114" s="116">
        <v>198</v>
      </c>
      <c r="C114" s="116">
        <v>13</v>
      </c>
      <c r="D114" s="116">
        <v>5</v>
      </c>
      <c r="E114" s="116">
        <v>4</v>
      </c>
      <c r="F114" s="116">
        <v>0.61199999999999999</v>
      </c>
      <c r="G114" s="116">
        <v>4.09656230815996E-12</v>
      </c>
      <c r="H114" s="117">
        <v>41675.681516203702</v>
      </c>
      <c r="I114" s="118" t="s">
        <v>304</v>
      </c>
      <c r="J114" s="106">
        <f t="shared" si="14"/>
        <v>0</v>
      </c>
      <c r="R114" s="105" t="str">
        <f t="shared" si="10"/>
        <v>f47t4</v>
      </c>
      <c r="S114" s="115">
        <v>198</v>
      </c>
      <c r="T114" s="115">
        <v>47</v>
      </c>
      <c r="U114" s="115">
        <v>4</v>
      </c>
      <c r="V114" s="115">
        <v>0</v>
      </c>
      <c r="W114" s="115">
        <v>0</v>
      </c>
      <c r="X114" s="115">
        <v>0.15416000000000002</v>
      </c>
      <c r="Y114" s="115">
        <v>0</v>
      </c>
      <c r="Z114" s="112">
        <f t="shared" si="11"/>
        <v>0</v>
      </c>
      <c r="AA114" s="107" t="e">
        <f t="shared" si="12"/>
        <v>#N/A</v>
      </c>
      <c r="AC114" s="105" t="str">
        <f t="shared" si="13"/>
        <v>f28t4</v>
      </c>
      <c r="AD114" s="115">
        <v>16</v>
      </c>
      <c r="AE114" s="115">
        <v>28</v>
      </c>
      <c r="AF114" s="115">
        <v>4</v>
      </c>
      <c r="AG114" s="115">
        <v>0.3</v>
      </c>
    </row>
    <row r="115" spans="1:33" x14ac:dyDescent="0.3">
      <c r="A115" s="105" t="str">
        <f t="shared" si="9"/>
        <v>f14t1</v>
      </c>
      <c r="B115" s="116">
        <v>198</v>
      </c>
      <c r="C115" s="116">
        <v>14</v>
      </c>
      <c r="D115" s="116">
        <v>2</v>
      </c>
      <c r="E115" s="116">
        <v>1</v>
      </c>
      <c r="F115" s="116">
        <v>1.0780000000000001</v>
      </c>
      <c r="G115" s="116">
        <v>4.25341021086708E-13</v>
      </c>
      <c r="H115" s="117">
        <v>41675.681516203702</v>
      </c>
      <c r="I115" s="118" t="s">
        <v>304</v>
      </c>
      <c r="J115" s="106">
        <f t="shared" si="14"/>
        <v>0</v>
      </c>
      <c r="R115" s="105" t="str">
        <f t="shared" si="10"/>
        <v>f48t3</v>
      </c>
      <c r="S115" s="115">
        <v>198</v>
      </c>
      <c r="T115" s="115">
        <v>48</v>
      </c>
      <c r="U115" s="115">
        <v>3</v>
      </c>
      <c r="V115" s="115">
        <v>0</v>
      </c>
      <c r="W115" s="115">
        <v>0</v>
      </c>
      <c r="X115" s="115">
        <v>521.00000199999988</v>
      </c>
      <c r="Y115" s="115">
        <v>0</v>
      </c>
      <c r="Z115" s="112">
        <f t="shared" si="11"/>
        <v>0</v>
      </c>
      <c r="AA115" s="107" t="e">
        <f t="shared" si="12"/>
        <v>#N/A</v>
      </c>
      <c r="AC115" s="105" t="str">
        <f t="shared" si="13"/>
        <v>f29t1</v>
      </c>
      <c r="AD115" s="115">
        <v>16</v>
      </c>
      <c r="AE115" s="115">
        <v>29</v>
      </c>
      <c r="AF115" s="115">
        <v>1</v>
      </c>
      <c r="AG115" s="115">
        <v>0.14000000000000001</v>
      </c>
    </row>
    <row r="116" spans="1:33" x14ac:dyDescent="0.3">
      <c r="A116" s="105" t="str">
        <f t="shared" si="9"/>
        <v>f14t2</v>
      </c>
      <c r="B116" s="116">
        <v>198</v>
      </c>
      <c r="C116" s="116">
        <v>14</v>
      </c>
      <c r="D116" s="116">
        <v>2</v>
      </c>
      <c r="E116" s="116">
        <v>2</v>
      </c>
      <c r="F116" s="116">
        <v>1.0780000000000001</v>
      </c>
      <c r="G116" s="116">
        <v>14.356433271337201</v>
      </c>
      <c r="H116" s="117">
        <v>41675.681516203702</v>
      </c>
      <c r="I116" s="118" t="s">
        <v>304</v>
      </c>
      <c r="J116" s="106">
        <f t="shared" si="14"/>
        <v>0</v>
      </c>
      <c r="R116" s="105" t="str">
        <f t="shared" si="10"/>
        <v>f49t1</v>
      </c>
      <c r="S116" s="115">
        <v>198</v>
      </c>
      <c r="T116" s="115">
        <v>49</v>
      </c>
      <c r="U116" s="115">
        <v>1</v>
      </c>
      <c r="V116" s="115">
        <v>0</v>
      </c>
      <c r="W116" s="115">
        <v>0</v>
      </c>
      <c r="X116" s="115">
        <v>82.347814999999997</v>
      </c>
      <c r="Y116" s="115">
        <v>0</v>
      </c>
      <c r="Z116" s="112">
        <f t="shared" si="11"/>
        <v>0</v>
      </c>
      <c r="AA116" s="107" t="e">
        <f t="shared" si="12"/>
        <v>#N/A</v>
      </c>
      <c r="AC116" s="105" t="str">
        <f t="shared" si="13"/>
        <v>f29t2</v>
      </c>
      <c r="AD116" s="115">
        <v>16</v>
      </c>
      <c r="AE116" s="115">
        <v>29</v>
      </c>
      <c r="AF116" s="115">
        <v>2</v>
      </c>
      <c r="AG116" s="115">
        <v>0.14000000000000001</v>
      </c>
    </row>
    <row r="117" spans="1:33" x14ac:dyDescent="0.3">
      <c r="A117" s="105" t="str">
        <f t="shared" si="9"/>
        <v>f14t3</v>
      </c>
      <c r="B117" s="116">
        <v>198</v>
      </c>
      <c r="C117" s="116">
        <v>14</v>
      </c>
      <c r="D117" s="116">
        <v>2</v>
      </c>
      <c r="E117" s="116">
        <v>3</v>
      </c>
      <c r="F117" s="116">
        <v>1.0780000000000001</v>
      </c>
      <c r="G117" s="116">
        <v>16.506022564194399</v>
      </c>
      <c r="H117" s="117">
        <v>41675.681516203702</v>
      </c>
      <c r="I117" s="118" t="s">
        <v>304</v>
      </c>
      <c r="J117" s="106">
        <f t="shared" si="14"/>
        <v>0</v>
      </c>
      <c r="R117" s="105" t="str">
        <f t="shared" si="10"/>
        <v>f49t3</v>
      </c>
      <c r="S117" s="115">
        <v>198</v>
      </c>
      <c r="T117" s="115">
        <v>49</v>
      </c>
      <c r="U117" s="115">
        <v>3</v>
      </c>
      <c r="V117" s="115">
        <v>0</v>
      </c>
      <c r="W117" s="115">
        <v>0</v>
      </c>
      <c r="X117" s="115">
        <v>6.8963020000000013</v>
      </c>
      <c r="Y117" s="115">
        <v>0</v>
      </c>
      <c r="Z117" s="112">
        <f t="shared" si="11"/>
        <v>0</v>
      </c>
      <c r="AA117" s="107" t="e">
        <f t="shared" si="12"/>
        <v>#N/A</v>
      </c>
      <c r="AC117" s="105" t="str">
        <f t="shared" si="13"/>
        <v>f29t3</v>
      </c>
      <c r="AD117" s="115">
        <v>16</v>
      </c>
      <c r="AE117" s="115">
        <v>29</v>
      </c>
      <c r="AF117" s="115">
        <v>3</v>
      </c>
      <c r="AG117" s="115">
        <v>0.14000000000000001</v>
      </c>
    </row>
    <row r="118" spans="1:33" x14ac:dyDescent="0.3">
      <c r="A118" s="105" t="str">
        <f t="shared" si="9"/>
        <v>f14t4</v>
      </c>
      <c r="B118" s="116">
        <v>198</v>
      </c>
      <c r="C118" s="116">
        <v>14</v>
      </c>
      <c r="D118" s="116">
        <v>2</v>
      </c>
      <c r="E118" s="116">
        <v>4</v>
      </c>
      <c r="F118" s="116">
        <v>1.0780000000000001</v>
      </c>
      <c r="G118" s="116">
        <v>1.2074798007947701E-10</v>
      </c>
      <c r="H118" s="117">
        <v>41675.681516203702</v>
      </c>
      <c r="I118" s="118" t="s">
        <v>304</v>
      </c>
      <c r="J118" s="106">
        <f t="shared" si="14"/>
        <v>0</v>
      </c>
      <c r="R118" s="105" t="str">
        <f t="shared" si="10"/>
        <v>f49t4</v>
      </c>
      <c r="S118" s="115">
        <v>198</v>
      </c>
      <c r="T118" s="115">
        <v>49</v>
      </c>
      <c r="U118" s="115">
        <v>4</v>
      </c>
      <c r="V118" s="115">
        <v>0</v>
      </c>
      <c r="W118" s="115">
        <v>0</v>
      </c>
      <c r="X118" s="115">
        <v>1.369E-3</v>
      </c>
      <c r="Y118" s="115">
        <v>0</v>
      </c>
      <c r="Z118" s="112">
        <f t="shared" si="11"/>
        <v>0</v>
      </c>
      <c r="AA118" s="107" t="e">
        <f t="shared" si="12"/>
        <v>#N/A</v>
      </c>
      <c r="AC118" s="105" t="str">
        <f t="shared" si="13"/>
        <v>f29t4</v>
      </c>
      <c r="AD118" s="115">
        <v>16</v>
      </c>
      <c r="AE118" s="115">
        <v>29</v>
      </c>
      <c r="AF118" s="115">
        <v>4</v>
      </c>
      <c r="AG118" s="115">
        <v>0.14000000000000001</v>
      </c>
    </row>
    <row r="119" spans="1:33" x14ac:dyDescent="0.3">
      <c r="A119" s="105" t="str">
        <f t="shared" si="9"/>
        <v>f14t1</v>
      </c>
      <c r="B119" s="116">
        <v>198</v>
      </c>
      <c r="C119" s="116">
        <v>14</v>
      </c>
      <c r="D119" s="116">
        <v>3</v>
      </c>
      <c r="E119" s="116">
        <v>1</v>
      </c>
      <c r="F119" s="116">
        <v>1.0780000000000001</v>
      </c>
      <c r="G119" s="116">
        <v>4.25341021086708E-13</v>
      </c>
      <c r="H119" s="117">
        <v>41675.681516203702</v>
      </c>
      <c r="I119" s="118" t="s">
        <v>304</v>
      </c>
      <c r="J119" s="106">
        <f t="shared" si="14"/>
        <v>0</v>
      </c>
      <c r="R119" s="105" t="str">
        <f t="shared" si="10"/>
        <v>f50t1</v>
      </c>
      <c r="S119" s="115">
        <v>198</v>
      </c>
      <c r="T119" s="115">
        <v>50</v>
      </c>
      <c r="U119" s="115">
        <v>1</v>
      </c>
      <c r="V119" s="115">
        <v>0</v>
      </c>
      <c r="W119" s="115">
        <v>0</v>
      </c>
      <c r="X119" s="115">
        <v>1786.7794609999999</v>
      </c>
      <c r="Y119" s="115">
        <v>0</v>
      </c>
      <c r="Z119" s="112">
        <f t="shared" si="11"/>
        <v>0</v>
      </c>
      <c r="AA119" s="107" t="e">
        <f t="shared" si="12"/>
        <v>#N/A</v>
      </c>
      <c r="AC119" s="105" t="str">
        <f t="shared" si="13"/>
        <v>f30t1</v>
      </c>
      <c r="AD119" s="115">
        <v>16</v>
      </c>
      <c r="AE119" s="115">
        <v>30</v>
      </c>
      <c r="AF119" s="115">
        <v>1</v>
      </c>
      <c r="AG119" s="115">
        <v>0.255</v>
      </c>
    </row>
    <row r="120" spans="1:33" x14ac:dyDescent="0.3">
      <c r="A120" s="105" t="str">
        <f t="shared" si="9"/>
        <v>f14t2</v>
      </c>
      <c r="B120" s="116">
        <v>198</v>
      </c>
      <c r="C120" s="116">
        <v>14</v>
      </c>
      <c r="D120" s="116">
        <v>3</v>
      </c>
      <c r="E120" s="116">
        <v>2</v>
      </c>
      <c r="F120" s="116">
        <v>1.0780000000000001</v>
      </c>
      <c r="G120" s="116">
        <v>14.356433271337201</v>
      </c>
      <c r="H120" s="117">
        <v>41675.681516203702</v>
      </c>
      <c r="I120" s="118" t="s">
        <v>304</v>
      </c>
      <c r="J120" s="106">
        <f t="shared" si="14"/>
        <v>0</v>
      </c>
      <c r="R120" s="105" t="str">
        <f t="shared" si="10"/>
        <v>f50t3</v>
      </c>
      <c r="S120" s="115">
        <v>198</v>
      </c>
      <c r="T120" s="115">
        <v>50</v>
      </c>
      <c r="U120" s="115">
        <v>3</v>
      </c>
      <c r="V120" s="115">
        <v>0</v>
      </c>
      <c r="W120" s="115">
        <v>0</v>
      </c>
      <c r="X120" s="115">
        <v>137.42146899999997</v>
      </c>
      <c r="Y120" s="115">
        <v>0</v>
      </c>
      <c r="Z120" s="112">
        <f t="shared" si="11"/>
        <v>0</v>
      </c>
      <c r="AA120" s="107" t="e">
        <f t="shared" si="12"/>
        <v>#N/A</v>
      </c>
      <c r="AC120" s="105" t="str">
        <f t="shared" si="13"/>
        <v>f30t2</v>
      </c>
      <c r="AD120" s="115">
        <v>16</v>
      </c>
      <c r="AE120" s="115">
        <v>30</v>
      </c>
      <c r="AF120" s="115">
        <v>2</v>
      </c>
      <c r="AG120" s="115">
        <v>0.255</v>
      </c>
    </row>
    <row r="121" spans="1:33" x14ac:dyDescent="0.3">
      <c r="A121" s="105" t="str">
        <f t="shared" si="9"/>
        <v>f14t3</v>
      </c>
      <c r="B121" s="116">
        <v>198</v>
      </c>
      <c r="C121" s="116">
        <v>14</v>
      </c>
      <c r="D121" s="116">
        <v>3</v>
      </c>
      <c r="E121" s="116">
        <v>3</v>
      </c>
      <c r="F121" s="116">
        <v>1.0780000000000001</v>
      </c>
      <c r="G121" s="116">
        <v>16.506022564194399</v>
      </c>
      <c r="H121" s="117">
        <v>41675.681516203702</v>
      </c>
      <c r="I121" s="118" t="s">
        <v>304</v>
      </c>
      <c r="J121" s="106">
        <f t="shared" si="14"/>
        <v>0</v>
      </c>
      <c r="R121" s="105" t="str">
        <f t="shared" si="10"/>
        <v>f50t4</v>
      </c>
      <c r="S121" s="115">
        <v>198</v>
      </c>
      <c r="T121" s="115">
        <v>50</v>
      </c>
      <c r="U121" s="115">
        <v>4</v>
      </c>
      <c r="V121" s="115">
        <v>0</v>
      </c>
      <c r="W121" s="115">
        <v>0</v>
      </c>
      <c r="X121" s="115">
        <v>3.3174289999999993</v>
      </c>
      <c r="Y121" s="115">
        <v>0</v>
      </c>
      <c r="Z121" s="112">
        <f t="shared" si="11"/>
        <v>0</v>
      </c>
      <c r="AA121" s="107" t="e">
        <f t="shared" si="12"/>
        <v>#N/A</v>
      </c>
      <c r="AC121" s="105" t="str">
        <f t="shared" si="13"/>
        <v>f30t3</v>
      </c>
      <c r="AD121" s="115">
        <v>16</v>
      </c>
      <c r="AE121" s="115">
        <v>30</v>
      </c>
      <c r="AF121" s="115">
        <v>3</v>
      </c>
      <c r="AG121" s="115">
        <v>0.255</v>
      </c>
    </row>
    <row r="122" spans="1:33" x14ac:dyDescent="0.3">
      <c r="A122" s="105" t="str">
        <f t="shared" si="9"/>
        <v>f14t4</v>
      </c>
      <c r="B122" s="116">
        <v>198</v>
      </c>
      <c r="C122" s="116">
        <v>14</v>
      </c>
      <c r="D122" s="116">
        <v>3</v>
      </c>
      <c r="E122" s="116">
        <v>4</v>
      </c>
      <c r="F122" s="116">
        <v>1.0780000000000001</v>
      </c>
      <c r="G122" s="116">
        <v>1.2074798007947701E-10</v>
      </c>
      <c r="H122" s="117">
        <v>41675.681516203702</v>
      </c>
      <c r="I122" s="118" t="s">
        <v>304</v>
      </c>
      <c r="J122" s="106">
        <f t="shared" si="14"/>
        <v>0</v>
      </c>
      <c r="R122" s="105" t="str">
        <f t="shared" si="10"/>
        <v>f51t1</v>
      </c>
      <c r="S122" s="115">
        <v>198</v>
      </c>
      <c r="T122" s="115">
        <v>51</v>
      </c>
      <c r="U122" s="115">
        <v>1</v>
      </c>
      <c r="V122" s="115">
        <v>0</v>
      </c>
      <c r="W122" s="115">
        <v>0</v>
      </c>
      <c r="X122" s="115">
        <v>7.8320000000000004E-3</v>
      </c>
      <c r="Y122" s="115">
        <v>0</v>
      </c>
      <c r="Z122" s="112">
        <f t="shared" si="11"/>
        <v>0</v>
      </c>
      <c r="AA122" s="107" t="e">
        <f t="shared" si="12"/>
        <v>#N/A</v>
      </c>
      <c r="AC122" s="105" t="str">
        <f t="shared" si="13"/>
        <v>f30t4</v>
      </c>
      <c r="AD122" s="115">
        <v>16</v>
      </c>
      <c r="AE122" s="115">
        <v>30</v>
      </c>
      <c r="AF122" s="115">
        <v>4</v>
      </c>
      <c r="AG122" s="115">
        <v>0.255</v>
      </c>
    </row>
    <row r="123" spans="1:33" x14ac:dyDescent="0.3">
      <c r="A123" s="105" t="str">
        <f t="shared" si="9"/>
        <v>f14t1</v>
      </c>
      <c r="B123" s="116">
        <v>198</v>
      </c>
      <c r="C123" s="116">
        <v>14</v>
      </c>
      <c r="D123" s="116">
        <v>4</v>
      </c>
      <c r="E123" s="116">
        <v>1</v>
      </c>
      <c r="F123" s="116">
        <v>1.0780000000000001</v>
      </c>
      <c r="G123" s="116">
        <v>4.25341021086708E-13</v>
      </c>
      <c r="H123" s="117">
        <v>41675.681516203702</v>
      </c>
      <c r="I123" s="118" t="s">
        <v>304</v>
      </c>
      <c r="J123" s="106">
        <f t="shared" si="14"/>
        <v>0</v>
      </c>
      <c r="R123" s="105" t="str">
        <f t="shared" si="10"/>
        <v>f52t1</v>
      </c>
      <c r="S123" s="115">
        <v>198</v>
      </c>
      <c r="T123" s="115">
        <v>52</v>
      </c>
      <c r="U123" s="115">
        <v>1</v>
      </c>
      <c r="V123" s="115">
        <v>0</v>
      </c>
      <c r="W123" s="115">
        <v>0</v>
      </c>
      <c r="X123" s="115">
        <v>3.6836890000000002</v>
      </c>
      <c r="Y123" s="115">
        <v>0</v>
      </c>
      <c r="Z123" s="112">
        <f t="shared" si="11"/>
        <v>0</v>
      </c>
      <c r="AA123" s="107" t="e">
        <f t="shared" si="12"/>
        <v>#N/A</v>
      </c>
      <c r="AC123" s="105" t="str">
        <f t="shared" si="13"/>
        <v>f31t1</v>
      </c>
      <c r="AD123" s="115">
        <v>16</v>
      </c>
      <c r="AE123" s="115">
        <v>31</v>
      </c>
      <c r="AF123" s="115">
        <v>1</v>
      </c>
      <c r="AG123" s="115">
        <v>0.14000000000000001</v>
      </c>
    </row>
    <row r="124" spans="1:33" x14ac:dyDescent="0.3">
      <c r="A124" s="105" t="str">
        <f t="shared" si="9"/>
        <v>f14t2</v>
      </c>
      <c r="B124" s="116">
        <v>198</v>
      </c>
      <c r="C124" s="116">
        <v>14</v>
      </c>
      <c r="D124" s="116">
        <v>4</v>
      </c>
      <c r="E124" s="116">
        <v>2</v>
      </c>
      <c r="F124" s="116">
        <v>1.0780000000000001</v>
      </c>
      <c r="G124" s="116">
        <v>14.356433271337201</v>
      </c>
      <c r="H124" s="117">
        <v>41675.681516203702</v>
      </c>
      <c r="I124" s="118" t="s">
        <v>304</v>
      </c>
      <c r="J124" s="106">
        <f t="shared" si="14"/>
        <v>0</v>
      </c>
      <c r="R124" s="105" t="str">
        <f t="shared" si="10"/>
        <v>f52t3</v>
      </c>
      <c r="S124" s="115">
        <v>198</v>
      </c>
      <c r="T124" s="115">
        <v>52</v>
      </c>
      <c r="U124" s="115">
        <v>3</v>
      </c>
      <c r="V124" s="115">
        <v>0</v>
      </c>
      <c r="W124" s="115">
        <v>0</v>
      </c>
      <c r="X124" s="115">
        <v>3979.75972</v>
      </c>
      <c r="Y124" s="115">
        <v>0</v>
      </c>
      <c r="Z124" s="112">
        <f t="shared" si="11"/>
        <v>0</v>
      </c>
      <c r="AA124" s="107" t="e">
        <f t="shared" si="12"/>
        <v>#N/A</v>
      </c>
      <c r="AC124" s="105" t="str">
        <f t="shared" si="13"/>
        <v>f31t2</v>
      </c>
      <c r="AD124" s="115">
        <v>16</v>
      </c>
      <c r="AE124" s="115">
        <v>31</v>
      </c>
      <c r="AF124" s="115">
        <v>2</v>
      </c>
      <c r="AG124" s="115">
        <v>0.14000000000000001</v>
      </c>
    </row>
    <row r="125" spans="1:33" x14ac:dyDescent="0.3">
      <c r="A125" s="105" t="str">
        <f t="shared" si="9"/>
        <v>f14t3</v>
      </c>
      <c r="B125" s="116">
        <v>198</v>
      </c>
      <c r="C125" s="116">
        <v>14</v>
      </c>
      <c r="D125" s="116">
        <v>4</v>
      </c>
      <c r="E125" s="116">
        <v>3</v>
      </c>
      <c r="F125" s="116">
        <v>1.0780000000000001</v>
      </c>
      <c r="G125" s="116">
        <v>16.506022564194399</v>
      </c>
      <c r="H125" s="117">
        <v>41675.681516203702</v>
      </c>
      <c r="I125" s="118" t="s">
        <v>304</v>
      </c>
      <c r="J125" s="106">
        <f t="shared" si="14"/>
        <v>0</v>
      </c>
      <c r="R125" s="105" t="str">
        <f t="shared" si="10"/>
        <v>f52t4</v>
      </c>
      <c r="S125" s="115">
        <v>198</v>
      </c>
      <c r="T125" s="115">
        <v>52</v>
      </c>
      <c r="U125" s="115">
        <v>4</v>
      </c>
      <c r="V125" s="115">
        <v>0</v>
      </c>
      <c r="W125" s="115">
        <v>0</v>
      </c>
      <c r="X125" s="115">
        <v>2</v>
      </c>
      <c r="Y125" s="115">
        <v>0</v>
      </c>
      <c r="Z125" s="112">
        <f t="shared" si="11"/>
        <v>0</v>
      </c>
      <c r="AA125" s="107" t="e">
        <f t="shared" si="12"/>
        <v>#N/A</v>
      </c>
      <c r="AC125" s="105" t="str">
        <f t="shared" si="13"/>
        <v>f31t3</v>
      </c>
      <c r="AD125" s="115">
        <v>16</v>
      </c>
      <c r="AE125" s="115">
        <v>31</v>
      </c>
      <c r="AF125" s="115">
        <v>3</v>
      </c>
      <c r="AG125" s="115">
        <v>0.14000000000000001</v>
      </c>
    </row>
    <row r="126" spans="1:33" x14ac:dyDescent="0.3">
      <c r="A126" s="105" t="str">
        <f t="shared" si="9"/>
        <v>f14t4</v>
      </c>
      <c r="B126" s="116">
        <v>198</v>
      </c>
      <c r="C126" s="116">
        <v>14</v>
      </c>
      <c r="D126" s="116">
        <v>4</v>
      </c>
      <c r="E126" s="116">
        <v>4</v>
      </c>
      <c r="F126" s="116">
        <v>1.0780000000000001</v>
      </c>
      <c r="G126" s="116">
        <v>1.2074798007947701E-10</v>
      </c>
      <c r="H126" s="117">
        <v>41675.681516203702</v>
      </c>
      <c r="I126" s="118" t="s">
        <v>304</v>
      </c>
      <c r="J126" s="106">
        <f t="shared" si="14"/>
        <v>0</v>
      </c>
      <c r="R126" s="105" t="str">
        <f t="shared" si="10"/>
        <v>f53t1</v>
      </c>
      <c r="S126" s="115">
        <v>198</v>
      </c>
      <c r="T126" s="115">
        <v>53</v>
      </c>
      <c r="U126" s="115">
        <v>1</v>
      </c>
      <c r="V126" s="115">
        <v>1679.4100640000006</v>
      </c>
      <c r="W126" s="115">
        <v>845.41502600000024</v>
      </c>
      <c r="X126" s="115">
        <v>0</v>
      </c>
      <c r="Y126" s="115">
        <v>0</v>
      </c>
      <c r="Z126" s="112">
        <f t="shared" si="11"/>
        <v>2.5169999993521532</v>
      </c>
      <c r="AA126" s="107">
        <f t="shared" si="12"/>
        <v>-6.478466652026782E-10</v>
      </c>
      <c r="AC126" s="105" t="str">
        <f t="shared" si="13"/>
        <v>f31t4</v>
      </c>
      <c r="AD126" s="115">
        <v>16</v>
      </c>
      <c r="AE126" s="115">
        <v>31</v>
      </c>
      <c r="AF126" s="115">
        <v>4</v>
      </c>
      <c r="AG126" s="115">
        <v>0.14000000000000001</v>
      </c>
    </row>
    <row r="127" spans="1:33" x14ac:dyDescent="0.3">
      <c r="A127" s="105" t="str">
        <f t="shared" si="9"/>
        <v>f14t1</v>
      </c>
      <c r="B127" s="116">
        <v>198</v>
      </c>
      <c r="C127" s="116">
        <v>14</v>
      </c>
      <c r="D127" s="116">
        <v>5</v>
      </c>
      <c r="E127" s="116">
        <v>1</v>
      </c>
      <c r="F127" s="116">
        <v>1.0780000000000001</v>
      </c>
      <c r="G127" s="116">
        <v>4.25341021086708E-13</v>
      </c>
      <c r="H127" s="117">
        <v>41675.681516203702</v>
      </c>
      <c r="I127" s="118" t="s">
        <v>304</v>
      </c>
      <c r="J127" s="106">
        <f t="shared" si="14"/>
        <v>0</v>
      </c>
      <c r="R127" s="105" t="str">
        <f t="shared" si="10"/>
        <v>f53t3</v>
      </c>
      <c r="S127" s="115">
        <v>198</v>
      </c>
      <c r="T127" s="115">
        <v>53</v>
      </c>
      <c r="U127" s="115">
        <v>3</v>
      </c>
      <c r="V127" s="115">
        <v>6149.7206660000002</v>
      </c>
      <c r="W127" s="115">
        <v>1163.5271490000002</v>
      </c>
      <c r="X127" s="115">
        <v>0</v>
      </c>
      <c r="Y127" s="115">
        <v>0</v>
      </c>
      <c r="Z127" s="112">
        <f t="shared" si="11"/>
        <v>0.94599999918110111</v>
      </c>
      <c r="AA127" s="107">
        <f t="shared" si="12"/>
        <v>-8.1889883762897853E-10</v>
      </c>
      <c r="AC127" s="105" t="str">
        <f t="shared" si="13"/>
        <v>f32t1</v>
      </c>
      <c r="AD127" s="115">
        <v>16</v>
      </c>
      <c r="AE127" s="115">
        <v>32</v>
      </c>
      <c r="AF127" s="115">
        <v>1</v>
      </c>
      <c r="AG127" s="115">
        <v>0.255</v>
      </c>
    </row>
    <row r="128" spans="1:33" x14ac:dyDescent="0.3">
      <c r="A128" s="105" t="str">
        <f t="shared" si="9"/>
        <v>f14t2</v>
      </c>
      <c r="B128" s="116">
        <v>198</v>
      </c>
      <c r="C128" s="116">
        <v>14</v>
      </c>
      <c r="D128" s="116">
        <v>5</v>
      </c>
      <c r="E128" s="116">
        <v>2</v>
      </c>
      <c r="F128" s="116">
        <v>1.0780000000000001</v>
      </c>
      <c r="G128" s="116">
        <v>14.356433271337201</v>
      </c>
      <c r="H128" s="117">
        <v>41675.681516203702</v>
      </c>
      <c r="I128" s="118" t="s">
        <v>304</v>
      </c>
      <c r="J128" s="106">
        <f t="shared" si="14"/>
        <v>0</v>
      </c>
      <c r="R128" s="105" t="str">
        <f t="shared" si="10"/>
        <v>f53t4</v>
      </c>
      <c r="S128" s="115">
        <v>198</v>
      </c>
      <c r="T128" s="115">
        <v>53</v>
      </c>
      <c r="U128" s="115">
        <v>4</v>
      </c>
      <c r="V128" s="115">
        <v>1618.5418789999999</v>
      </c>
      <c r="W128" s="115">
        <v>814.77397199999984</v>
      </c>
      <c r="X128" s="115">
        <v>0</v>
      </c>
      <c r="Y128" s="115">
        <v>0</v>
      </c>
      <c r="Z128" s="112">
        <f t="shared" si="11"/>
        <v>2.5169999694521339</v>
      </c>
      <c r="AA128" s="107">
        <f t="shared" si="12"/>
        <v>-3.0547866014529745E-8</v>
      </c>
      <c r="AC128" s="105" t="str">
        <f t="shared" si="13"/>
        <v>f32t2</v>
      </c>
      <c r="AD128" s="115">
        <v>16</v>
      </c>
      <c r="AE128" s="115">
        <v>32</v>
      </c>
      <c r="AF128" s="115">
        <v>2</v>
      </c>
      <c r="AG128" s="115">
        <v>0.255</v>
      </c>
    </row>
    <row r="129" spans="1:33" x14ac:dyDescent="0.3">
      <c r="A129" s="105" t="str">
        <f t="shared" si="9"/>
        <v>f14t3</v>
      </c>
      <c r="B129" s="116">
        <v>198</v>
      </c>
      <c r="C129" s="116">
        <v>14</v>
      </c>
      <c r="D129" s="116">
        <v>5</v>
      </c>
      <c r="E129" s="116">
        <v>3</v>
      </c>
      <c r="F129" s="116">
        <v>1.0780000000000001</v>
      </c>
      <c r="G129" s="116">
        <v>16.506022564194399</v>
      </c>
      <c r="H129" s="117">
        <v>41675.681516203702</v>
      </c>
      <c r="I129" s="118" t="s">
        <v>304</v>
      </c>
      <c r="J129" s="106">
        <f t="shared" si="14"/>
        <v>0</v>
      </c>
      <c r="R129" s="105" t="str">
        <f t="shared" si="10"/>
        <v>f54t1</v>
      </c>
      <c r="S129" s="115">
        <v>198</v>
      </c>
      <c r="T129" s="115">
        <v>54</v>
      </c>
      <c r="U129" s="115">
        <v>1</v>
      </c>
      <c r="V129" s="115">
        <v>0</v>
      </c>
      <c r="W129" s="115">
        <v>0</v>
      </c>
      <c r="X129" s="115">
        <v>1210.9456830000001</v>
      </c>
      <c r="Y129" s="115">
        <v>256.2361049999999</v>
      </c>
      <c r="Z129" s="112">
        <f t="shared" si="11"/>
        <v>1.0579999937123514</v>
      </c>
      <c r="AA129" s="107">
        <f t="shared" si="12"/>
        <v>-6.2876486239815677E-9</v>
      </c>
      <c r="AC129" s="105" t="str">
        <f t="shared" si="13"/>
        <v>f32t3</v>
      </c>
      <c r="AD129" s="115">
        <v>16</v>
      </c>
      <c r="AE129" s="115">
        <v>32</v>
      </c>
      <c r="AF129" s="115">
        <v>3</v>
      </c>
      <c r="AG129" s="115">
        <v>0.255</v>
      </c>
    </row>
    <row r="130" spans="1:33" x14ac:dyDescent="0.3">
      <c r="A130" s="105" t="str">
        <f t="shared" si="9"/>
        <v>f14t4</v>
      </c>
      <c r="B130" s="116">
        <v>198</v>
      </c>
      <c r="C130" s="116">
        <v>14</v>
      </c>
      <c r="D130" s="116">
        <v>5</v>
      </c>
      <c r="E130" s="116">
        <v>4</v>
      </c>
      <c r="F130" s="116">
        <v>1.0780000000000001</v>
      </c>
      <c r="G130" s="116">
        <v>1.2074798007947701E-10</v>
      </c>
      <c r="H130" s="117">
        <v>41675.681516203702</v>
      </c>
      <c r="I130" s="118" t="s">
        <v>304</v>
      </c>
      <c r="J130" s="106">
        <f t="shared" si="14"/>
        <v>0</v>
      </c>
      <c r="R130" s="105" t="str">
        <f t="shared" si="10"/>
        <v>f54t3</v>
      </c>
      <c r="S130" s="115">
        <v>198</v>
      </c>
      <c r="T130" s="115">
        <v>54</v>
      </c>
      <c r="U130" s="115">
        <v>3</v>
      </c>
      <c r="V130" s="115">
        <v>2221.2680459999997</v>
      </c>
      <c r="W130" s="115">
        <v>0</v>
      </c>
      <c r="X130" s="115">
        <v>0</v>
      </c>
      <c r="Y130" s="115">
        <v>0</v>
      </c>
      <c r="Z130" s="112">
        <f t="shared" si="11"/>
        <v>0</v>
      </c>
      <c r="AA130" s="107">
        <f>Z130-VLOOKUP(R130,L$3:P$100,5,FALSE)</f>
        <v>-3.4000000000000002E-2</v>
      </c>
      <c r="AC130" s="105" t="str">
        <f t="shared" si="13"/>
        <v>f32t4</v>
      </c>
      <c r="AD130" s="115">
        <v>16</v>
      </c>
      <c r="AE130" s="115">
        <v>32</v>
      </c>
      <c r="AF130" s="115">
        <v>4</v>
      </c>
      <c r="AG130" s="115">
        <v>0.255</v>
      </c>
    </row>
    <row r="131" spans="1:33" x14ac:dyDescent="0.3">
      <c r="A131" s="105" t="str">
        <f t="shared" si="9"/>
        <v>f15t1</v>
      </c>
      <c r="B131" s="116">
        <v>198</v>
      </c>
      <c r="C131" s="116">
        <v>15</v>
      </c>
      <c r="D131" s="116">
        <v>2</v>
      </c>
      <c r="E131" s="116">
        <v>1</v>
      </c>
      <c r="F131" s="116">
        <v>0.442</v>
      </c>
      <c r="G131" s="116">
        <v>9.1384210043930401E-10</v>
      </c>
      <c r="H131" s="117">
        <v>41675.681516203702</v>
      </c>
      <c r="I131" s="118" t="s">
        <v>304</v>
      </c>
      <c r="J131" s="106">
        <f t="shared" si="14"/>
        <v>0</v>
      </c>
      <c r="R131" s="105" t="str">
        <f t="shared" si="10"/>
        <v>f54t4</v>
      </c>
      <c r="S131" s="115">
        <v>198</v>
      </c>
      <c r="T131" s="115">
        <v>54</v>
      </c>
      <c r="U131" s="115">
        <v>4</v>
      </c>
      <c r="V131" s="115">
        <v>1957.3949600000001</v>
      </c>
      <c r="W131" s="115">
        <v>414.18477500000034</v>
      </c>
      <c r="X131" s="115">
        <v>148.66290900000001</v>
      </c>
      <c r="Y131" s="115">
        <v>31.457072000000007</v>
      </c>
      <c r="Z131" s="112">
        <f t="shared" si="11"/>
        <v>1.0580000045573303</v>
      </c>
      <c r="AA131" s="107">
        <f t="shared" si="12"/>
        <v>4.5573302909218683E-9</v>
      </c>
      <c r="AC131" s="105" t="str">
        <f t="shared" si="13"/>
        <v>f33t1</v>
      </c>
      <c r="AD131" s="115">
        <v>16</v>
      </c>
      <c r="AE131" s="115">
        <v>33</v>
      </c>
      <c r="AF131" s="115">
        <v>1</v>
      </c>
      <c r="AG131" s="115">
        <v>0.23</v>
      </c>
    </row>
    <row r="132" spans="1:33" x14ac:dyDescent="0.3">
      <c r="A132" s="105" t="str">
        <f t="shared" ref="A132:A195" si="15">"f"&amp;C132&amp;"t"&amp;E132</f>
        <v>f15t2</v>
      </c>
      <c r="B132" s="116">
        <v>198</v>
      </c>
      <c r="C132" s="116">
        <v>15</v>
      </c>
      <c r="D132" s="116">
        <v>2</v>
      </c>
      <c r="E132" s="116">
        <v>2</v>
      </c>
      <c r="F132" s="116">
        <v>0.442</v>
      </c>
      <c r="G132" s="116">
        <v>11.8401559916653</v>
      </c>
      <c r="H132" s="117">
        <v>41675.681516203702</v>
      </c>
      <c r="I132" s="118" t="s">
        <v>304</v>
      </c>
      <c r="J132" s="106">
        <f t="shared" si="14"/>
        <v>0</v>
      </c>
      <c r="R132" s="105" t="str">
        <f t="shared" ref="R132:R181" si="16">"f"&amp;T132&amp;"t"&amp;U132</f>
        <v>f55t3</v>
      </c>
      <c r="S132" s="115">
        <v>198</v>
      </c>
      <c r="T132" s="115">
        <v>55</v>
      </c>
      <c r="U132" s="115">
        <v>3</v>
      </c>
      <c r="V132" s="115">
        <v>0</v>
      </c>
      <c r="W132" s="115">
        <v>0</v>
      </c>
      <c r="X132" s="115">
        <v>499.99999800000001</v>
      </c>
      <c r="Y132" s="115">
        <v>249.98664999999997</v>
      </c>
      <c r="Z132" s="112">
        <f t="shared" ref="Z132:Z181" si="17">((Y132+W132)/VLOOKUP(R132,AC$3:AG$294,5,FALSE))/(X132+V132)</f>
        <v>1.6665776733329773</v>
      </c>
      <c r="AA132" s="107" t="e">
        <f t="shared" ref="AA132:AA174" si="18">Z132-VLOOKUP(R132,L$3:P$100,5,FALSE)</f>
        <v>#N/A</v>
      </c>
      <c r="AC132" s="105" t="str">
        <f t="shared" ref="AC132:AC195" si="19">"f"&amp;AE132&amp;"t"&amp;AF132</f>
        <v>f33t2</v>
      </c>
      <c r="AD132" s="115">
        <v>16</v>
      </c>
      <c r="AE132" s="115">
        <v>33</v>
      </c>
      <c r="AF132" s="115">
        <v>2</v>
      </c>
      <c r="AG132" s="115">
        <v>0.23</v>
      </c>
    </row>
    <row r="133" spans="1:33" x14ac:dyDescent="0.3">
      <c r="A133" s="105" t="str">
        <f t="shared" si="15"/>
        <v>f15t3</v>
      </c>
      <c r="B133" s="116">
        <v>198</v>
      </c>
      <c r="C133" s="116">
        <v>15</v>
      </c>
      <c r="D133" s="116">
        <v>2</v>
      </c>
      <c r="E133" s="116">
        <v>3</v>
      </c>
      <c r="F133" s="116">
        <v>0.442</v>
      </c>
      <c r="G133" s="116">
        <v>8.4199976198177797</v>
      </c>
      <c r="H133" s="117">
        <v>41675.681516203702</v>
      </c>
      <c r="I133" s="118" t="s">
        <v>304</v>
      </c>
      <c r="J133" s="106">
        <f t="shared" si="14"/>
        <v>0</v>
      </c>
      <c r="R133" s="105" t="str">
        <f t="shared" si="16"/>
        <v>f56t1</v>
      </c>
      <c r="S133" s="115">
        <v>198</v>
      </c>
      <c r="T133" s="115">
        <v>56</v>
      </c>
      <c r="U133" s="115">
        <v>1</v>
      </c>
      <c r="V133" s="115">
        <v>2866.7623340000005</v>
      </c>
      <c r="W133" s="115">
        <v>3499.7434589999998</v>
      </c>
      <c r="X133" s="115">
        <v>0</v>
      </c>
      <c r="Y133" s="115">
        <v>0</v>
      </c>
      <c r="Z133" s="112">
        <f t="shared" si="17"/>
        <v>6.1040000028826933</v>
      </c>
      <c r="AA133" s="107">
        <f t="shared" si="18"/>
        <v>2.8826931952607993E-9</v>
      </c>
      <c r="AC133" s="105" t="str">
        <f t="shared" si="19"/>
        <v>f33t3</v>
      </c>
      <c r="AD133" s="115">
        <v>16</v>
      </c>
      <c r="AE133" s="115">
        <v>33</v>
      </c>
      <c r="AF133" s="115">
        <v>3</v>
      </c>
      <c r="AG133" s="115">
        <v>0.23</v>
      </c>
    </row>
    <row r="134" spans="1:33" x14ac:dyDescent="0.3">
      <c r="A134" s="105" t="str">
        <f t="shared" si="15"/>
        <v>f15t4</v>
      </c>
      <c r="B134" s="116">
        <v>198</v>
      </c>
      <c r="C134" s="116">
        <v>15</v>
      </c>
      <c r="D134" s="116">
        <v>2</v>
      </c>
      <c r="E134" s="116">
        <v>4</v>
      </c>
      <c r="F134" s="116">
        <v>0.442</v>
      </c>
      <c r="G134" s="116">
        <v>13.1772607437619</v>
      </c>
      <c r="H134" s="117">
        <v>41675.681516203702</v>
      </c>
      <c r="I134" s="118" t="s">
        <v>304</v>
      </c>
      <c r="J134" s="106">
        <f t="shared" si="14"/>
        <v>0</v>
      </c>
      <c r="R134" s="105" t="str">
        <f t="shared" si="16"/>
        <v>f56t2</v>
      </c>
      <c r="S134" s="115">
        <v>198</v>
      </c>
      <c r="T134" s="115">
        <v>56</v>
      </c>
      <c r="U134" s="115">
        <v>2</v>
      </c>
      <c r="V134" s="115">
        <v>0</v>
      </c>
      <c r="W134" s="115">
        <v>0</v>
      </c>
      <c r="X134" s="115">
        <v>0</v>
      </c>
      <c r="Y134" s="115">
        <v>0</v>
      </c>
      <c r="Z134" s="112" t="e">
        <f t="shared" si="17"/>
        <v>#DIV/0!</v>
      </c>
      <c r="AA134" s="107" t="e">
        <f t="shared" si="18"/>
        <v>#DIV/0!</v>
      </c>
      <c r="AC134" s="105" t="str">
        <f t="shared" si="19"/>
        <v>f33t4</v>
      </c>
      <c r="AD134" s="115">
        <v>16</v>
      </c>
      <c r="AE134" s="115">
        <v>33</v>
      </c>
      <c r="AF134" s="115">
        <v>4</v>
      </c>
      <c r="AG134" s="115">
        <v>0.23</v>
      </c>
    </row>
    <row r="135" spans="1:33" x14ac:dyDescent="0.3">
      <c r="A135" s="105" t="str">
        <f t="shared" si="15"/>
        <v>f15t1</v>
      </c>
      <c r="B135" s="116">
        <v>198</v>
      </c>
      <c r="C135" s="116">
        <v>15</v>
      </c>
      <c r="D135" s="116">
        <v>3</v>
      </c>
      <c r="E135" s="116">
        <v>1</v>
      </c>
      <c r="F135" s="116">
        <v>0.442</v>
      </c>
      <c r="G135" s="116">
        <v>9.1384210043930401E-10</v>
      </c>
      <c r="H135" s="117">
        <v>41675.681516203702</v>
      </c>
      <c r="I135" s="118" t="s">
        <v>304</v>
      </c>
      <c r="J135" s="106">
        <f t="shared" si="14"/>
        <v>0</v>
      </c>
      <c r="R135" s="105" t="str">
        <f t="shared" si="16"/>
        <v>f56t3</v>
      </c>
      <c r="S135" s="115">
        <v>198</v>
      </c>
      <c r="T135" s="115">
        <v>56</v>
      </c>
      <c r="U135" s="115">
        <v>3</v>
      </c>
      <c r="V135" s="115">
        <v>3962.7622310000002</v>
      </c>
      <c r="W135" s="115">
        <v>969.29164399999979</v>
      </c>
      <c r="X135" s="115">
        <v>0</v>
      </c>
      <c r="Y135" s="115">
        <v>0</v>
      </c>
      <c r="Z135" s="112">
        <f t="shared" si="17"/>
        <v>1.2230000028987351</v>
      </c>
      <c r="AA135" s="107">
        <f t="shared" si="18"/>
        <v>2.8987350297882131E-9</v>
      </c>
      <c r="AC135" s="105" t="str">
        <f t="shared" si="19"/>
        <v>f34t1</v>
      </c>
      <c r="AD135" s="115">
        <v>16</v>
      </c>
      <c r="AE135" s="115">
        <v>34</v>
      </c>
      <c r="AF135" s="115">
        <v>1</v>
      </c>
      <c r="AG135" s="115">
        <v>0.255</v>
      </c>
    </row>
    <row r="136" spans="1:33" x14ac:dyDescent="0.3">
      <c r="A136" s="105" t="str">
        <f t="shared" si="15"/>
        <v>f15t2</v>
      </c>
      <c r="B136" s="116">
        <v>198</v>
      </c>
      <c r="C136" s="116">
        <v>15</v>
      </c>
      <c r="D136" s="116">
        <v>3</v>
      </c>
      <c r="E136" s="116">
        <v>2</v>
      </c>
      <c r="F136" s="116">
        <v>0.442</v>
      </c>
      <c r="G136" s="116">
        <v>11.8401559916653</v>
      </c>
      <c r="H136" s="117">
        <v>41675.681516203702</v>
      </c>
      <c r="I136" s="118" t="s">
        <v>304</v>
      </c>
      <c r="J136" s="106">
        <f t="shared" si="14"/>
        <v>0</v>
      </c>
      <c r="R136" s="105" t="str">
        <f t="shared" si="16"/>
        <v>f56t4</v>
      </c>
      <c r="S136" s="115">
        <v>198</v>
      </c>
      <c r="T136" s="115">
        <v>56</v>
      </c>
      <c r="U136" s="115">
        <v>4</v>
      </c>
      <c r="V136" s="115">
        <v>2931.8331229999994</v>
      </c>
      <c r="W136" s="115">
        <v>3579.1818400000002</v>
      </c>
      <c r="X136" s="115">
        <v>0</v>
      </c>
      <c r="Y136" s="115">
        <v>0</v>
      </c>
      <c r="Z136" s="112">
        <f t="shared" si="17"/>
        <v>6.1039999376526595</v>
      </c>
      <c r="AA136" s="107">
        <f t="shared" si="18"/>
        <v>-6.2347340623603031E-8</v>
      </c>
      <c r="AC136" s="105" t="str">
        <f t="shared" si="19"/>
        <v>f34t2</v>
      </c>
      <c r="AD136" s="115">
        <v>16</v>
      </c>
      <c r="AE136" s="115">
        <v>34</v>
      </c>
      <c r="AF136" s="115">
        <v>2</v>
      </c>
      <c r="AG136" s="115">
        <v>0.255</v>
      </c>
    </row>
    <row r="137" spans="1:33" x14ac:dyDescent="0.3">
      <c r="A137" s="105" t="str">
        <f t="shared" si="15"/>
        <v>f15t3</v>
      </c>
      <c r="B137" s="116">
        <v>198</v>
      </c>
      <c r="C137" s="116">
        <v>15</v>
      </c>
      <c r="D137" s="116">
        <v>3</v>
      </c>
      <c r="E137" s="116">
        <v>3</v>
      </c>
      <c r="F137" s="116">
        <v>0.442</v>
      </c>
      <c r="G137" s="116">
        <v>8.4199976198177797</v>
      </c>
      <c r="H137" s="117">
        <v>41675.681516203702</v>
      </c>
      <c r="I137" s="118" t="s">
        <v>304</v>
      </c>
      <c r="J137" s="106">
        <f t="shared" si="14"/>
        <v>0</v>
      </c>
      <c r="R137" s="105" t="str">
        <f t="shared" si="16"/>
        <v>f57t1</v>
      </c>
      <c r="S137" s="115">
        <v>198</v>
      </c>
      <c r="T137" s="115">
        <v>57</v>
      </c>
      <c r="U137" s="115">
        <v>1</v>
      </c>
      <c r="V137" s="115">
        <v>663.9704790000003</v>
      </c>
      <c r="W137" s="115">
        <v>260.67480800000004</v>
      </c>
      <c r="X137" s="115">
        <v>853.29540300000008</v>
      </c>
      <c r="Y137" s="115">
        <v>335.00377500000002</v>
      </c>
      <c r="Z137" s="112">
        <f t="shared" si="17"/>
        <v>1.9629999925088935</v>
      </c>
      <c r="AA137" s="107">
        <f t="shared" si="18"/>
        <v>-7.4911066239025104E-9</v>
      </c>
      <c r="AC137" s="105" t="str">
        <f t="shared" si="19"/>
        <v>f34t3</v>
      </c>
      <c r="AD137" s="115">
        <v>16</v>
      </c>
      <c r="AE137" s="115">
        <v>34</v>
      </c>
      <c r="AF137" s="115">
        <v>3</v>
      </c>
      <c r="AG137" s="115">
        <v>0.255</v>
      </c>
    </row>
    <row r="138" spans="1:33" x14ac:dyDescent="0.3">
      <c r="A138" s="105" t="str">
        <f t="shared" si="15"/>
        <v>f15t4</v>
      </c>
      <c r="B138" s="116">
        <v>198</v>
      </c>
      <c r="C138" s="116">
        <v>15</v>
      </c>
      <c r="D138" s="116">
        <v>3</v>
      </c>
      <c r="E138" s="116">
        <v>4</v>
      </c>
      <c r="F138" s="116">
        <v>0.442</v>
      </c>
      <c r="G138" s="116">
        <v>13.1772607437619</v>
      </c>
      <c r="H138" s="117">
        <v>41675.681516203702</v>
      </c>
      <c r="I138" s="118" t="s">
        <v>304</v>
      </c>
      <c r="J138" s="106">
        <f t="shared" si="14"/>
        <v>0</v>
      </c>
      <c r="R138" s="105" t="str">
        <f t="shared" si="16"/>
        <v>f57t2</v>
      </c>
      <c r="S138" s="115">
        <v>198</v>
      </c>
      <c r="T138" s="115">
        <v>57</v>
      </c>
      <c r="U138" s="115">
        <v>2</v>
      </c>
      <c r="V138" s="115">
        <v>938.50228900000013</v>
      </c>
      <c r="W138" s="115">
        <v>339.00882800000011</v>
      </c>
      <c r="X138" s="115">
        <v>0</v>
      </c>
      <c r="Y138" s="115">
        <v>0</v>
      </c>
      <c r="Z138" s="112">
        <f t="shared" si="17"/>
        <v>1.8061161489612523</v>
      </c>
      <c r="AA138" s="107" t="e">
        <f t="shared" si="18"/>
        <v>#N/A</v>
      </c>
      <c r="AC138" s="105" t="str">
        <f t="shared" si="19"/>
        <v>f34t4</v>
      </c>
      <c r="AD138" s="115">
        <v>16</v>
      </c>
      <c r="AE138" s="115">
        <v>34</v>
      </c>
      <c r="AF138" s="115">
        <v>4</v>
      </c>
      <c r="AG138" s="115">
        <v>0.255</v>
      </c>
    </row>
    <row r="139" spans="1:33" x14ac:dyDescent="0.3">
      <c r="A139" s="105" t="str">
        <f t="shared" si="15"/>
        <v>f15t1</v>
      </c>
      <c r="B139" s="116">
        <v>198</v>
      </c>
      <c r="C139" s="116">
        <v>15</v>
      </c>
      <c r="D139" s="116">
        <v>4</v>
      </c>
      <c r="E139" s="116">
        <v>1</v>
      </c>
      <c r="F139" s="116">
        <v>0.442</v>
      </c>
      <c r="G139" s="116">
        <v>9.1384210043930401E-10</v>
      </c>
      <c r="H139" s="117">
        <v>41675.681516203702</v>
      </c>
      <c r="I139" s="118" t="s">
        <v>304</v>
      </c>
      <c r="J139" s="106">
        <f t="shared" si="14"/>
        <v>0</v>
      </c>
      <c r="R139" s="105" t="str">
        <f t="shared" si="16"/>
        <v>f57t3</v>
      </c>
      <c r="S139" s="115">
        <v>198</v>
      </c>
      <c r="T139" s="115">
        <v>57</v>
      </c>
      <c r="U139" s="115">
        <v>3</v>
      </c>
      <c r="V139" s="115">
        <v>9190.8691120000021</v>
      </c>
      <c r="W139" s="115">
        <v>1176.4312440000001</v>
      </c>
      <c r="X139" s="115">
        <v>0</v>
      </c>
      <c r="Y139" s="115">
        <v>0</v>
      </c>
      <c r="Z139" s="112">
        <f t="shared" si="17"/>
        <v>0.63999999872917335</v>
      </c>
      <c r="AA139" s="107">
        <f t="shared" si="18"/>
        <v>-1.2708266661221046E-9</v>
      </c>
      <c r="AC139" s="105" t="str">
        <f t="shared" si="19"/>
        <v>f35t1</v>
      </c>
      <c r="AD139" s="115">
        <v>16</v>
      </c>
      <c r="AE139" s="115">
        <v>35</v>
      </c>
      <c r="AF139" s="115">
        <v>1</v>
      </c>
      <c r="AG139" s="115">
        <v>0.23</v>
      </c>
    </row>
    <row r="140" spans="1:33" x14ac:dyDescent="0.3">
      <c r="A140" s="105" t="str">
        <f t="shared" si="15"/>
        <v>f15t2</v>
      </c>
      <c r="B140" s="116">
        <v>198</v>
      </c>
      <c r="C140" s="116">
        <v>15</v>
      </c>
      <c r="D140" s="116">
        <v>4</v>
      </c>
      <c r="E140" s="116">
        <v>2</v>
      </c>
      <c r="F140" s="116">
        <v>0.442</v>
      </c>
      <c r="G140" s="116">
        <v>11.8401559916653</v>
      </c>
      <c r="H140" s="117">
        <v>41675.681516203702</v>
      </c>
      <c r="I140" s="118" t="s">
        <v>304</v>
      </c>
      <c r="J140" s="106">
        <f t="shared" si="14"/>
        <v>0</v>
      </c>
      <c r="R140" s="105" t="str">
        <f t="shared" si="16"/>
        <v>f57t4</v>
      </c>
      <c r="S140" s="115">
        <v>198</v>
      </c>
      <c r="T140" s="115">
        <v>57</v>
      </c>
      <c r="U140" s="115">
        <v>4</v>
      </c>
      <c r="V140" s="115">
        <v>489.41628899999995</v>
      </c>
      <c r="W140" s="115">
        <v>192.14483800000005</v>
      </c>
      <c r="X140" s="115">
        <v>628.68108400000006</v>
      </c>
      <c r="Y140" s="115">
        <v>246.82019200000005</v>
      </c>
      <c r="Z140" s="112">
        <f t="shared" si="17"/>
        <v>1.9630000060826545</v>
      </c>
      <c r="AA140" s="107">
        <f t="shared" si="18"/>
        <v>6.0826543801795196E-9</v>
      </c>
      <c r="AC140" s="105" t="str">
        <f t="shared" si="19"/>
        <v>f35t2</v>
      </c>
      <c r="AD140" s="115">
        <v>16</v>
      </c>
      <c r="AE140" s="115">
        <v>35</v>
      </c>
      <c r="AF140" s="115">
        <v>2</v>
      </c>
      <c r="AG140" s="115">
        <v>0.23</v>
      </c>
    </row>
    <row r="141" spans="1:33" x14ac:dyDescent="0.3">
      <c r="A141" s="105" t="str">
        <f t="shared" si="15"/>
        <v>f15t3</v>
      </c>
      <c r="B141" s="116">
        <v>198</v>
      </c>
      <c r="C141" s="116">
        <v>15</v>
      </c>
      <c r="D141" s="116">
        <v>4</v>
      </c>
      <c r="E141" s="116">
        <v>3</v>
      </c>
      <c r="F141" s="116">
        <v>0.442</v>
      </c>
      <c r="G141" s="116">
        <v>8.4199976198177797</v>
      </c>
      <c r="H141" s="117">
        <v>41675.681516203702</v>
      </c>
      <c r="I141" s="118" t="s">
        <v>304</v>
      </c>
      <c r="J141" s="106">
        <f t="shared" si="14"/>
        <v>0</v>
      </c>
      <c r="R141" s="105" t="str">
        <f t="shared" si="16"/>
        <v>f58t1</v>
      </c>
      <c r="S141" s="115">
        <v>198</v>
      </c>
      <c r="T141" s="115">
        <v>58</v>
      </c>
      <c r="U141" s="115">
        <v>1</v>
      </c>
      <c r="V141" s="115">
        <v>0</v>
      </c>
      <c r="W141" s="115">
        <v>0</v>
      </c>
      <c r="X141" s="115">
        <v>807.42658699999993</v>
      </c>
      <c r="Y141" s="115">
        <v>0</v>
      </c>
      <c r="Z141" s="112">
        <f t="shared" si="17"/>
        <v>0</v>
      </c>
      <c r="AA141" s="107" t="e">
        <f t="shared" si="18"/>
        <v>#N/A</v>
      </c>
      <c r="AC141" s="105" t="str">
        <f t="shared" si="19"/>
        <v>f35t3</v>
      </c>
      <c r="AD141" s="115">
        <v>16</v>
      </c>
      <c r="AE141" s="115">
        <v>35</v>
      </c>
      <c r="AF141" s="115">
        <v>3</v>
      </c>
      <c r="AG141" s="115">
        <v>0.23</v>
      </c>
    </row>
    <row r="142" spans="1:33" x14ac:dyDescent="0.3">
      <c r="A142" s="105" t="str">
        <f t="shared" si="15"/>
        <v>f15t4</v>
      </c>
      <c r="B142" s="116">
        <v>198</v>
      </c>
      <c r="C142" s="116">
        <v>15</v>
      </c>
      <c r="D142" s="116">
        <v>4</v>
      </c>
      <c r="E142" s="116">
        <v>4</v>
      </c>
      <c r="F142" s="116">
        <v>0.442</v>
      </c>
      <c r="G142" s="116">
        <v>13.1772607437619</v>
      </c>
      <c r="H142" s="117">
        <v>41675.681516203702</v>
      </c>
      <c r="I142" s="118" t="s">
        <v>304</v>
      </c>
      <c r="J142" s="106">
        <f t="shared" si="14"/>
        <v>0</v>
      </c>
      <c r="R142" s="105" t="str">
        <f t="shared" si="16"/>
        <v>f58t3</v>
      </c>
      <c r="S142" s="115">
        <v>198</v>
      </c>
      <c r="T142" s="115">
        <v>58</v>
      </c>
      <c r="U142" s="115">
        <v>3</v>
      </c>
      <c r="V142" s="115">
        <v>0</v>
      </c>
      <c r="W142" s="115">
        <v>0</v>
      </c>
      <c r="X142" s="115">
        <v>27.499999999999996</v>
      </c>
      <c r="Y142" s="115">
        <v>0</v>
      </c>
      <c r="Z142" s="112">
        <f t="shared" si="17"/>
        <v>0</v>
      </c>
      <c r="AA142" s="107" t="e">
        <f t="shared" si="18"/>
        <v>#N/A</v>
      </c>
      <c r="AC142" s="105" t="str">
        <f t="shared" si="19"/>
        <v>f35t4</v>
      </c>
      <c r="AD142" s="115">
        <v>16</v>
      </c>
      <c r="AE142" s="115">
        <v>35</v>
      </c>
      <c r="AF142" s="115">
        <v>4</v>
      </c>
      <c r="AG142" s="115">
        <v>0.23</v>
      </c>
    </row>
    <row r="143" spans="1:33" x14ac:dyDescent="0.3">
      <c r="A143" s="105" t="str">
        <f t="shared" si="15"/>
        <v>f15t1</v>
      </c>
      <c r="B143" s="116">
        <v>198</v>
      </c>
      <c r="C143" s="116">
        <v>15</v>
      </c>
      <c r="D143" s="116">
        <v>5</v>
      </c>
      <c r="E143" s="116">
        <v>1</v>
      </c>
      <c r="F143" s="116">
        <v>0.442</v>
      </c>
      <c r="G143" s="116">
        <v>9.1384210043930401E-10</v>
      </c>
      <c r="H143" s="117">
        <v>41675.681516203702</v>
      </c>
      <c r="I143" s="118" t="s">
        <v>304</v>
      </c>
      <c r="J143" s="106">
        <f t="shared" si="14"/>
        <v>0</v>
      </c>
      <c r="R143" s="105" t="str">
        <f t="shared" si="16"/>
        <v>f58t4</v>
      </c>
      <c r="S143" s="115">
        <v>198</v>
      </c>
      <c r="T143" s="115">
        <v>58</v>
      </c>
      <c r="U143" s="115">
        <v>4</v>
      </c>
      <c r="V143" s="115">
        <v>0</v>
      </c>
      <c r="W143" s="115">
        <v>0</v>
      </c>
      <c r="X143" s="115">
        <v>192.49999899999997</v>
      </c>
      <c r="Y143" s="115">
        <v>0</v>
      </c>
      <c r="Z143" s="112">
        <f t="shared" si="17"/>
        <v>0</v>
      </c>
      <c r="AA143" s="107" t="e">
        <f t="shared" si="18"/>
        <v>#N/A</v>
      </c>
      <c r="AC143" s="105" t="str">
        <f t="shared" si="19"/>
        <v>f36t1</v>
      </c>
      <c r="AD143" s="115">
        <v>16</v>
      </c>
      <c r="AE143" s="115">
        <v>36</v>
      </c>
      <c r="AF143" s="115">
        <v>1</v>
      </c>
      <c r="AG143" s="115">
        <v>0.2</v>
      </c>
    </row>
    <row r="144" spans="1:33" x14ac:dyDescent="0.3">
      <c r="A144" s="105" t="str">
        <f t="shared" si="15"/>
        <v>f15t2</v>
      </c>
      <c r="B144" s="116">
        <v>198</v>
      </c>
      <c r="C144" s="116">
        <v>15</v>
      </c>
      <c r="D144" s="116">
        <v>5</v>
      </c>
      <c r="E144" s="116">
        <v>2</v>
      </c>
      <c r="F144" s="116">
        <v>0.442</v>
      </c>
      <c r="G144" s="116">
        <v>11.8401559916653</v>
      </c>
      <c r="H144" s="117">
        <v>41675.681516203702</v>
      </c>
      <c r="I144" s="118" t="s">
        <v>304</v>
      </c>
      <c r="J144" s="106">
        <f t="shared" si="14"/>
        <v>0</v>
      </c>
      <c r="R144" s="105" t="str">
        <f t="shared" si="16"/>
        <v>f59t1</v>
      </c>
      <c r="S144" s="115">
        <v>198</v>
      </c>
      <c r="T144" s="115">
        <v>59</v>
      </c>
      <c r="U144" s="115">
        <v>1</v>
      </c>
      <c r="V144" s="115">
        <v>0</v>
      </c>
      <c r="W144" s="115">
        <v>0</v>
      </c>
      <c r="X144" s="115">
        <v>430.51711500000005</v>
      </c>
      <c r="Y144" s="115">
        <v>0</v>
      </c>
      <c r="Z144" s="112">
        <f t="shared" si="17"/>
        <v>0</v>
      </c>
      <c r="AA144" s="107" t="e">
        <f t="shared" si="18"/>
        <v>#N/A</v>
      </c>
      <c r="AC144" s="105" t="str">
        <f t="shared" si="19"/>
        <v>f36t2</v>
      </c>
      <c r="AD144" s="115">
        <v>16</v>
      </c>
      <c r="AE144" s="115">
        <v>36</v>
      </c>
      <c r="AF144" s="115">
        <v>2</v>
      </c>
      <c r="AG144" s="115">
        <v>0.2</v>
      </c>
    </row>
    <row r="145" spans="1:33" x14ac:dyDescent="0.3">
      <c r="A145" s="105" t="str">
        <f t="shared" si="15"/>
        <v>f15t3</v>
      </c>
      <c r="B145" s="116">
        <v>198</v>
      </c>
      <c r="C145" s="116">
        <v>15</v>
      </c>
      <c r="D145" s="116">
        <v>5</v>
      </c>
      <c r="E145" s="116">
        <v>3</v>
      </c>
      <c r="F145" s="116">
        <v>0.442</v>
      </c>
      <c r="G145" s="116">
        <v>8.4199976198177797</v>
      </c>
      <c r="H145" s="117">
        <v>41675.681516203702</v>
      </c>
      <c r="I145" s="118" t="s">
        <v>304</v>
      </c>
      <c r="J145" s="106">
        <f t="shared" si="14"/>
        <v>0</v>
      </c>
      <c r="R145" s="105" t="str">
        <f t="shared" si="16"/>
        <v>f59t3</v>
      </c>
      <c r="S145" s="115">
        <v>198</v>
      </c>
      <c r="T145" s="115">
        <v>59</v>
      </c>
      <c r="U145" s="115">
        <v>3</v>
      </c>
      <c r="V145" s="115">
        <v>0</v>
      </c>
      <c r="W145" s="115">
        <v>0</v>
      </c>
      <c r="X145" s="115">
        <v>51.500002000000009</v>
      </c>
      <c r="Y145" s="115">
        <v>0</v>
      </c>
      <c r="Z145" s="112">
        <f t="shared" si="17"/>
        <v>0</v>
      </c>
      <c r="AA145" s="107" t="e">
        <f t="shared" si="18"/>
        <v>#N/A</v>
      </c>
      <c r="AC145" s="105" t="str">
        <f t="shared" si="19"/>
        <v>f36t3</v>
      </c>
      <c r="AD145" s="115">
        <v>16</v>
      </c>
      <c r="AE145" s="115">
        <v>36</v>
      </c>
      <c r="AF145" s="115">
        <v>3</v>
      </c>
      <c r="AG145" s="115">
        <v>0.2</v>
      </c>
    </row>
    <row r="146" spans="1:33" x14ac:dyDescent="0.3">
      <c r="A146" s="105" t="str">
        <f t="shared" si="15"/>
        <v>f15t4</v>
      </c>
      <c r="B146" s="116">
        <v>198</v>
      </c>
      <c r="C146" s="116">
        <v>15</v>
      </c>
      <c r="D146" s="116">
        <v>5</v>
      </c>
      <c r="E146" s="116">
        <v>4</v>
      </c>
      <c r="F146" s="116">
        <v>0.442</v>
      </c>
      <c r="G146" s="116">
        <v>13.1772607437619</v>
      </c>
      <c r="H146" s="117">
        <v>41675.681516203702</v>
      </c>
      <c r="I146" s="118" t="s">
        <v>304</v>
      </c>
      <c r="J146" s="106">
        <f t="shared" si="14"/>
        <v>0</v>
      </c>
      <c r="R146" s="105" t="str">
        <f t="shared" si="16"/>
        <v>f59t4</v>
      </c>
      <c r="S146" s="115">
        <v>198</v>
      </c>
      <c r="T146" s="115">
        <v>59</v>
      </c>
      <c r="U146" s="115">
        <v>4</v>
      </c>
      <c r="V146" s="115">
        <v>0</v>
      </c>
      <c r="W146" s="115">
        <v>0</v>
      </c>
      <c r="X146" s="115">
        <v>32.499997999999998</v>
      </c>
      <c r="Y146" s="115">
        <v>0</v>
      </c>
      <c r="Z146" s="112">
        <f t="shared" si="17"/>
        <v>0</v>
      </c>
      <c r="AA146" s="107" t="e">
        <f t="shared" si="18"/>
        <v>#N/A</v>
      </c>
      <c r="AC146" s="105" t="str">
        <f t="shared" si="19"/>
        <v>f36t4</v>
      </c>
      <c r="AD146" s="115">
        <v>16</v>
      </c>
      <c r="AE146" s="115">
        <v>36</v>
      </c>
      <c r="AF146" s="115">
        <v>4</v>
      </c>
      <c r="AG146" s="115">
        <v>0.2</v>
      </c>
    </row>
    <row r="147" spans="1:33" x14ac:dyDescent="0.3">
      <c r="A147" s="105" t="str">
        <f t="shared" si="15"/>
        <v>f16t2</v>
      </c>
      <c r="B147" s="116">
        <v>198</v>
      </c>
      <c r="C147" s="116">
        <v>16</v>
      </c>
      <c r="D147" s="116">
        <v>2</v>
      </c>
      <c r="E147" s="116">
        <v>2</v>
      </c>
      <c r="F147" s="116">
        <v>0.93700000000000006</v>
      </c>
      <c r="G147" s="116">
        <v>4.2526333664672098</v>
      </c>
      <c r="H147" s="117">
        <v>41675.681516203702</v>
      </c>
      <c r="I147" s="118" t="s">
        <v>304</v>
      </c>
      <c r="J147" s="106">
        <f t="shared" si="14"/>
        <v>0</v>
      </c>
      <c r="P147" s="112">
        <f>384/4</f>
        <v>96</v>
      </c>
      <c r="R147" s="105" t="str">
        <f t="shared" si="16"/>
        <v>f60t1</v>
      </c>
      <c r="S147" s="115">
        <v>198</v>
      </c>
      <c r="T147" s="115">
        <v>60</v>
      </c>
      <c r="U147" s="115">
        <v>1</v>
      </c>
      <c r="V147" s="115">
        <v>0</v>
      </c>
      <c r="W147" s="115">
        <v>0</v>
      </c>
      <c r="X147" s="115">
        <v>2.1768999999999997E-2</v>
      </c>
      <c r="Y147" s="115">
        <v>0</v>
      </c>
      <c r="Z147" s="112">
        <f t="shared" si="17"/>
        <v>0</v>
      </c>
      <c r="AA147" s="107" t="e">
        <f t="shared" si="18"/>
        <v>#N/A</v>
      </c>
      <c r="AC147" s="105" t="str">
        <f t="shared" si="19"/>
        <v>f37t1</v>
      </c>
      <c r="AD147" s="115">
        <v>16</v>
      </c>
      <c r="AE147" s="115">
        <v>37</v>
      </c>
      <c r="AF147" s="115">
        <v>1</v>
      </c>
      <c r="AG147" s="115">
        <v>0.3</v>
      </c>
    </row>
    <row r="148" spans="1:33" x14ac:dyDescent="0.3">
      <c r="A148" s="105" t="str">
        <f t="shared" si="15"/>
        <v>f16t3</v>
      </c>
      <c r="B148" s="116">
        <v>198</v>
      </c>
      <c r="C148" s="116">
        <v>16</v>
      </c>
      <c r="D148" s="116">
        <v>2</v>
      </c>
      <c r="E148" s="116">
        <v>3</v>
      </c>
      <c r="F148" s="116">
        <v>0.48199999999999998</v>
      </c>
      <c r="G148" s="116">
        <v>1.71770691578252</v>
      </c>
      <c r="H148" s="117">
        <v>41675.681516203702</v>
      </c>
      <c r="I148" s="118" t="s">
        <v>304</v>
      </c>
      <c r="J148" s="106">
        <f t="shared" si="14"/>
        <v>0</v>
      </c>
      <c r="R148" s="105" t="str">
        <f t="shared" si="16"/>
        <v>f60t3</v>
      </c>
      <c r="S148" s="115">
        <v>198</v>
      </c>
      <c r="T148" s="115">
        <v>60</v>
      </c>
      <c r="U148" s="115">
        <v>3</v>
      </c>
      <c r="V148" s="115">
        <v>0</v>
      </c>
      <c r="W148" s="115">
        <v>0</v>
      </c>
      <c r="X148" s="115">
        <v>43.000005000000002</v>
      </c>
      <c r="Y148" s="115">
        <v>0</v>
      </c>
      <c r="Z148" s="112">
        <f t="shared" si="17"/>
        <v>0</v>
      </c>
      <c r="AA148" s="107" t="e">
        <f t="shared" si="18"/>
        <v>#N/A</v>
      </c>
      <c r="AC148" s="105" t="str">
        <f t="shared" si="19"/>
        <v>f37t2</v>
      </c>
      <c r="AD148" s="115">
        <v>16</v>
      </c>
      <c r="AE148" s="115">
        <v>37</v>
      </c>
      <c r="AF148" s="115">
        <v>2</v>
      </c>
      <c r="AG148" s="115">
        <v>0.3</v>
      </c>
    </row>
    <row r="149" spans="1:33" x14ac:dyDescent="0.3">
      <c r="A149" s="105" t="str">
        <f t="shared" si="15"/>
        <v>f16t2</v>
      </c>
      <c r="B149" s="116">
        <v>198</v>
      </c>
      <c r="C149" s="116">
        <v>16</v>
      </c>
      <c r="D149" s="116">
        <v>3</v>
      </c>
      <c r="E149" s="116">
        <v>2</v>
      </c>
      <c r="F149" s="116">
        <v>0.93700000000000006</v>
      </c>
      <c r="G149" s="116">
        <v>4.2526333664672098</v>
      </c>
      <c r="H149" s="117">
        <v>41675.681516203702</v>
      </c>
      <c r="I149" s="118" t="s">
        <v>304</v>
      </c>
      <c r="J149" s="106">
        <f t="shared" si="14"/>
        <v>0</v>
      </c>
      <c r="R149" s="105" t="str">
        <f t="shared" si="16"/>
        <v>f61t1</v>
      </c>
      <c r="S149" s="115">
        <v>198</v>
      </c>
      <c r="T149" s="115">
        <v>61</v>
      </c>
      <c r="U149" s="115">
        <v>1</v>
      </c>
      <c r="V149" s="115">
        <v>0</v>
      </c>
      <c r="W149" s="115">
        <v>0</v>
      </c>
      <c r="X149" s="115">
        <v>129.276588</v>
      </c>
      <c r="Y149" s="115">
        <v>0</v>
      </c>
      <c r="Z149" s="112">
        <f t="shared" si="17"/>
        <v>0</v>
      </c>
      <c r="AA149" s="107" t="e">
        <f t="shared" si="18"/>
        <v>#N/A</v>
      </c>
      <c r="AC149" s="105" t="str">
        <f t="shared" si="19"/>
        <v>f37t3</v>
      </c>
      <c r="AD149" s="115">
        <v>16</v>
      </c>
      <c r="AE149" s="115">
        <v>37</v>
      </c>
      <c r="AF149" s="115">
        <v>3</v>
      </c>
      <c r="AG149" s="115">
        <v>0.3</v>
      </c>
    </row>
    <row r="150" spans="1:33" x14ac:dyDescent="0.3">
      <c r="A150" s="105" t="str">
        <f t="shared" si="15"/>
        <v>f16t3</v>
      </c>
      <c r="B150" s="116">
        <v>198</v>
      </c>
      <c r="C150" s="116">
        <v>16</v>
      </c>
      <c r="D150" s="116">
        <v>3</v>
      </c>
      <c r="E150" s="116">
        <v>3</v>
      </c>
      <c r="F150" s="116">
        <v>0.48199999999999998</v>
      </c>
      <c r="G150" s="116">
        <v>1.71770691578252</v>
      </c>
      <c r="H150" s="117">
        <v>41675.681516203702</v>
      </c>
      <c r="I150" s="118" t="s">
        <v>304</v>
      </c>
      <c r="J150" s="106">
        <f t="shared" si="14"/>
        <v>0</v>
      </c>
      <c r="R150" s="105" t="str">
        <f t="shared" si="16"/>
        <v>f61t3</v>
      </c>
      <c r="S150" s="115">
        <v>198</v>
      </c>
      <c r="T150" s="115">
        <v>61</v>
      </c>
      <c r="U150" s="115">
        <v>3</v>
      </c>
      <c r="V150" s="115">
        <v>0</v>
      </c>
      <c r="W150" s="115">
        <v>0</v>
      </c>
      <c r="X150" s="115">
        <v>188.99999999999997</v>
      </c>
      <c r="Y150" s="115">
        <v>0</v>
      </c>
      <c r="Z150" s="112">
        <f t="shared" si="17"/>
        <v>0</v>
      </c>
      <c r="AA150" s="107" t="e">
        <f t="shared" si="18"/>
        <v>#N/A</v>
      </c>
      <c r="AC150" s="105" t="str">
        <f t="shared" si="19"/>
        <v>f37t4</v>
      </c>
      <c r="AD150" s="115">
        <v>16</v>
      </c>
      <c r="AE150" s="115">
        <v>37</v>
      </c>
      <c r="AF150" s="115">
        <v>4</v>
      </c>
      <c r="AG150" s="115">
        <v>0.3</v>
      </c>
    </row>
    <row r="151" spans="1:33" x14ac:dyDescent="0.3">
      <c r="A151" s="105" t="str">
        <f t="shared" si="15"/>
        <v>f16t2</v>
      </c>
      <c r="B151" s="116">
        <v>198</v>
      </c>
      <c r="C151" s="116">
        <v>16</v>
      </c>
      <c r="D151" s="116">
        <v>4</v>
      </c>
      <c r="E151" s="116">
        <v>2</v>
      </c>
      <c r="F151" s="116">
        <v>0.93700000000000006</v>
      </c>
      <c r="G151" s="116">
        <v>4.2526333664672098</v>
      </c>
      <c r="H151" s="117">
        <v>41675.681516203702</v>
      </c>
      <c r="I151" s="118" t="s">
        <v>304</v>
      </c>
      <c r="J151" s="106">
        <f t="shared" si="14"/>
        <v>0</v>
      </c>
      <c r="R151" s="105" t="str">
        <f t="shared" si="16"/>
        <v>f61t4</v>
      </c>
      <c r="S151" s="115">
        <v>198</v>
      </c>
      <c r="T151" s="115">
        <v>61</v>
      </c>
      <c r="U151" s="115">
        <v>4</v>
      </c>
      <c r="V151" s="115">
        <v>0</v>
      </c>
      <c r="W151" s="115">
        <v>0</v>
      </c>
      <c r="X151" s="115">
        <v>2.0000010000000001</v>
      </c>
      <c r="Y151" s="115">
        <v>0</v>
      </c>
      <c r="Z151" s="112">
        <f t="shared" si="17"/>
        <v>0</v>
      </c>
      <c r="AA151" s="107" t="e">
        <f t="shared" si="18"/>
        <v>#N/A</v>
      </c>
      <c r="AC151" s="105" t="str">
        <f t="shared" si="19"/>
        <v>f38t1</v>
      </c>
      <c r="AD151" s="115">
        <v>16</v>
      </c>
      <c r="AE151" s="115">
        <v>38</v>
      </c>
      <c r="AF151" s="115">
        <v>1</v>
      </c>
      <c r="AG151" s="115">
        <v>0.3</v>
      </c>
    </row>
    <row r="152" spans="1:33" x14ac:dyDescent="0.3">
      <c r="A152" s="105" t="str">
        <f t="shared" si="15"/>
        <v>f16t3</v>
      </c>
      <c r="B152" s="116">
        <v>198</v>
      </c>
      <c r="C152" s="116">
        <v>16</v>
      </c>
      <c r="D152" s="116">
        <v>4</v>
      </c>
      <c r="E152" s="116">
        <v>3</v>
      </c>
      <c r="F152" s="116">
        <v>0.48199999999999998</v>
      </c>
      <c r="G152" s="116">
        <v>1.71770691578252</v>
      </c>
      <c r="H152" s="117">
        <v>41675.681516203702</v>
      </c>
      <c r="I152" s="118" t="s">
        <v>304</v>
      </c>
      <c r="J152" s="106">
        <f t="shared" si="14"/>
        <v>0</v>
      </c>
      <c r="R152" s="105" t="str">
        <f t="shared" si="16"/>
        <v>f62t1</v>
      </c>
      <c r="S152" s="115">
        <v>198</v>
      </c>
      <c r="T152" s="115">
        <v>62</v>
      </c>
      <c r="U152" s="115">
        <v>1</v>
      </c>
      <c r="V152" s="115">
        <v>0</v>
      </c>
      <c r="W152" s="115">
        <v>0</v>
      </c>
      <c r="X152" s="115">
        <v>0.13927400000000001</v>
      </c>
      <c r="Y152" s="115">
        <v>0</v>
      </c>
      <c r="Z152" s="112">
        <f t="shared" si="17"/>
        <v>0</v>
      </c>
      <c r="AA152" s="107" t="e">
        <f t="shared" si="18"/>
        <v>#N/A</v>
      </c>
      <c r="AC152" s="105" t="str">
        <f t="shared" si="19"/>
        <v>f38t2</v>
      </c>
      <c r="AD152" s="115">
        <v>16</v>
      </c>
      <c r="AE152" s="115">
        <v>38</v>
      </c>
      <c r="AF152" s="115">
        <v>2</v>
      </c>
      <c r="AG152" s="115">
        <v>0.3</v>
      </c>
    </row>
    <row r="153" spans="1:33" x14ac:dyDescent="0.3">
      <c r="A153" s="105" t="str">
        <f t="shared" si="15"/>
        <v>f16t2</v>
      </c>
      <c r="B153" s="116">
        <v>198</v>
      </c>
      <c r="C153" s="116">
        <v>16</v>
      </c>
      <c r="D153" s="116">
        <v>5</v>
      </c>
      <c r="E153" s="116">
        <v>2</v>
      </c>
      <c r="F153" s="116">
        <v>0.93700000000000006</v>
      </c>
      <c r="G153" s="116">
        <v>4.2526333664672098</v>
      </c>
      <c r="H153" s="117">
        <v>41675.681516203702</v>
      </c>
      <c r="I153" s="118" t="s">
        <v>304</v>
      </c>
      <c r="J153" s="106">
        <f t="shared" si="14"/>
        <v>0</v>
      </c>
      <c r="R153" s="105" t="str">
        <f t="shared" si="16"/>
        <v>f62t3</v>
      </c>
      <c r="S153" s="115">
        <v>198</v>
      </c>
      <c r="T153" s="115">
        <v>62</v>
      </c>
      <c r="U153" s="115">
        <v>3</v>
      </c>
      <c r="V153" s="115">
        <v>1879.657665</v>
      </c>
      <c r="W153" s="115">
        <v>0</v>
      </c>
      <c r="X153" s="115">
        <v>0</v>
      </c>
      <c r="Y153" s="115">
        <v>0</v>
      </c>
      <c r="Z153" s="112">
        <f t="shared" si="17"/>
        <v>0</v>
      </c>
      <c r="AA153" s="107" t="e">
        <f t="shared" si="18"/>
        <v>#N/A</v>
      </c>
      <c r="AC153" s="105" t="str">
        <f t="shared" si="19"/>
        <v>f38t3</v>
      </c>
      <c r="AD153" s="115">
        <v>16</v>
      </c>
      <c r="AE153" s="115">
        <v>38</v>
      </c>
      <c r="AF153" s="115">
        <v>3</v>
      </c>
      <c r="AG153" s="115">
        <v>0.3</v>
      </c>
    </row>
    <row r="154" spans="1:33" x14ac:dyDescent="0.3">
      <c r="A154" s="105" t="str">
        <f t="shared" si="15"/>
        <v>f16t3</v>
      </c>
      <c r="B154" s="116">
        <v>198</v>
      </c>
      <c r="C154" s="116">
        <v>16</v>
      </c>
      <c r="D154" s="116">
        <v>5</v>
      </c>
      <c r="E154" s="116">
        <v>3</v>
      </c>
      <c r="F154" s="116">
        <v>0.48199999999999998</v>
      </c>
      <c r="G154" s="116">
        <v>1.71770691578252</v>
      </c>
      <c r="H154" s="117">
        <v>41675.681516203702</v>
      </c>
      <c r="I154" s="118" t="s">
        <v>304</v>
      </c>
      <c r="J154" s="106">
        <f t="shared" si="14"/>
        <v>0</v>
      </c>
      <c r="R154" s="105" t="str">
        <f t="shared" si="16"/>
        <v>f63t1</v>
      </c>
      <c r="S154" s="115">
        <v>198</v>
      </c>
      <c r="T154" s="115">
        <v>63</v>
      </c>
      <c r="U154" s="115">
        <v>1</v>
      </c>
      <c r="V154" s="115">
        <v>0</v>
      </c>
      <c r="W154" s="115">
        <v>0</v>
      </c>
      <c r="X154" s="115">
        <v>32.194330000000001</v>
      </c>
      <c r="Y154" s="115">
        <v>0</v>
      </c>
      <c r="Z154" s="112">
        <f t="shared" si="17"/>
        <v>0</v>
      </c>
      <c r="AA154" s="107" t="e">
        <f t="shared" si="18"/>
        <v>#N/A</v>
      </c>
      <c r="AC154" s="105" t="str">
        <f t="shared" si="19"/>
        <v>f38t4</v>
      </c>
      <c r="AD154" s="115">
        <v>16</v>
      </c>
      <c r="AE154" s="115">
        <v>38</v>
      </c>
      <c r="AF154" s="115">
        <v>4</v>
      </c>
      <c r="AG154" s="115">
        <v>0.3</v>
      </c>
    </row>
    <row r="155" spans="1:33" x14ac:dyDescent="0.3">
      <c r="A155" s="105" t="str">
        <f t="shared" si="15"/>
        <v>f17t1</v>
      </c>
      <c r="B155" s="116">
        <v>198</v>
      </c>
      <c r="C155" s="116">
        <v>17</v>
      </c>
      <c r="D155" s="116">
        <v>2</v>
      </c>
      <c r="E155" s="116">
        <v>1</v>
      </c>
      <c r="F155" s="116">
        <v>0.93700000000000006</v>
      </c>
      <c r="G155" s="116">
        <v>0.88957977252930998</v>
      </c>
      <c r="H155" s="117">
        <v>41675.681516203702</v>
      </c>
      <c r="I155" s="118" t="s">
        <v>304</v>
      </c>
      <c r="J155" s="106">
        <f t="shared" si="14"/>
        <v>0</v>
      </c>
      <c r="R155" s="105" t="str">
        <f t="shared" si="16"/>
        <v>f63t3</v>
      </c>
      <c r="S155" s="115">
        <v>198</v>
      </c>
      <c r="T155" s="115">
        <v>63</v>
      </c>
      <c r="U155" s="115">
        <v>3</v>
      </c>
      <c r="V155" s="115">
        <v>0</v>
      </c>
      <c r="W155" s="115">
        <v>0</v>
      </c>
      <c r="X155" s="115">
        <v>3843.1383889999997</v>
      </c>
      <c r="Y155" s="115">
        <v>0</v>
      </c>
      <c r="Z155" s="112">
        <f t="shared" si="17"/>
        <v>0</v>
      </c>
      <c r="AA155" s="107" t="e">
        <f t="shared" si="18"/>
        <v>#N/A</v>
      </c>
      <c r="AC155" s="105" t="str">
        <f t="shared" si="19"/>
        <v>f39t1</v>
      </c>
      <c r="AD155" s="115">
        <v>16</v>
      </c>
      <c r="AE155" s="115">
        <v>39</v>
      </c>
      <c r="AF155" s="115">
        <v>1</v>
      </c>
      <c r="AG155" s="115">
        <v>0.3</v>
      </c>
    </row>
    <row r="156" spans="1:33" x14ac:dyDescent="0.3">
      <c r="A156" s="105" t="str">
        <f t="shared" si="15"/>
        <v>f17t2</v>
      </c>
      <c r="B156" s="116">
        <v>198</v>
      </c>
      <c r="C156" s="116">
        <v>17</v>
      </c>
      <c r="D156" s="116">
        <v>2</v>
      </c>
      <c r="E156" s="116">
        <v>2</v>
      </c>
      <c r="F156" s="116">
        <v>0.93700000000000006</v>
      </c>
      <c r="G156" s="116">
        <v>3.3021037113002798</v>
      </c>
      <c r="H156" s="117">
        <v>41675.681516203702</v>
      </c>
      <c r="I156" s="118" t="s">
        <v>304</v>
      </c>
      <c r="J156" s="106">
        <f t="shared" si="14"/>
        <v>0</v>
      </c>
      <c r="R156" s="105" t="str">
        <f t="shared" si="16"/>
        <v>f64t1</v>
      </c>
      <c r="S156" s="115">
        <v>198</v>
      </c>
      <c r="T156" s="115">
        <v>64</v>
      </c>
      <c r="U156" s="115">
        <v>1</v>
      </c>
      <c r="V156" s="115">
        <v>519.06744900000001</v>
      </c>
      <c r="W156" s="115">
        <v>343.93408799999997</v>
      </c>
      <c r="X156" s="115">
        <v>896.42948200000001</v>
      </c>
      <c r="Y156" s="115">
        <v>593.97417799999982</v>
      </c>
      <c r="Z156" s="112">
        <f t="shared" si="17"/>
        <v>3.3129999983023621</v>
      </c>
      <c r="AA156" s="107">
        <f>Z156-VLOOKUP(R156,L$3:P$100,5,FALSE)</f>
        <v>-1.6976380301514382E-9</v>
      </c>
      <c r="AC156" s="105" t="str">
        <f t="shared" si="19"/>
        <v>f39t2</v>
      </c>
      <c r="AD156" s="115">
        <v>16</v>
      </c>
      <c r="AE156" s="115">
        <v>39</v>
      </c>
      <c r="AF156" s="115">
        <v>2</v>
      </c>
      <c r="AG156" s="115">
        <v>0.3</v>
      </c>
    </row>
    <row r="157" spans="1:33" x14ac:dyDescent="0.3">
      <c r="A157" s="105" t="str">
        <f t="shared" si="15"/>
        <v>f17t3</v>
      </c>
      <c r="B157" s="116">
        <v>198</v>
      </c>
      <c r="C157" s="116">
        <v>17</v>
      </c>
      <c r="D157" s="116">
        <v>2</v>
      </c>
      <c r="E157" s="116">
        <v>3</v>
      </c>
      <c r="F157" s="116">
        <v>0.48199999999999998</v>
      </c>
      <c r="G157" s="116">
        <v>1.49701809593125</v>
      </c>
      <c r="H157" s="117">
        <v>41675.681516203702</v>
      </c>
      <c r="I157" s="118" t="s">
        <v>304</v>
      </c>
      <c r="J157" s="106">
        <f t="shared" si="14"/>
        <v>0</v>
      </c>
      <c r="R157" s="105" t="str">
        <f t="shared" si="16"/>
        <v>f64t3</v>
      </c>
      <c r="S157" s="115">
        <v>198</v>
      </c>
      <c r="T157" s="115">
        <v>64</v>
      </c>
      <c r="U157" s="115">
        <v>3</v>
      </c>
      <c r="V157" s="115">
        <v>628.98384900000008</v>
      </c>
      <c r="W157" s="115">
        <v>213.35132199999995</v>
      </c>
      <c r="X157" s="115">
        <v>0</v>
      </c>
      <c r="Y157" s="115">
        <v>0</v>
      </c>
      <c r="Z157" s="112">
        <f t="shared" si="17"/>
        <v>1.6960000033323583</v>
      </c>
      <c r="AA157" s="107">
        <f t="shared" si="18"/>
        <v>3.3323583892297393E-9</v>
      </c>
      <c r="AC157" s="105" t="str">
        <f t="shared" si="19"/>
        <v>f39t3</v>
      </c>
      <c r="AD157" s="115">
        <v>16</v>
      </c>
      <c r="AE157" s="115">
        <v>39</v>
      </c>
      <c r="AF157" s="115">
        <v>3</v>
      </c>
      <c r="AG157" s="115">
        <v>0.3</v>
      </c>
    </row>
    <row r="158" spans="1:33" x14ac:dyDescent="0.3">
      <c r="A158" s="105" t="str">
        <f t="shared" si="15"/>
        <v>f17t4</v>
      </c>
      <c r="B158" s="116">
        <v>198</v>
      </c>
      <c r="C158" s="116">
        <v>17</v>
      </c>
      <c r="D158" s="116">
        <v>2</v>
      </c>
      <c r="E158" s="116">
        <v>4</v>
      </c>
      <c r="F158" s="116">
        <v>0.93700000000000006</v>
      </c>
      <c r="G158" s="116">
        <v>1.60600196495324</v>
      </c>
      <c r="H158" s="117">
        <v>41675.681516203702</v>
      </c>
      <c r="I158" s="118" t="s">
        <v>304</v>
      </c>
      <c r="J158" s="106">
        <f t="shared" si="14"/>
        <v>0</v>
      </c>
      <c r="R158" s="105" t="str">
        <f t="shared" si="16"/>
        <v>f64t4</v>
      </c>
      <c r="S158" s="115">
        <v>198</v>
      </c>
      <c r="T158" s="115">
        <v>64</v>
      </c>
      <c r="U158" s="115">
        <v>4</v>
      </c>
      <c r="V158" s="115">
        <v>1460.5976499999997</v>
      </c>
      <c r="W158" s="115">
        <v>967.79200500000002</v>
      </c>
      <c r="X158" s="115">
        <v>0</v>
      </c>
      <c r="Y158" s="115">
        <v>0</v>
      </c>
      <c r="Z158" s="112">
        <f t="shared" si="17"/>
        <v>3.3130000072230708</v>
      </c>
      <c r="AA158" s="107">
        <f t="shared" si="18"/>
        <v>7.2230705860931721E-9</v>
      </c>
      <c r="AC158" s="105" t="str">
        <f t="shared" si="19"/>
        <v>f39t4</v>
      </c>
      <c r="AD158" s="115">
        <v>16</v>
      </c>
      <c r="AE158" s="115">
        <v>39</v>
      </c>
      <c r="AF158" s="115">
        <v>4</v>
      </c>
      <c r="AG158" s="115">
        <v>0.3</v>
      </c>
    </row>
    <row r="159" spans="1:33" x14ac:dyDescent="0.3">
      <c r="A159" s="105" t="str">
        <f t="shared" si="15"/>
        <v>f17t1</v>
      </c>
      <c r="B159" s="116">
        <v>198</v>
      </c>
      <c r="C159" s="116">
        <v>17</v>
      </c>
      <c r="D159" s="116">
        <v>3</v>
      </c>
      <c r="E159" s="116">
        <v>1</v>
      </c>
      <c r="F159" s="116">
        <v>0.93700000000000006</v>
      </c>
      <c r="G159" s="116">
        <v>0.88957977252930998</v>
      </c>
      <c r="H159" s="117">
        <v>41675.681516203702</v>
      </c>
      <c r="I159" s="118" t="s">
        <v>304</v>
      </c>
      <c r="J159" s="106">
        <f t="shared" si="14"/>
        <v>0</v>
      </c>
      <c r="R159" s="105" t="str">
        <f t="shared" si="16"/>
        <v>f65t1</v>
      </c>
      <c r="S159" s="115">
        <v>198</v>
      </c>
      <c r="T159" s="115">
        <v>65</v>
      </c>
      <c r="U159" s="115">
        <v>1</v>
      </c>
      <c r="V159" s="115">
        <v>0</v>
      </c>
      <c r="W159" s="115">
        <v>0</v>
      </c>
      <c r="X159" s="115">
        <v>250.53723599999998</v>
      </c>
      <c r="Y159" s="115">
        <v>0</v>
      </c>
      <c r="Z159" s="112">
        <f t="shared" si="17"/>
        <v>0</v>
      </c>
      <c r="AA159" s="107" t="e">
        <f t="shared" si="18"/>
        <v>#N/A</v>
      </c>
      <c r="AC159" s="105" t="str">
        <f t="shared" si="19"/>
        <v>f40t1</v>
      </c>
      <c r="AD159" s="115">
        <v>16</v>
      </c>
      <c r="AE159" s="115">
        <v>40</v>
      </c>
      <c r="AF159" s="115">
        <v>1</v>
      </c>
      <c r="AG159" s="115">
        <v>0.3</v>
      </c>
    </row>
    <row r="160" spans="1:33" x14ac:dyDescent="0.3">
      <c r="A160" s="105" t="str">
        <f t="shared" si="15"/>
        <v>f17t2</v>
      </c>
      <c r="B160" s="116">
        <v>198</v>
      </c>
      <c r="C160" s="116">
        <v>17</v>
      </c>
      <c r="D160" s="116">
        <v>3</v>
      </c>
      <c r="E160" s="116">
        <v>2</v>
      </c>
      <c r="F160" s="116">
        <v>0.93700000000000006</v>
      </c>
      <c r="G160" s="116">
        <v>3.3021037113002798</v>
      </c>
      <c r="H160" s="117">
        <v>41675.681516203702</v>
      </c>
      <c r="I160" s="118" t="s">
        <v>304</v>
      </c>
      <c r="J160" s="106">
        <f t="shared" si="14"/>
        <v>0</v>
      </c>
      <c r="R160" s="105" t="str">
        <f t="shared" si="16"/>
        <v>f65t3</v>
      </c>
      <c r="S160" s="115">
        <v>198</v>
      </c>
      <c r="T160" s="115">
        <v>65</v>
      </c>
      <c r="U160" s="115">
        <v>3</v>
      </c>
      <c r="V160" s="115">
        <v>0</v>
      </c>
      <c r="W160" s="115">
        <v>0</v>
      </c>
      <c r="X160" s="115">
        <v>4.0000029999999995</v>
      </c>
      <c r="Y160" s="115">
        <v>0</v>
      </c>
      <c r="Z160" s="112">
        <f t="shared" si="17"/>
        <v>0</v>
      </c>
      <c r="AA160" s="107" t="e">
        <f t="shared" si="18"/>
        <v>#N/A</v>
      </c>
      <c r="AC160" s="105" t="str">
        <f t="shared" si="19"/>
        <v>f40t2</v>
      </c>
      <c r="AD160" s="115">
        <v>16</v>
      </c>
      <c r="AE160" s="115">
        <v>40</v>
      </c>
      <c r="AF160" s="115">
        <v>2</v>
      </c>
      <c r="AG160" s="115">
        <v>0.3</v>
      </c>
    </row>
    <row r="161" spans="1:33" x14ac:dyDescent="0.3">
      <c r="A161" s="105" t="str">
        <f t="shared" si="15"/>
        <v>f17t3</v>
      </c>
      <c r="B161" s="116">
        <v>198</v>
      </c>
      <c r="C161" s="116">
        <v>17</v>
      </c>
      <c r="D161" s="116">
        <v>3</v>
      </c>
      <c r="E161" s="116">
        <v>3</v>
      </c>
      <c r="F161" s="116">
        <v>0.48199999999999998</v>
      </c>
      <c r="G161" s="116">
        <v>1.49701809593125</v>
      </c>
      <c r="H161" s="117">
        <v>41675.681516203702</v>
      </c>
      <c r="I161" s="118" t="s">
        <v>304</v>
      </c>
      <c r="J161" s="106">
        <f t="shared" si="14"/>
        <v>0</v>
      </c>
      <c r="R161" s="105" t="str">
        <f t="shared" si="16"/>
        <v>f65t4</v>
      </c>
      <c r="S161" s="115">
        <v>198</v>
      </c>
      <c r="T161" s="115">
        <v>65</v>
      </c>
      <c r="U161" s="115">
        <v>4</v>
      </c>
      <c r="V161" s="115">
        <v>0</v>
      </c>
      <c r="W161" s="115">
        <v>0</v>
      </c>
      <c r="X161" s="115">
        <v>39.999997</v>
      </c>
      <c r="Y161" s="115">
        <v>0</v>
      </c>
      <c r="Z161" s="112">
        <f t="shared" si="17"/>
        <v>0</v>
      </c>
      <c r="AA161" s="107" t="e">
        <f t="shared" si="18"/>
        <v>#N/A</v>
      </c>
      <c r="AC161" s="105" t="str">
        <f t="shared" si="19"/>
        <v>f40t3</v>
      </c>
      <c r="AD161" s="115">
        <v>16</v>
      </c>
      <c r="AE161" s="115">
        <v>40</v>
      </c>
      <c r="AF161" s="115">
        <v>3</v>
      </c>
      <c r="AG161" s="115">
        <v>0.3</v>
      </c>
    </row>
    <row r="162" spans="1:33" x14ac:dyDescent="0.3">
      <c r="A162" s="105" t="str">
        <f t="shared" si="15"/>
        <v>f17t4</v>
      </c>
      <c r="B162" s="116">
        <v>198</v>
      </c>
      <c r="C162" s="116">
        <v>17</v>
      </c>
      <c r="D162" s="116">
        <v>3</v>
      </c>
      <c r="E162" s="116">
        <v>4</v>
      </c>
      <c r="F162" s="116">
        <v>0.93700000000000006</v>
      </c>
      <c r="G162" s="116">
        <v>1.60600196495324</v>
      </c>
      <c r="H162" s="117">
        <v>41675.681516203702</v>
      </c>
      <c r="I162" s="118" t="s">
        <v>304</v>
      </c>
      <c r="J162" s="106">
        <f t="shared" si="14"/>
        <v>0</v>
      </c>
      <c r="R162" s="105" t="str">
        <f t="shared" si="16"/>
        <v>f66t1</v>
      </c>
      <c r="S162" s="115">
        <v>198</v>
      </c>
      <c r="T162" s="115">
        <v>66</v>
      </c>
      <c r="U162" s="115">
        <v>1</v>
      </c>
      <c r="V162" s="115">
        <v>0</v>
      </c>
      <c r="W162" s="115">
        <v>0</v>
      </c>
      <c r="X162" s="115">
        <v>990.42699700000014</v>
      </c>
      <c r="Y162" s="115">
        <v>0</v>
      </c>
      <c r="Z162" s="112">
        <f t="shared" si="17"/>
        <v>0</v>
      </c>
      <c r="AA162" s="107" t="e">
        <f t="shared" si="18"/>
        <v>#N/A</v>
      </c>
      <c r="AC162" s="105" t="str">
        <f t="shared" si="19"/>
        <v>f40t4</v>
      </c>
      <c r="AD162" s="115">
        <v>16</v>
      </c>
      <c r="AE162" s="115">
        <v>40</v>
      </c>
      <c r="AF162" s="115">
        <v>4</v>
      </c>
      <c r="AG162" s="115">
        <v>0.3</v>
      </c>
    </row>
    <row r="163" spans="1:33" x14ac:dyDescent="0.3">
      <c r="A163" s="105" t="str">
        <f t="shared" si="15"/>
        <v>f17t1</v>
      </c>
      <c r="B163" s="116">
        <v>198</v>
      </c>
      <c r="C163" s="116">
        <v>17</v>
      </c>
      <c r="D163" s="116">
        <v>4</v>
      </c>
      <c r="E163" s="116">
        <v>1</v>
      </c>
      <c r="F163" s="116">
        <v>0.93700000000000006</v>
      </c>
      <c r="G163" s="116">
        <v>0.88957977252930998</v>
      </c>
      <c r="H163" s="117">
        <v>41675.681516203702</v>
      </c>
      <c r="I163" s="118" t="s">
        <v>304</v>
      </c>
      <c r="J163" s="106">
        <f t="shared" si="14"/>
        <v>0</v>
      </c>
      <c r="R163" s="105" t="str">
        <f t="shared" si="16"/>
        <v>f66t3</v>
      </c>
      <c r="S163" s="115">
        <v>198</v>
      </c>
      <c r="T163" s="115">
        <v>66</v>
      </c>
      <c r="U163" s="115">
        <v>3</v>
      </c>
      <c r="V163" s="115">
        <v>0</v>
      </c>
      <c r="W163" s="115">
        <v>0</v>
      </c>
      <c r="X163" s="115">
        <v>4140.6805079999995</v>
      </c>
      <c r="Y163" s="115">
        <v>0</v>
      </c>
      <c r="Z163" s="112">
        <f t="shared" si="17"/>
        <v>0</v>
      </c>
      <c r="AA163" s="107" t="e">
        <f t="shared" si="18"/>
        <v>#N/A</v>
      </c>
      <c r="AC163" s="105" t="str">
        <f t="shared" si="19"/>
        <v>f41t1</v>
      </c>
      <c r="AD163" s="115">
        <v>16</v>
      </c>
      <c r="AE163" s="115">
        <v>41</v>
      </c>
      <c r="AF163" s="115">
        <v>1</v>
      </c>
      <c r="AG163" s="115">
        <v>0.255</v>
      </c>
    </row>
    <row r="164" spans="1:33" x14ac:dyDescent="0.3">
      <c r="A164" s="105" t="str">
        <f t="shared" si="15"/>
        <v>f17t2</v>
      </c>
      <c r="B164" s="116">
        <v>198</v>
      </c>
      <c r="C164" s="116">
        <v>17</v>
      </c>
      <c r="D164" s="116">
        <v>4</v>
      </c>
      <c r="E164" s="116">
        <v>2</v>
      </c>
      <c r="F164" s="116">
        <v>0.93700000000000006</v>
      </c>
      <c r="G164" s="116">
        <v>3.3021037113002798</v>
      </c>
      <c r="H164" s="117">
        <v>41675.681516203702</v>
      </c>
      <c r="I164" s="118" t="s">
        <v>304</v>
      </c>
      <c r="J164" s="106">
        <f t="shared" si="14"/>
        <v>0</v>
      </c>
      <c r="R164" s="105" t="str">
        <f t="shared" si="16"/>
        <v>f66t4</v>
      </c>
      <c r="S164" s="115">
        <v>198</v>
      </c>
      <c r="T164" s="115">
        <v>66</v>
      </c>
      <c r="U164" s="115">
        <v>4</v>
      </c>
      <c r="V164" s="115">
        <v>0</v>
      </c>
      <c r="W164" s="115">
        <v>0</v>
      </c>
      <c r="X164" s="115">
        <v>17.657499999999999</v>
      </c>
      <c r="Y164" s="115">
        <v>0</v>
      </c>
      <c r="Z164" s="112">
        <f t="shared" si="17"/>
        <v>0</v>
      </c>
      <c r="AA164" s="107" t="e">
        <f t="shared" si="18"/>
        <v>#N/A</v>
      </c>
      <c r="AC164" s="105" t="str">
        <f t="shared" si="19"/>
        <v>f41t2</v>
      </c>
      <c r="AD164" s="115">
        <v>16</v>
      </c>
      <c r="AE164" s="115">
        <v>41</v>
      </c>
      <c r="AF164" s="115">
        <v>2</v>
      </c>
      <c r="AG164" s="115">
        <v>0.255</v>
      </c>
    </row>
    <row r="165" spans="1:33" x14ac:dyDescent="0.3">
      <c r="A165" s="105" t="str">
        <f t="shared" si="15"/>
        <v>f17t3</v>
      </c>
      <c r="B165" s="116">
        <v>198</v>
      </c>
      <c r="C165" s="116">
        <v>17</v>
      </c>
      <c r="D165" s="116">
        <v>4</v>
      </c>
      <c r="E165" s="116">
        <v>3</v>
      </c>
      <c r="F165" s="116">
        <v>0.48199999999999998</v>
      </c>
      <c r="G165" s="116">
        <v>1.49701809593125</v>
      </c>
      <c r="H165" s="117">
        <v>41675.681516203702</v>
      </c>
      <c r="I165" s="118" t="s">
        <v>304</v>
      </c>
      <c r="J165" s="106">
        <f t="shared" ref="J165:J228" si="20">F165-VLOOKUP(A165,L$3:P$100,5,FALSE)</f>
        <v>0</v>
      </c>
      <c r="R165" s="105" t="str">
        <f t="shared" si="16"/>
        <v>f67t1</v>
      </c>
      <c r="S165" s="115">
        <v>198</v>
      </c>
      <c r="T165" s="115">
        <v>67</v>
      </c>
      <c r="U165" s="115">
        <v>1</v>
      </c>
      <c r="V165" s="115">
        <v>0</v>
      </c>
      <c r="W165" s="115">
        <v>0</v>
      </c>
      <c r="X165" s="115">
        <v>177.99876899999998</v>
      </c>
      <c r="Y165" s="115">
        <v>298.78873299999987</v>
      </c>
      <c r="Z165" s="112">
        <f t="shared" si="17"/>
        <v>8.3929999819268382</v>
      </c>
      <c r="AA165" s="107">
        <f t="shared" si="18"/>
        <v>-1.8073162522114217E-8</v>
      </c>
      <c r="AC165" s="105" t="str">
        <f t="shared" si="19"/>
        <v>f41t3</v>
      </c>
      <c r="AD165" s="115">
        <v>16</v>
      </c>
      <c r="AE165" s="115">
        <v>41</v>
      </c>
      <c r="AF165" s="115">
        <v>3</v>
      </c>
      <c r="AG165" s="115">
        <v>0.255</v>
      </c>
    </row>
    <row r="166" spans="1:33" x14ac:dyDescent="0.3">
      <c r="A166" s="105" t="str">
        <f t="shared" si="15"/>
        <v>f17t4</v>
      </c>
      <c r="B166" s="116">
        <v>198</v>
      </c>
      <c r="C166" s="116">
        <v>17</v>
      </c>
      <c r="D166" s="116">
        <v>4</v>
      </c>
      <c r="E166" s="116">
        <v>4</v>
      </c>
      <c r="F166" s="116">
        <v>0.93700000000000006</v>
      </c>
      <c r="G166" s="116">
        <v>1.60600196495324</v>
      </c>
      <c r="H166" s="117">
        <v>41675.681516203702</v>
      </c>
      <c r="I166" s="118" t="s">
        <v>304</v>
      </c>
      <c r="J166" s="106">
        <f t="shared" si="20"/>
        <v>0</v>
      </c>
      <c r="R166" s="105" t="str">
        <f t="shared" si="16"/>
        <v>f67t2</v>
      </c>
      <c r="S166" s="115">
        <v>198</v>
      </c>
      <c r="T166" s="115">
        <v>67</v>
      </c>
      <c r="U166" s="115">
        <v>2</v>
      </c>
      <c r="V166" s="115">
        <v>305.42790099999991</v>
      </c>
      <c r="W166" s="115">
        <v>160.97205299999999</v>
      </c>
      <c r="X166" s="115">
        <v>0</v>
      </c>
      <c r="Y166" s="115">
        <v>0</v>
      </c>
      <c r="Z166" s="112">
        <f t="shared" si="17"/>
        <v>2.6351890654547638</v>
      </c>
      <c r="AA166" s="107" t="e">
        <f t="shared" si="18"/>
        <v>#N/A</v>
      </c>
      <c r="AC166" s="105" t="str">
        <f t="shared" si="19"/>
        <v>f41t4</v>
      </c>
      <c r="AD166" s="115">
        <v>16</v>
      </c>
      <c r="AE166" s="115">
        <v>41</v>
      </c>
      <c r="AF166" s="115">
        <v>4</v>
      </c>
      <c r="AG166" s="115">
        <v>0.255</v>
      </c>
    </row>
    <row r="167" spans="1:33" x14ac:dyDescent="0.3">
      <c r="A167" s="105" t="str">
        <f t="shared" si="15"/>
        <v>f17t1</v>
      </c>
      <c r="B167" s="116">
        <v>198</v>
      </c>
      <c r="C167" s="116">
        <v>17</v>
      </c>
      <c r="D167" s="116">
        <v>5</v>
      </c>
      <c r="E167" s="116">
        <v>1</v>
      </c>
      <c r="F167" s="116">
        <v>0.93700000000000006</v>
      </c>
      <c r="G167" s="116">
        <v>0.88957977252930998</v>
      </c>
      <c r="H167" s="117">
        <v>41675.681516203702</v>
      </c>
      <c r="I167" s="118" t="s">
        <v>304</v>
      </c>
      <c r="J167" s="106">
        <f t="shared" si="20"/>
        <v>0</v>
      </c>
      <c r="R167" s="105" t="str">
        <f t="shared" si="16"/>
        <v>f67t3</v>
      </c>
      <c r="S167" s="115">
        <v>198</v>
      </c>
      <c r="T167" s="115">
        <v>67</v>
      </c>
      <c r="U167" s="115">
        <v>3</v>
      </c>
      <c r="V167" s="115">
        <v>1408.4659579999998</v>
      </c>
      <c r="W167" s="115">
        <v>415.21575999999993</v>
      </c>
      <c r="X167" s="115">
        <v>0</v>
      </c>
      <c r="Y167" s="115">
        <v>0</v>
      </c>
      <c r="Z167" s="112">
        <f t="shared" si="17"/>
        <v>1.4739999843148497</v>
      </c>
      <c r="AA167" s="107">
        <f t="shared" si="18"/>
        <v>-1.5685150289712624E-8</v>
      </c>
      <c r="AC167" s="105" t="str">
        <f t="shared" si="19"/>
        <v>f42t1</v>
      </c>
      <c r="AD167" s="115">
        <v>16</v>
      </c>
      <c r="AE167" s="115">
        <v>42</v>
      </c>
      <c r="AF167" s="115">
        <v>1</v>
      </c>
      <c r="AG167" s="115">
        <v>0.2</v>
      </c>
    </row>
    <row r="168" spans="1:33" x14ac:dyDescent="0.3">
      <c r="A168" s="105" t="str">
        <f t="shared" si="15"/>
        <v>f17t2</v>
      </c>
      <c r="B168" s="116">
        <v>198</v>
      </c>
      <c r="C168" s="116">
        <v>17</v>
      </c>
      <c r="D168" s="116">
        <v>5</v>
      </c>
      <c r="E168" s="116">
        <v>2</v>
      </c>
      <c r="F168" s="116">
        <v>0.93700000000000006</v>
      </c>
      <c r="G168" s="116">
        <v>3.3021037113002798</v>
      </c>
      <c r="H168" s="117">
        <v>41675.681516203702</v>
      </c>
      <c r="I168" s="118" t="s">
        <v>304</v>
      </c>
      <c r="J168" s="106">
        <f t="shared" si="20"/>
        <v>0</v>
      </c>
      <c r="R168" s="105" t="str">
        <f t="shared" si="16"/>
        <v>f67t4</v>
      </c>
      <c r="S168" s="115">
        <v>198</v>
      </c>
      <c r="T168" s="115">
        <v>67</v>
      </c>
      <c r="U168" s="115">
        <v>4</v>
      </c>
      <c r="V168" s="115">
        <v>0</v>
      </c>
      <c r="W168" s="115">
        <v>0</v>
      </c>
      <c r="X168" s="115">
        <v>205.30292499999999</v>
      </c>
      <c r="Y168" s="115">
        <v>344.62148300000013</v>
      </c>
      <c r="Z168" s="112">
        <f t="shared" si="17"/>
        <v>8.3929998318338654</v>
      </c>
      <c r="AA168" s="107">
        <f t="shared" si="18"/>
        <v>-1.6816613523928936E-7</v>
      </c>
      <c r="AC168" s="105" t="str">
        <f t="shared" si="19"/>
        <v>f42t2</v>
      </c>
      <c r="AD168" s="115">
        <v>16</v>
      </c>
      <c r="AE168" s="115">
        <v>42</v>
      </c>
      <c r="AF168" s="115">
        <v>2</v>
      </c>
      <c r="AG168" s="115">
        <v>0.2</v>
      </c>
    </row>
    <row r="169" spans="1:33" x14ac:dyDescent="0.3">
      <c r="A169" s="105" t="str">
        <f t="shared" si="15"/>
        <v>f17t3</v>
      </c>
      <c r="B169" s="116">
        <v>198</v>
      </c>
      <c r="C169" s="116">
        <v>17</v>
      </c>
      <c r="D169" s="116">
        <v>5</v>
      </c>
      <c r="E169" s="116">
        <v>3</v>
      </c>
      <c r="F169" s="116">
        <v>0.48199999999999998</v>
      </c>
      <c r="G169" s="116">
        <v>1.49701809593125</v>
      </c>
      <c r="H169" s="117">
        <v>41675.681516203702</v>
      </c>
      <c r="I169" s="118" t="s">
        <v>304</v>
      </c>
      <c r="J169" s="106">
        <f t="shared" si="20"/>
        <v>0</v>
      </c>
      <c r="R169" s="105" t="str">
        <f t="shared" si="16"/>
        <v>f68t1</v>
      </c>
      <c r="S169" s="115">
        <v>198</v>
      </c>
      <c r="T169" s="115">
        <v>68</v>
      </c>
      <c r="U169" s="115">
        <v>1</v>
      </c>
      <c r="V169" s="115">
        <v>0</v>
      </c>
      <c r="W169" s="115">
        <v>0</v>
      </c>
      <c r="X169" s="115">
        <v>0.14279600000000001</v>
      </c>
      <c r="Y169" s="115">
        <v>0</v>
      </c>
      <c r="Z169" s="112">
        <f t="shared" si="17"/>
        <v>0</v>
      </c>
      <c r="AA169" s="107" t="e">
        <f t="shared" si="18"/>
        <v>#N/A</v>
      </c>
      <c r="AC169" s="105" t="str">
        <f t="shared" si="19"/>
        <v>f42t3</v>
      </c>
      <c r="AD169" s="115">
        <v>16</v>
      </c>
      <c r="AE169" s="115">
        <v>42</v>
      </c>
      <c r="AF169" s="115">
        <v>3</v>
      </c>
      <c r="AG169" s="115">
        <v>0.2</v>
      </c>
    </row>
    <row r="170" spans="1:33" x14ac:dyDescent="0.3">
      <c r="A170" s="105" t="str">
        <f t="shared" si="15"/>
        <v>f17t4</v>
      </c>
      <c r="B170" s="116">
        <v>198</v>
      </c>
      <c r="C170" s="116">
        <v>17</v>
      </c>
      <c r="D170" s="116">
        <v>5</v>
      </c>
      <c r="E170" s="116">
        <v>4</v>
      </c>
      <c r="F170" s="116">
        <v>0.93700000000000006</v>
      </c>
      <c r="G170" s="116">
        <v>1.60600196495324</v>
      </c>
      <c r="H170" s="117">
        <v>41675.681516203702</v>
      </c>
      <c r="I170" s="118" t="s">
        <v>304</v>
      </c>
      <c r="J170" s="106">
        <f t="shared" si="20"/>
        <v>0</v>
      </c>
      <c r="R170" s="105" t="str">
        <f t="shared" si="16"/>
        <v>f69t1</v>
      </c>
      <c r="S170" s="115">
        <v>198</v>
      </c>
      <c r="T170" s="115">
        <v>69</v>
      </c>
      <c r="U170" s="115">
        <v>1</v>
      </c>
      <c r="V170" s="115">
        <v>0</v>
      </c>
      <c r="W170" s="115">
        <v>0</v>
      </c>
      <c r="X170" s="115">
        <v>671.55457100000001</v>
      </c>
      <c r="Y170" s="115">
        <v>0</v>
      </c>
      <c r="Z170" s="112">
        <f t="shared" si="17"/>
        <v>0</v>
      </c>
      <c r="AA170" s="107" t="e">
        <f t="shared" si="18"/>
        <v>#N/A</v>
      </c>
      <c r="AC170" s="105" t="str">
        <f t="shared" si="19"/>
        <v>f42t4</v>
      </c>
      <c r="AD170" s="115">
        <v>16</v>
      </c>
      <c r="AE170" s="115">
        <v>42</v>
      </c>
      <c r="AF170" s="115">
        <v>4</v>
      </c>
      <c r="AG170" s="115">
        <v>0.2</v>
      </c>
    </row>
    <row r="171" spans="1:33" x14ac:dyDescent="0.3">
      <c r="A171" s="105" t="str">
        <f t="shared" si="15"/>
        <v>f18t2</v>
      </c>
      <c r="B171" s="116">
        <v>198</v>
      </c>
      <c r="C171" s="116">
        <v>18</v>
      </c>
      <c r="D171" s="116">
        <v>2</v>
      </c>
      <c r="E171" s="116">
        <v>2</v>
      </c>
      <c r="F171" s="116">
        <v>1.113</v>
      </c>
      <c r="G171" s="116">
        <v>1.6243226716913199</v>
      </c>
      <c r="H171" s="117">
        <v>41675.681516203702</v>
      </c>
      <c r="I171" s="118" t="s">
        <v>304</v>
      </c>
      <c r="J171" s="106">
        <f t="shared" si="20"/>
        <v>0</v>
      </c>
      <c r="R171" s="105" t="str">
        <f t="shared" si="16"/>
        <v>f69t3</v>
      </c>
      <c r="S171" s="115">
        <v>198</v>
      </c>
      <c r="T171" s="115">
        <v>69</v>
      </c>
      <c r="U171" s="115">
        <v>3</v>
      </c>
      <c r="V171" s="115">
        <v>0</v>
      </c>
      <c r="W171" s="115">
        <v>0</v>
      </c>
      <c r="X171" s="115">
        <v>5098.9999990000015</v>
      </c>
      <c r="Y171" s="115">
        <v>0</v>
      </c>
      <c r="Z171" s="112">
        <f t="shared" si="17"/>
        <v>0</v>
      </c>
      <c r="AA171" s="107" t="e">
        <f t="shared" si="18"/>
        <v>#N/A</v>
      </c>
      <c r="AC171" s="105" t="str">
        <f t="shared" si="19"/>
        <v>f43t1</v>
      </c>
      <c r="AD171" s="115">
        <v>16</v>
      </c>
      <c r="AE171" s="115">
        <v>43</v>
      </c>
      <c r="AF171" s="115">
        <v>1</v>
      </c>
      <c r="AG171" s="115">
        <v>0.3</v>
      </c>
    </row>
    <row r="172" spans="1:33" x14ac:dyDescent="0.3">
      <c r="A172" s="105" t="str">
        <f t="shared" si="15"/>
        <v>f18t3</v>
      </c>
      <c r="B172" s="116">
        <v>198</v>
      </c>
      <c r="C172" s="116">
        <v>18</v>
      </c>
      <c r="D172" s="116">
        <v>2</v>
      </c>
      <c r="E172" s="116">
        <v>3</v>
      </c>
      <c r="F172" s="116">
        <v>1.113</v>
      </c>
      <c r="G172" s="116">
        <v>1.96281933734091</v>
      </c>
      <c r="H172" s="117">
        <v>41675.681516203702</v>
      </c>
      <c r="I172" s="118" t="s">
        <v>304</v>
      </c>
      <c r="J172" s="106">
        <f t="shared" si="20"/>
        <v>0</v>
      </c>
      <c r="R172" s="105" t="str">
        <f t="shared" si="16"/>
        <v>f69t4</v>
      </c>
      <c r="S172" s="115">
        <v>198</v>
      </c>
      <c r="T172" s="115">
        <v>69</v>
      </c>
      <c r="U172" s="115">
        <v>4</v>
      </c>
      <c r="V172" s="115">
        <v>0</v>
      </c>
      <c r="W172" s="115">
        <v>0</v>
      </c>
      <c r="X172" s="115">
        <v>20.999999999999996</v>
      </c>
      <c r="Y172" s="115">
        <v>0</v>
      </c>
      <c r="Z172" s="112">
        <f t="shared" si="17"/>
        <v>0</v>
      </c>
      <c r="AA172" s="107" t="e">
        <f t="shared" si="18"/>
        <v>#N/A</v>
      </c>
      <c r="AC172" s="105" t="str">
        <f t="shared" si="19"/>
        <v>f43t2</v>
      </c>
      <c r="AD172" s="115">
        <v>16</v>
      </c>
      <c r="AE172" s="115">
        <v>43</v>
      </c>
      <c r="AF172" s="115">
        <v>2</v>
      </c>
      <c r="AG172" s="115">
        <v>0.3</v>
      </c>
    </row>
    <row r="173" spans="1:33" x14ac:dyDescent="0.3">
      <c r="A173" s="105" t="str">
        <f t="shared" si="15"/>
        <v>f18t2</v>
      </c>
      <c r="B173" s="116">
        <v>198</v>
      </c>
      <c r="C173" s="116">
        <v>18</v>
      </c>
      <c r="D173" s="116">
        <v>3</v>
      </c>
      <c r="E173" s="116">
        <v>2</v>
      </c>
      <c r="F173" s="116">
        <v>1.113</v>
      </c>
      <c r="G173" s="116">
        <v>1.6243226716913199</v>
      </c>
      <c r="H173" s="117">
        <v>41675.681516203702</v>
      </c>
      <c r="I173" s="118" t="s">
        <v>304</v>
      </c>
      <c r="J173" s="106">
        <f t="shared" si="20"/>
        <v>0</v>
      </c>
      <c r="R173" s="105" t="str">
        <f t="shared" si="16"/>
        <v>f70t1</v>
      </c>
      <c r="S173" s="115">
        <v>198</v>
      </c>
      <c r="T173" s="115">
        <v>70</v>
      </c>
      <c r="U173" s="115">
        <v>1</v>
      </c>
      <c r="V173" s="115">
        <v>0</v>
      </c>
      <c r="W173" s="115">
        <v>0</v>
      </c>
      <c r="X173" s="115">
        <v>3.2752000000000003E-2</v>
      </c>
      <c r="Y173" s="115">
        <v>0</v>
      </c>
      <c r="Z173" s="112">
        <f t="shared" si="17"/>
        <v>0</v>
      </c>
      <c r="AA173" s="107" t="e">
        <f t="shared" si="18"/>
        <v>#N/A</v>
      </c>
      <c r="AC173" s="105" t="str">
        <f t="shared" si="19"/>
        <v>f43t3</v>
      </c>
      <c r="AD173" s="115">
        <v>16</v>
      </c>
      <c r="AE173" s="115">
        <v>43</v>
      </c>
      <c r="AF173" s="115">
        <v>3</v>
      </c>
      <c r="AG173" s="115">
        <v>0.3</v>
      </c>
    </row>
    <row r="174" spans="1:33" x14ac:dyDescent="0.3">
      <c r="A174" s="105" t="str">
        <f t="shared" si="15"/>
        <v>f18t3</v>
      </c>
      <c r="B174" s="116">
        <v>198</v>
      </c>
      <c r="C174" s="116">
        <v>18</v>
      </c>
      <c r="D174" s="116">
        <v>3</v>
      </c>
      <c r="E174" s="116">
        <v>3</v>
      </c>
      <c r="F174" s="116">
        <v>1.113</v>
      </c>
      <c r="G174" s="116">
        <v>1.96281933734091</v>
      </c>
      <c r="H174" s="117">
        <v>41675.681516203702</v>
      </c>
      <c r="I174" s="118" t="s">
        <v>304</v>
      </c>
      <c r="J174" s="106">
        <f t="shared" si="20"/>
        <v>0</v>
      </c>
      <c r="R174" s="105" t="str">
        <f t="shared" si="16"/>
        <v>f71t1</v>
      </c>
      <c r="S174" s="115">
        <v>198</v>
      </c>
      <c r="T174" s="115">
        <v>71</v>
      </c>
      <c r="U174" s="115">
        <v>1</v>
      </c>
      <c r="V174" s="115">
        <v>0</v>
      </c>
      <c r="W174" s="115">
        <v>0</v>
      </c>
      <c r="X174" s="115">
        <v>169.69832099999999</v>
      </c>
      <c r="Y174" s="115">
        <v>0</v>
      </c>
      <c r="Z174" s="112">
        <f t="shared" si="17"/>
        <v>0</v>
      </c>
      <c r="AA174" s="107" t="e">
        <f t="shared" si="18"/>
        <v>#N/A</v>
      </c>
      <c r="AC174" s="105" t="str">
        <f t="shared" si="19"/>
        <v>f43t4</v>
      </c>
      <c r="AD174" s="115">
        <v>16</v>
      </c>
      <c r="AE174" s="115">
        <v>43</v>
      </c>
      <c r="AF174" s="115">
        <v>4</v>
      </c>
      <c r="AG174" s="115">
        <v>0.3</v>
      </c>
    </row>
    <row r="175" spans="1:33" x14ac:dyDescent="0.3">
      <c r="A175" s="105" t="str">
        <f t="shared" si="15"/>
        <v>f18t2</v>
      </c>
      <c r="B175" s="116">
        <v>198</v>
      </c>
      <c r="C175" s="116">
        <v>18</v>
      </c>
      <c r="D175" s="116">
        <v>4</v>
      </c>
      <c r="E175" s="116">
        <v>2</v>
      </c>
      <c r="F175" s="116">
        <v>1.113</v>
      </c>
      <c r="G175" s="116">
        <v>1.6243226716913199</v>
      </c>
      <c r="H175" s="117">
        <v>41675.681516203702</v>
      </c>
      <c r="I175" s="118" t="s">
        <v>304</v>
      </c>
      <c r="J175" s="106">
        <f t="shared" si="20"/>
        <v>0</v>
      </c>
      <c r="R175" s="105" t="str">
        <f t="shared" si="16"/>
        <v>f71t3</v>
      </c>
      <c r="S175" s="115">
        <v>198</v>
      </c>
      <c r="T175" s="115">
        <v>71</v>
      </c>
      <c r="U175" s="115">
        <v>3</v>
      </c>
      <c r="V175" s="115">
        <v>0</v>
      </c>
      <c r="W175" s="115">
        <v>0</v>
      </c>
      <c r="X175" s="115">
        <v>2257.9999999999995</v>
      </c>
      <c r="Y175" s="115">
        <v>0</v>
      </c>
      <c r="Z175" s="112">
        <f t="shared" si="17"/>
        <v>0</v>
      </c>
      <c r="AA175" s="107" t="e">
        <f t="shared" ref="AA175:AA181" si="21">Z175-VLOOKUP(R175,L$3:P$100,5,FALSE)</f>
        <v>#N/A</v>
      </c>
      <c r="AC175" s="105" t="str">
        <f t="shared" si="19"/>
        <v>f44t1</v>
      </c>
      <c r="AD175" s="115">
        <v>16</v>
      </c>
      <c r="AE175" s="115">
        <v>44</v>
      </c>
      <c r="AF175" s="115">
        <v>1</v>
      </c>
      <c r="AG175" s="115">
        <v>0.3</v>
      </c>
    </row>
    <row r="176" spans="1:33" x14ac:dyDescent="0.3">
      <c r="A176" s="105" t="str">
        <f t="shared" si="15"/>
        <v>f18t3</v>
      </c>
      <c r="B176" s="116">
        <v>198</v>
      </c>
      <c r="C176" s="116">
        <v>18</v>
      </c>
      <c r="D176" s="116">
        <v>4</v>
      </c>
      <c r="E176" s="116">
        <v>3</v>
      </c>
      <c r="F176" s="116">
        <v>1.113</v>
      </c>
      <c r="G176" s="116">
        <v>1.96281933734091</v>
      </c>
      <c r="H176" s="117">
        <v>41675.681516203702</v>
      </c>
      <c r="I176" s="118" t="s">
        <v>304</v>
      </c>
      <c r="J176" s="106">
        <f t="shared" si="20"/>
        <v>0</v>
      </c>
      <c r="R176" s="105" t="str">
        <f t="shared" si="16"/>
        <v>f71t4</v>
      </c>
      <c r="S176" s="115">
        <v>198</v>
      </c>
      <c r="T176" s="115">
        <v>71</v>
      </c>
      <c r="U176" s="115">
        <v>4</v>
      </c>
      <c r="V176" s="115">
        <v>0</v>
      </c>
      <c r="W176" s="115">
        <v>0</v>
      </c>
      <c r="X176" s="115">
        <v>28.000002000000002</v>
      </c>
      <c r="Y176" s="115">
        <v>0</v>
      </c>
      <c r="Z176" s="112">
        <f t="shared" si="17"/>
        <v>0</v>
      </c>
      <c r="AA176" s="107" t="e">
        <f t="shared" si="21"/>
        <v>#N/A</v>
      </c>
      <c r="AC176" s="105" t="str">
        <f t="shared" si="19"/>
        <v>f44t2</v>
      </c>
      <c r="AD176" s="115">
        <v>16</v>
      </c>
      <c r="AE176" s="115">
        <v>44</v>
      </c>
      <c r="AF176" s="115">
        <v>2</v>
      </c>
      <c r="AG176" s="115">
        <v>0.3</v>
      </c>
    </row>
    <row r="177" spans="1:33" x14ac:dyDescent="0.3">
      <c r="A177" s="105" t="str">
        <f t="shared" si="15"/>
        <v>f18t2</v>
      </c>
      <c r="B177" s="116">
        <v>198</v>
      </c>
      <c r="C177" s="116">
        <v>18</v>
      </c>
      <c r="D177" s="116">
        <v>5</v>
      </c>
      <c r="E177" s="116">
        <v>2</v>
      </c>
      <c r="F177" s="116">
        <v>1.113</v>
      </c>
      <c r="G177" s="116">
        <v>1.6243226716913199</v>
      </c>
      <c r="H177" s="117">
        <v>41675.681516203702</v>
      </c>
      <c r="I177" s="118" t="s">
        <v>304</v>
      </c>
      <c r="J177" s="106">
        <f t="shared" si="20"/>
        <v>0</v>
      </c>
      <c r="R177" s="105" t="str">
        <f t="shared" si="16"/>
        <v>f72t1</v>
      </c>
      <c r="S177" s="115">
        <v>198</v>
      </c>
      <c r="T177" s="115">
        <v>72</v>
      </c>
      <c r="U177" s="115">
        <v>1</v>
      </c>
      <c r="V177" s="115">
        <v>0</v>
      </c>
      <c r="W177" s="115">
        <v>0</v>
      </c>
      <c r="X177" s="115">
        <v>24859.942644999996</v>
      </c>
      <c r="Y177" s="115">
        <v>0</v>
      </c>
      <c r="Z177" s="112">
        <f t="shared" si="17"/>
        <v>0</v>
      </c>
      <c r="AA177" s="107" t="e">
        <f t="shared" si="21"/>
        <v>#N/A</v>
      </c>
      <c r="AC177" s="105" t="str">
        <f t="shared" si="19"/>
        <v>f44t3</v>
      </c>
      <c r="AD177" s="115">
        <v>16</v>
      </c>
      <c r="AE177" s="115">
        <v>44</v>
      </c>
      <c r="AF177" s="115">
        <v>3</v>
      </c>
      <c r="AG177" s="115">
        <v>0.3</v>
      </c>
    </row>
    <row r="178" spans="1:33" x14ac:dyDescent="0.3">
      <c r="A178" s="105" t="str">
        <f t="shared" si="15"/>
        <v>f18t3</v>
      </c>
      <c r="B178" s="116">
        <v>198</v>
      </c>
      <c r="C178" s="116">
        <v>18</v>
      </c>
      <c r="D178" s="116">
        <v>5</v>
      </c>
      <c r="E178" s="116">
        <v>3</v>
      </c>
      <c r="F178" s="116">
        <v>1.113</v>
      </c>
      <c r="G178" s="116">
        <v>1.96281933734091</v>
      </c>
      <c r="H178" s="117">
        <v>41675.681516203702</v>
      </c>
      <c r="I178" s="118" t="s">
        <v>304</v>
      </c>
      <c r="J178" s="106">
        <f t="shared" si="20"/>
        <v>0</v>
      </c>
      <c r="R178" s="105" t="str">
        <f t="shared" si="16"/>
        <v>f72t3</v>
      </c>
      <c r="S178" s="115">
        <v>198</v>
      </c>
      <c r="T178" s="115">
        <v>72</v>
      </c>
      <c r="U178" s="115">
        <v>3</v>
      </c>
      <c r="V178" s="115">
        <v>0</v>
      </c>
      <c r="W178" s="115">
        <v>0</v>
      </c>
      <c r="X178" s="115">
        <v>42191.947602999993</v>
      </c>
      <c r="Y178" s="115">
        <v>0</v>
      </c>
      <c r="Z178" s="112">
        <f t="shared" si="17"/>
        <v>0</v>
      </c>
      <c r="AA178" s="107" t="e">
        <f t="shared" si="21"/>
        <v>#N/A</v>
      </c>
      <c r="AC178" s="105" t="str">
        <f t="shared" si="19"/>
        <v>f44t4</v>
      </c>
      <c r="AD178" s="115">
        <v>16</v>
      </c>
      <c r="AE178" s="115">
        <v>44</v>
      </c>
      <c r="AF178" s="115">
        <v>4</v>
      </c>
      <c r="AG178" s="115">
        <v>0.3</v>
      </c>
    </row>
    <row r="179" spans="1:33" x14ac:dyDescent="0.3">
      <c r="A179" s="105" t="str">
        <f t="shared" si="15"/>
        <v>f20t2</v>
      </c>
      <c r="B179" s="116">
        <v>198</v>
      </c>
      <c r="C179" s="116">
        <v>20</v>
      </c>
      <c r="D179" s="116">
        <v>2</v>
      </c>
      <c r="E179" s="116">
        <v>2</v>
      </c>
      <c r="F179" s="116">
        <v>1.147</v>
      </c>
      <c r="G179" s="116">
        <v>2.4980318907173</v>
      </c>
      <c r="H179" s="117">
        <v>41675.681516203702</v>
      </c>
      <c r="I179" s="118" t="s">
        <v>304</v>
      </c>
      <c r="J179" s="106">
        <f t="shared" si="20"/>
        <v>0</v>
      </c>
      <c r="R179" s="105" t="str">
        <f t="shared" si="16"/>
        <v>f72t4</v>
      </c>
      <c r="S179" s="115">
        <v>198</v>
      </c>
      <c r="T179" s="115">
        <v>72</v>
      </c>
      <c r="U179" s="115">
        <v>4</v>
      </c>
      <c r="V179" s="115">
        <v>0</v>
      </c>
      <c r="W179" s="115">
        <v>0</v>
      </c>
      <c r="X179" s="115">
        <v>57906.02046</v>
      </c>
      <c r="Y179" s="115">
        <v>0</v>
      </c>
      <c r="Z179" s="112">
        <f t="shared" si="17"/>
        <v>0</v>
      </c>
      <c r="AA179" s="107" t="e">
        <f t="shared" si="21"/>
        <v>#N/A</v>
      </c>
      <c r="AC179" s="105" t="str">
        <f t="shared" si="19"/>
        <v>f45t1</v>
      </c>
      <c r="AD179" s="115">
        <v>16</v>
      </c>
      <c r="AE179" s="115">
        <v>45</v>
      </c>
      <c r="AF179" s="115">
        <v>1</v>
      </c>
      <c r="AG179" s="115">
        <v>0.2</v>
      </c>
    </row>
    <row r="180" spans="1:33" x14ac:dyDescent="0.3">
      <c r="A180" s="105" t="str">
        <f t="shared" si="15"/>
        <v>f20t3</v>
      </c>
      <c r="B180" s="116">
        <v>198</v>
      </c>
      <c r="C180" s="116">
        <v>20</v>
      </c>
      <c r="D180" s="116">
        <v>2</v>
      </c>
      <c r="E180" s="116">
        <v>3</v>
      </c>
      <c r="F180" s="116">
        <v>1.2</v>
      </c>
      <c r="G180" s="116">
        <v>0.84575369774094</v>
      </c>
      <c r="H180" s="117">
        <v>41675.681516203702</v>
      </c>
      <c r="I180" s="118" t="s">
        <v>304</v>
      </c>
      <c r="J180" s="106">
        <f t="shared" si="20"/>
        <v>0</v>
      </c>
      <c r="R180" s="105" t="str">
        <f t="shared" si="16"/>
        <v>f73t2</v>
      </c>
      <c r="S180" s="115">
        <v>198</v>
      </c>
      <c r="T180" s="115">
        <v>73</v>
      </c>
      <c r="U180" s="115">
        <v>2</v>
      </c>
      <c r="V180" s="115">
        <v>0</v>
      </c>
      <c r="W180" s="115">
        <v>0</v>
      </c>
      <c r="X180" s="115">
        <v>245.478602</v>
      </c>
      <c r="Y180" s="115">
        <v>0</v>
      </c>
      <c r="Z180" s="112">
        <f t="shared" si="17"/>
        <v>0</v>
      </c>
      <c r="AA180" s="107" t="e">
        <f t="shared" si="21"/>
        <v>#N/A</v>
      </c>
      <c r="AC180" s="105" t="str">
        <f t="shared" si="19"/>
        <v>f45t2</v>
      </c>
      <c r="AD180" s="115">
        <v>16</v>
      </c>
      <c r="AE180" s="115">
        <v>45</v>
      </c>
      <c r="AF180" s="115">
        <v>2</v>
      </c>
      <c r="AG180" s="115">
        <v>0.2</v>
      </c>
    </row>
    <row r="181" spans="1:33" x14ac:dyDescent="0.3">
      <c r="A181" s="105" t="str">
        <f t="shared" si="15"/>
        <v>f20t2</v>
      </c>
      <c r="B181" s="116">
        <v>198</v>
      </c>
      <c r="C181" s="116">
        <v>20</v>
      </c>
      <c r="D181" s="116">
        <v>3</v>
      </c>
      <c r="E181" s="116">
        <v>2</v>
      </c>
      <c r="F181" s="116">
        <v>1.147</v>
      </c>
      <c r="G181" s="116">
        <v>2.4980318907173</v>
      </c>
      <c r="H181" s="117">
        <v>41675.681516203702</v>
      </c>
      <c r="I181" s="118" t="s">
        <v>304</v>
      </c>
      <c r="J181" s="106">
        <f t="shared" si="20"/>
        <v>0</v>
      </c>
      <c r="R181" s="105" t="str">
        <f t="shared" si="16"/>
        <v>f73t3</v>
      </c>
      <c r="S181" s="115">
        <v>198</v>
      </c>
      <c r="T181" s="115">
        <v>73</v>
      </c>
      <c r="U181" s="115">
        <v>3</v>
      </c>
      <c r="V181" s="115">
        <v>0</v>
      </c>
      <c r="W181" s="115">
        <v>0</v>
      </c>
      <c r="X181" s="115">
        <v>86760.026471999998</v>
      </c>
      <c r="Y181" s="115">
        <v>0</v>
      </c>
      <c r="Z181" s="112">
        <f t="shared" si="17"/>
        <v>0</v>
      </c>
      <c r="AA181" s="107" t="e">
        <f t="shared" si="21"/>
        <v>#N/A</v>
      </c>
      <c r="AC181" s="105" t="str">
        <f t="shared" si="19"/>
        <v>f45t3</v>
      </c>
      <c r="AD181" s="115">
        <v>16</v>
      </c>
      <c r="AE181" s="115">
        <v>45</v>
      </c>
      <c r="AF181" s="115">
        <v>3</v>
      </c>
      <c r="AG181" s="115">
        <v>0.2</v>
      </c>
    </row>
    <row r="182" spans="1:33" x14ac:dyDescent="0.3">
      <c r="A182" s="105" t="str">
        <f t="shared" si="15"/>
        <v>f20t3</v>
      </c>
      <c r="B182" s="116">
        <v>198</v>
      </c>
      <c r="C182" s="116">
        <v>20</v>
      </c>
      <c r="D182" s="116">
        <v>3</v>
      </c>
      <c r="E182" s="116">
        <v>3</v>
      </c>
      <c r="F182" s="116">
        <v>1.2</v>
      </c>
      <c r="G182" s="116">
        <v>0.84575369774094</v>
      </c>
      <c r="H182" s="117">
        <v>41675.681516203702</v>
      </c>
      <c r="I182" s="118" t="s">
        <v>304</v>
      </c>
      <c r="J182" s="106">
        <f t="shared" si="20"/>
        <v>0</v>
      </c>
      <c r="R182" s="105"/>
      <c r="S182" s="115">
        <v>178</v>
      </c>
      <c r="T182" s="115">
        <v>72</v>
      </c>
      <c r="U182" s="115">
        <v>3</v>
      </c>
      <c r="V182" s="115">
        <v>0</v>
      </c>
      <c r="W182" s="115">
        <v>0</v>
      </c>
      <c r="X182" s="115">
        <v>45182.685601000012</v>
      </c>
      <c r="Y182" s="115">
        <v>0</v>
      </c>
      <c r="AA182" s="107"/>
      <c r="AC182" s="105" t="str">
        <f t="shared" si="19"/>
        <v>f45t4</v>
      </c>
      <c r="AD182" s="115">
        <v>16</v>
      </c>
      <c r="AE182" s="115">
        <v>45</v>
      </c>
      <c r="AF182" s="115">
        <v>4</v>
      </c>
      <c r="AG182" s="115">
        <v>0.2</v>
      </c>
    </row>
    <row r="183" spans="1:33" x14ac:dyDescent="0.3">
      <c r="A183" s="105" t="str">
        <f t="shared" si="15"/>
        <v>f20t2</v>
      </c>
      <c r="B183" s="116">
        <v>198</v>
      </c>
      <c r="C183" s="116">
        <v>20</v>
      </c>
      <c r="D183" s="116">
        <v>4</v>
      </c>
      <c r="E183" s="116">
        <v>2</v>
      </c>
      <c r="F183" s="116">
        <v>1.147</v>
      </c>
      <c r="G183" s="116">
        <v>2.4980318907173</v>
      </c>
      <c r="H183" s="117">
        <v>41675.681516203702</v>
      </c>
      <c r="I183" s="118" t="s">
        <v>304</v>
      </c>
      <c r="J183" s="106">
        <f t="shared" si="20"/>
        <v>0</v>
      </c>
      <c r="R183" s="105"/>
      <c r="S183" s="115">
        <v>178</v>
      </c>
      <c r="T183" s="115">
        <v>72</v>
      </c>
      <c r="U183" s="115">
        <v>4</v>
      </c>
      <c r="V183" s="115">
        <v>0</v>
      </c>
      <c r="W183" s="115">
        <v>0</v>
      </c>
      <c r="X183" s="115">
        <v>36267.424629000001</v>
      </c>
      <c r="Y183" s="115">
        <v>0</v>
      </c>
      <c r="AA183" s="107"/>
      <c r="AC183" s="105" t="str">
        <f t="shared" si="19"/>
        <v>f46t1</v>
      </c>
      <c r="AD183" s="115">
        <v>16</v>
      </c>
      <c r="AE183" s="115">
        <v>46</v>
      </c>
      <c r="AF183" s="115">
        <v>1</v>
      </c>
      <c r="AG183" s="115">
        <v>0.3</v>
      </c>
    </row>
    <row r="184" spans="1:33" x14ac:dyDescent="0.3">
      <c r="A184" s="105" t="str">
        <f t="shared" si="15"/>
        <v>f20t3</v>
      </c>
      <c r="B184" s="116">
        <v>198</v>
      </c>
      <c r="C184" s="116">
        <v>20</v>
      </c>
      <c r="D184" s="116">
        <v>4</v>
      </c>
      <c r="E184" s="116">
        <v>3</v>
      </c>
      <c r="F184" s="116">
        <v>1.2</v>
      </c>
      <c r="G184" s="116">
        <v>0.84575369774094</v>
      </c>
      <c r="H184" s="117">
        <v>41675.681516203702</v>
      </c>
      <c r="I184" s="118" t="s">
        <v>304</v>
      </c>
      <c r="J184" s="106">
        <f t="shared" si="20"/>
        <v>0</v>
      </c>
      <c r="R184" s="105"/>
      <c r="S184" s="115">
        <v>178</v>
      </c>
      <c r="T184" s="115">
        <v>73</v>
      </c>
      <c r="U184" s="115">
        <v>2</v>
      </c>
      <c r="V184" s="115">
        <v>0</v>
      </c>
      <c r="W184" s="115">
        <v>0</v>
      </c>
      <c r="X184" s="115">
        <v>226.82512499999999</v>
      </c>
      <c r="Y184" s="115">
        <v>0</v>
      </c>
      <c r="AA184" s="107"/>
      <c r="AC184" s="105" t="str">
        <f t="shared" si="19"/>
        <v>f46t2</v>
      </c>
      <c r="AD184" s="115">
        <v>16</v>
      </c>
      <c r="AE184" s="115">
        <v>46</v>
      </c>
      <c r="AF184" s="115">
        <v>2</v>
      </c>
      <c r="AG184" s="115">
        <v>0.3</v>
      </c>
    </row>
    <row r="185" spans="1:33" x14ac:dyDescent="0.3">
      <c r="A185" s="105" t="str">
        <f t="shared" si="15"/>
        <v>f20t2</v>
      </c>
      <c r="B185" s="116">
        <v>198</v>
      </c>
      <c r="C185" s="116">
        <v>20</v>
      </c>
      <c r="D185" s="116">
        <v>5</v>
      </c>
      <c r="E185" s="116">
        <v>2</v>
      </c>
      <c r="F185" s="116">
        <v>1.147</v>
      </c>
      <c r="G185" s="116">
        <v>2.4980318907173</v>
      </c>
      <c r="H185" s="117">
        <v>41675.681516203702</v>
      </c>
      <c r="I185" s="118" t="s">
        <v>304</v>
      </c>
      <c r="J185" s="106">
        <f t="shared" si="20"/>
        <v>0</v>
      </c>
      <c r="R185" s="105"/>
      <c r="S185" s="115">
        <v>178</v>
      </c>
      <c r="T185" s="115">
        <v>73</v>
      </c>
      <c r="U185" s="115">
        <v>3</v>
      </c>
      <c r="V185" s="115">
        <v>0</v>
      </c>
      <c r="W185" s="115">
        <v>0</v>
      </c>
      <c r="X185" s="115">
        <v>89338.18234900001</v>
      </c>
      <c r="Y185" s="115">
        <v>0</v>
      </c>
      <c r="AA185" s="107"/>
      <c r="AC185" s="105" t="str">
        <f t="shared" si="19"/>
        <v>f46t3</v>
      </c>
      <c r="AD185" s="115">
        <v>16</v>
      </c>
      <c r="AE185" s="115">
        <v>46</v>
      </c>
      <c r="AF185" s="115">
        <v>3</v>
      </c>
      <c r="AG185" s="115">
        <v>0.3</v>
      </c>
    </row>
    <row r="186" spans="1:33" x14ac:dyDescent="0.3">
      <c r="A186" s="105" t="str">
        <f t="shared" si="15"/>
        <v>f20t3</v>
      </c>
      <c r="B186" s="116">
        <v>198</v>
      </c>
      <c r="C186" s="116">
        <v>20</v>
      </c>
      <c r="D186" s="116">
        <v>5</v>
      </c>
      <c r="E186" s="116">
        <v>3</v>
      </c>
      <c r="F186" s="116">
        <v>1.2</v>
      </c>
      <c r="G186" s="116">
        <v>0.84575369774094</v>
      </c>
      <c r="H186" s="117">
        <v>41675.681516203702</v>
      </c>
      <c r="I186" s="118" t="s">
        <v>304</v>
      </c>
      <c r="J186" s="106">
        <f t="shared" si="20"/>
        <v>0</v>
      </c>
      <c r="R186" s="105"/>
      <c r="S186" s="100"/>
      <c r="T186" s="100"/>
      <c r="U186" s="100"/>
      <c r="V186" s="100"/>
      <c r="W186" s="100"/>
      <c r="X186" s="100"/>
      <c r="Y186" s="100"/>
      <c r="AA186" s="107"/>
      <c r="AC186" s="105" t="str">
        <f t="shared" si="19"/>
        <v>f46t4</v>
      </c>
      <c r="AD186" s="115">
        <v>16</v>
      </c>
      <c r="AE186" s="115">
        <v>46</v>
      </c>
      <c r="AF186" s="115">
        <v>4</v>
      </c>
      <c r="AG186" s="115">
        <v>0.3</v>
      </c>
    </row>
    <row r="187" spans="1:33" x14ac:dyDescent="0.3">
      <c r="A187" s="105" t="str">
        <f t="shared" si="15"/>
        <v>f21t2</v>
      </c>
      <c r="B187" s="116">
        <v>198</v>
      </c>
      <c r="C187" s="116">
        <v>21</v>
      </c>
      <c r="D187" s="116">
        <v>2</v>
      </c>
      <c r="E187" s="116">
        <v>2</v>
      </c>
      <c r="F187" s="116">
        <v>1.147</v>
      </c>
      <c r="G187" s="116">
        <v>12.7525095353047</v>
      </c>
      <c r="H187" s="117">
        <v>41675.681516203702</v>
      </c>
      <c r="I187" s="118" t="s">
        <v>304</v>
      </c>
      <c r="J187" s="106">
        <f t="shared" si="20"/>
        <v>0</v>
      </c>
      <c r="R187" s="105"/>
      <c r="S187" s="100"/>
      <c r="T187" s="100"/>
      <c r="U187" s="100"/>
      <c r="V187" s="100"/>
      <c r="W187" s="100"/>
      <c r="X187" s="100"/>
      <c r="Y187" s="100"/>
      <c r="AA187" s="107"/>
      <c r="AC187" s="105" t="str">
        <f t="shared" si="19"/>
        <v>f47t1</v>
      </c>
      <c r="AD187" s="115">
        <v>16</v>
      </c>
      <c r="AE187" s="115">
        <v>47</v>
      </c>
      <c r="AF187" s="115">
        <v>1</v>
      </c>
      <c r="AG187" s="115">
        <v>0.3</v>
      </c>
    </row>
    <row r="188" spans="1:33" x14ac:dyDescent="0.3">
      <c r="A188" s="105" t="str">
        <f t="shared" si="15"/>
        <v>f21t3</v>
      </c>
      <c r="B188" s="116">
        <v>198</v>
      </c>
      <c r="C188" s="116">
        <v>21</v>
      </c>
      <c r="D188" s="116">
        <v>2</v>
      </c>
      <c r="E188" s="116">
        <v>3</v>
      </c>
      <c r="F188" s="116">
        <v>1.2</v>
      </c>
      <c r="G188" s="116">
        <v>4.2238028000151404</v>
      </c>
      <c r="H188" s="117">
        <v>41675.681516203702</v>
      </c>
      <c r="I188" s="118" t="s">
        <v>304</v>
      </c>
      <c r="J188" s="106">
        <f t="shared" si="20"/>
        <v>0</v>
      </c>
      <c r="R188" s="105"/>
      <c r="S188" s="100"/>
      <c r="T188" s="100"/>
      <c r="U188" s="100"/>
      <c r="V188" s="100"/>
      <c r="W188" s="100"/>
      <c r="X188" s="100"/>
      <c r="Y188" s="100"/>
      <c r="AA188" s="107"/>
      <c r="AC188" s="105" t="str">
        <f t="shared" si="19"/>
        <v>f47t2</v>
      </c>
      <c r="AD188" s="115">
        <v>16</v>
      </c>
      <c r="AE188" s="115">
        <v>47</v>
      </c>
      <c r="AF188" s="115">
        <v>2</v>
      </c>
      <c r="AG188" s="115">
        <v>0.3</v>
      </c>
    </row>
    <row r="189" spans="1:33" x14ac:dyDescent="0.3">
      <c r="A189" s="105" t="str">
        <f t="shared" si="15"/>
        <v>f21t2</v>
      </c>
      <c r="B189" s="116">
        <v>198</v>
      </c>
      <c r="C189" s="116">
        <v>21</v>
      </c>
      <c r="D189" s="116">
        <v>3</v>
      </c>
      <c r="E189" s="116">
        <v>2</v>
      </c>
      <c r="F189" s="116">
        <v>1.147</v>
      </c>
      <c r="G189" s="116">
        <v>12.7525095353047</v>
      </c>
      <c r="H189" s="117">
        <v>41675.681516203702</v>
      </c>
      <c r="I189" s="118" t="s">
        <v>304</v>
      </c>
      <c r="J189" s="106">
        <f t="shared" si="20"/>
        <v>0</v>
      </c>
      <c r="AC189" s="105" t="str">
        <f t="shared" si="19"/>
        <v>f47t3</v>
      </c>
      <c r="AD189" s="115">
        <v>16</v>
      </c>
      <c r="AE189" s="115">
        <v>47</v>
      </c>
      <c r="AF189" s="115">
        <v>3</v>
      </c>
      <c r="AG189" s="115">
        <v>0.3</v>
      </c>
    </row>
    <row r="190" spans="1:33" x14ac:dyDescent="0.3">
      <c r="A190" s="105" t="str">
        <f t="shared" si="15"/>
        <v>f21t3</v>
      </c>
      <c r="B190" s="116">
        <v>198</v>
      </c>
      <c r="C190" s="116">
        <v>21</v>
      </c>
      <c r="D190" s="116">
        <v>3</v>
      </c>
      <c r="E190" s="116">
        <v>3</v>
      </c>
      <c r="F190" s="116">
        <v>1.2</v>
      </c>
      <c r="G190" s="116">
        <v>4.2238028000151404</v>
      </c>
      <c r="H190" s="117">
        <v>41675.681516203702</v>
      </c>
      <c r="I190" s="118" t="s">
        <v>304</v>
      </c>
      <c r="J190" s="106">
        <f t="shared" si="20"/>
        <v>0</v>
      </c>
      <c r="AC190" s="105" t="str">
        <f t="shared" si="19"/>
        <v>f47t4</v>
      </c>
      <c r="AD190" s="115">
        <v>16</v>
      </c>
      <c r="AE190" s="115">
        <v>47</v>
      </c>
      <c r="AF190" s="115">
        <v>4</v>
      </c>
      <c r="AG190" s="115">
        <v>0.3</v>
      </c>
    </row>
    <row r="191" spans="1:33" x14ac:dyDescent="0.3">
      <c r="A191" s="105" t="str">
        <f t="shared" si="15"/>
        <v>f21t2</v>
      </c>
      <c r="B191" s="116">
        <v>198</v>
      </c>
      <c r="C191" s="116">
        <v>21</v>
      </c>
      <c r="D191" s="116">
        <v>4</v>
      </c>
      <c r="E191" s="116">
        <v>2</v>
      </c>
      <c r="F191" s="116">
        <v>1.147</v>
      </c>
      <c r="G191" s="116">
        <v>12.7525095353047</v>
      </c>
      <c r="H191" s="117">
        <v>41675.681516203702</v>
      </c>
      <c r="I191" s="118" t="s">
        <v>304</v>
      </c>
      <c r="J191" s="106">
        <f t="shared" si="20"/>
        <v>0</v>
      </c>
      <c r="AC191" s="105" t="str">
        <f t="shared" si="19"/>
        <v>f48t1</v>
      </c>
      <c r="AD191" s="115">
        <v>16</v>
      </c>
      <c r="AE191" s="115">
        <v>48</v>
      </c>
      <c r="AF191" s="115">
        <v>1</v>
      </c>
      <c r="AG191" s="115">
        <v>0.2</v>
      </c>
    </row>
    <row r="192" spans="1:33" x14ac:dyDescent="0.3">
      <c r="A192" s="105" t="str">
        <f t="shared" si="15"/>
        <v>f21t3</v>
      </c>
      <c r="B192" s="116">
        <v>198</v>
      </c>
      <c r="C192" s="116">
        <v>21</v>
      </c>
      <c r="D192" s="116">
        <v>4</v>
      </c>
      <c r="E192" s="116">
        <v>3</v>
      </c>
      <c r="F192" s="116">
        <v>1.2</v>
      </c>
      <c r="G192" s="116">
        <v>4.2238028000151404</v>
      </c>
      <c r="H192" s="117">
        <v>41675.681516203702</v>
      </c>
      <c r="I192" s="118" t="s">
        <v>304</v>
      </c>
      <c r="J192" s="106">
        <f t="shared" si="20"/>
        <v>0</v>
      </c>
      <c r="AC192" s="105" t="str">
        <f t="shared" si="19"/>
        <v>f48t2</v>
      </c>
      <c r="AD192" s="115">
        <v>16</v>
      </c>
      <c r="AE192" s="115">
        <v>48</v>
      </c>
      <c r="AF192" s="115">
        <v>2</v>
      </c>
      <c r="AG192" s="115">
        <v>0.2</v>
      </c>
    </row>
    <row r="193" spans="1:33" x14ac:dyDescent="0.3">
      <c r="A193" s="105" t="str">
        <f t="shared" si="15"/>
        <v>f21t2</v>
      </c>
      <c r="B193" s="116">
        <v>198</v>
      </c>
      <c r="C193" s="116">
        <v>21</v>
      </c>
      <c r="D193" s="116">
        <v>5</v>
      </c>
      <c r="E193" s="116">
        <v>2</v>
      </c>
      <c r="F193" s="116">
        <v>1.147</v>
      </c>
      <c r="G193" s="116">
        <v>12.7525095353047</v>
      </c>
      <c r="H193" s="117">
        <v>41675.681516203702</v>
      </c>
      <c r="I193" s="118" t="s">
        <v>304</v>
      </c>
      <c r="J193" s="106">
        <f t="shared" si="20"/>
        <v>0</v>
      </c>
      <c r="AC193" s="105" t="str">
        <f t="shared" si="19"/>
        <v>f48t3</v>
      </c>
      <c r="AD193" s="115">
        <v>16</v>
      </c>
      <c r="AE193" s="115">
        <v>48</v>
      </c>
      <c r="AF193" s="115">
        <v>3</v>
      </c>
      <c r="AG193" s="115">
        <v>0.2</v>
      </c>
    </row>
    <row r="194" spans="1:33" x14ac:dyDescent="0.3">
      <c r="A194" s="105" t="str">
        <f t="shared" si="15"/>
        <v>f21t3</v>
      </c>
      <c r="B194" s="116">
        <v>198</v>
      </c>
      <c r="C194" s="116">
        <v>21</v>
      </c>
      <c r="D194" s="116">
        <v>5</v>
      </c>
      <c r="E194" s="116">
        <v>3</v>
      </c>
      <c r="F194" s="116">
        <v>1.2</v>
      </c>
      <c r="G194" s="116">
        <v>4.2238028000151404</v>
      </c>
      <c r="H194" s="117">
        <v>41675.681516203702</v>
      </c>
      <c r="I194" s="118" t="s">
        <v>304</v>
      </c>
      <c r="J194" s="106">
        <f t="shared" si="20"/>
        <v>0</v>
      </c>
      <c r="AC194" s="105" t="str">
        <f t="shared" si="19"/>
        <v>f48t4</v>
      </c>
      <c r="AD194" s="115">
        <v>16</v>
      </c>
      <c r="AE194" s="115">
        <v>48</v>
      </c>
      <c r="AF194" s="115">
        <v>4</v>
      </c>
      <c r="AG194" s="115">
        <v>0.2</v>
      </c>
    </row>
    <row r="195" spans="1:33" x14ac:dyDescent="0.3">
      <c r="A195" s="105" t="str">
        <f t="shared" si="15"/>
        <v>f22t2</v>
      </c>
      <c r="B195" s="116">
        <v>198</v>
      </c>
      <c r="C195" s="116">
        <v>22</v>
      </c>
      <c r="D195" s="116">
        <v>2</v>
      </c>
      <c r="E195" s="116">
        <v>2</v>
      </c>
      <c r="F195" s="116">
        <v>0.66300000000000003</v>
      </c>
      <c r="G195" s="116">
        <v>1.4911446938800399</v>
      </c>
      <c r="H195" s="117">
        <v>41675.681516203702</v>
      </c>
      <c r="I195" s="118" t="s">
        <v>304</v>
      </c>
      <c r="J195" s="106">
        <f t="shared" si="20"/>
        <v>0</v>
      </c>
      <c r="AC195" s="105" t="str">
        <f t="shared" si="19"/>
        <v>f49t1</v>
      </c>
      <c r="AD195" s="115">
        <v>16</v>
      </c>
      <c r="AE195" s="115">
        <v>49</v>
      </c>
      <c r="AF195" s="115">
        <v>1</v>
      </c>
      <c r="AG195" s="115">
        <v>0.3</v>
      </c>
    </row>
    <row r="196" spans="1:33" x14ac:dyDescent="0.3">
      <c r="A196" s="105" t="str">
        <f t="shared" ref="A196:A259" si="22">"f"&amp;C196&amp;"t"&amp;E196</f>
        <v>f22t3</v>
      </c>
      <c r="B196" s="116">
        <v>198</v>
      </c>
      <c r="C196" s="116">
        <v>22</v>
      </c>
      <c r="D196" s="116">
        <v>2</v>
      </c>
      <c r="E196" s="116">
        <v>3</v>
      </c>
      <c r="F196" s="116">
        <v>0.66300000000000003</v>
      </c>
      <c r="G196" s="116">
        <v>1.6819363842550801</v>
      </c>
      <c r="H196" s="117">
        <v>41675.681516203702</v>
      </c>
      <c r="I196" s="118" t="s">
        <v>304</v>
      </c>
      <c r="J196" s="106">
        <f t="shared" si="20"/>
        <v>0</v>
      </c>
      <c r="AC196" s="105" t="str">
        <f t="shared" ref="AC196:AC259" si="23">"f"&amp;AE196&amp;"t"&amp;AF196</f>
        <v>f49t2</v>
      </c>
      <c r="AD196" s="115">
        <v>16</v>
      </c>
      <c r="AE196" s="115">
        <v>49</v>
      </c>
      <c r="AF196" s="115">
        <v>2</v>
      </c>
      <c r="AG196" s="115">
        <v>0.3</v>
      </c>
    </row>
    <row r="197" spans="1:33" x14ac:dyDescent="0.3">
      <c r="A197" s="105" t="str">
        <f t="shared" si="22"/>
        <v>f22t2</v>
      </c>
      <c r="B197" s="116">
        <v>198</v>
      </c>
      <c r="C197" s="116">
        <v>22</v>
      </c>
      <c r="D197" s="116">
        <v>3</v>
      </c>
      <c r="E197" s="116">
        <v>2</v>
      </c>
      <c r="F197" s="116">
        <v>0.66300000000000003</v>
      </c>
      <c r="G197" s="116">
        <v>1.4911446938800399</v>
      </c>
      <c r="H197" s="117">
        <v>41675.681516203702</v>
      </c>
      <c r="I197" s="118" t="s">
        <v>304</v>
      </c>
      <c r="J197" s="106">
        <f t="shared" si="20"/>
        <v>0</v>
      </c>
      <c r="AC197" s="105" t="str">
        <f t="shared" si="23"/>
        <v>f49t3</v>
      </c>
      <c r="AD197" s="115">
        <v>16</v>
      </c>
      <c r="AE197" s="115">
        <v>49</v>
      </c>
      <c r="AF197" s="115">
        <v>3</v>
      </c>
      <c r="AG197" s="115">
        <v>0.3</v>
      </c>
    </row>
    <row r="198" spans="1:33" x14ac:dyDescent="0.3">
      <c r="A198" s="105" t="str">
        <f t="shared" si="22"/>
        <v>f22t3</v>
      </c>
      <c r="B198" s="116">
        <v>198</v>
      </c>
      <c r="C198" s="116">
        <v>22</v>
      </c>
      <c r="D198" s="116">
        <v>3</v>
      </c>
      <c r="E198" s="116">
        <v>3</v>
      </c>
      <c r="F198" s="116">
        <v>0.66300000000000003</v>
      </c>
      <c r="G198" s="116">
        <v>1.6819363842550801</v>
      </c>
      <c r="H198" s="117">
        <v>41675.681516203702</v>
      </c>
      <c r="I198" s="118" t="s">
        <v>304</v>
      </c>
      <c r="J198" s="106">
        <f t="shared" si="20"/>
        <v>0</v>
      </c>
      <c r="AC198" s="105" t="str">
        <f t="shared" si="23"/>
        <v>f49t4</v>
      </c>
      <c r="AD198" s="115">
        <v>16</v>
      </c>
      <c r="AE198" s="115">
        <v>49</v>
      </c>
      <c r="AF198" s="115">
        <v>4</v>
      </c>
      <c r="AG198" s="115">
        <v>0.3</v>
      </c>
    </row>
    <row r="199" spans="1:33" x14ac:dyDescent="0.3">
      <c r="A199" s="105" t="str">
        <f t="shared" si="22"/>
        <v>f22t2</v>
      </c>
      <c r="B199" s="116">
        <v>198</v>
      </c>
      <c r="C199" s="116">
        <v>22</v>
      </c>
      <c r="D199" s="116">
        <v>4</v>
      </c>
      <c r="E199" s="116">
        <v>2</v>
      </c>
      <c r="F199" s="116">
        <v>0.66300000000000003</v>
      </c>
      <c r="G199" s="116">
        <v>1.4911446938800399</v>
      </c>
      <c r="H199" s="117">
        <v>41675.681516203702</v>
      </c>
      <c r="I199" s="118" t="s">
        <v>304</v>
      </c>
      <c r="J199" s="106">
        <f t="shared" si="20"/>
        <v>0</v>
      </c>
      <c r="AC199" s="105" t="str">
        <f t="shared" si="23"/>
        <v>f50t1</v>
      </c>
      <c r="AD199" s="115">
        <v>16</v>
      </c>
      <c r="AE199" s="115">
        <v>50</v>
      </c>
      <c r="AF199" s="115">
        <v>1</v>
      </c>
      <c r="AG199" s="115">
        <v>0.3</v>
      </c>
    </row>
    <row r="200" spans="1:33" x14ac:dyDescent="0.3">
      <c r="A200" s="105" t="str">
        <f t="shared" si="22"/>
        <v>f22t3</v>
      </c>
      <c r="B200" s="116">
        <v>198</v>
      </c>
      <c r="C200" s="116">
        <v>22</v>
      </c>
      <c r="D200" s="116">
        <v>4</v>
      </c>
      <c r="E200" s="116">
        <v>3</v>
      </c>
      <c r="F200" s="116">
        <v>0.66300000000000003</v>
      </c>
      <c r="G200" s="116">
        <v>1.6819363842550801</v>
      </c>
      <c r="H200" s="117">
        <v>41675.681516203702</v>
      </c>
      <c r="I200" s="118" t="s">
        <v>304</v>
      </c>
      <c r="J200" s="106">
        <f t="shared" si="20"/>
        <v>0</v>
      </c>
      <c r="AC200" s="105" t="str">
        <f t="shared" si="23"/>
        <v>f50t2</v>
      </c>
      <c r="AD200" s="115">
        <v>16</v>
      </c>
      <c r="AE200" s="115">
        <v>50</v>
      </c>
      <c r="AF200" s="115">
        <v>2</v>
      </c>
      <c r="AG200" s="115">
        <v>0.3</v>
      </c>
    </row>
    <row r="201" spans="1:33" x14ac:dyDescent="0.3">
      <c r="A201" s="105" t="str">
        <f t="shared" si="22"/>
        <v>f22t2</v>
      </c>
      <c r="B201" s="116">
        <v>198</v>
      </c>
      <c r="C201" s="116">
        <v>22</v>
      </c>
      <c r="D201" s="116">
        <v>5</v>
      </c>
      <c r="E201" s="116">
        <v>2</v>
      </c>
      <c r="F201" s="116">
        <v>0.66300000000000003</v>
      </c>
      <c r="G201" s="116">
        <v>1.4911446938800399</v>
      </c>
      <c r="H201" s="117">
        <v>41675.681516203702</v>
      </c>
      <c r="I201" s="118" t="s">
        <v>304</v>
      </c>
      <c r="J201" s="106">
        <f t="shared" si="20"/>
        <v>0</v>
      </c>
      <c r="AC201" s="105" t="str">
        <f t="shared" si="23"/>
        <v>f50t3</v>
      </c>
      <c r="AD201" s="115">
        <v>16</v>
      </c>
      <c r="AE201" s="115">
        <v>50</v>
      </c>
      <c r="AF201" s="115">
        <v>3</v>
      </c>
      <c r="AG201" s="115">
        <v>0.3</v>
      </c>
    </row>
    <row r="202" spans="1:33" x14ac:dyDescent="0.3">
      <c r="A202" s="105" t="str">
        <f t="shared" si="22"/>
        <v>f22t3</v>
      </c>
      <c r="B202" s="116">
        <v>198</v>
      </c>
      <c r="C202" s="116">
        <v>22</v>
      </c>
      <c r="D202" s="116">
        <v>5</v>
      </c>
      <c r="E202" s="116">
        <v>3</v>
      </c>
      <c r="F202" s="116">
        <v>0.66300000000000003</v>
      </c>
      <c r="G202" s="116">
        <v>1.6819363842550801</v>
      </c>
      <c r="H202" s="117">
        <v>41675.681516203702</v>
      </c>
      <c r="I202" s="118" t="s">
        <v>304</v>
      </c>
      <c r="J202" s="106">
        <f t="shared" si="20"/>
        <v>0</v>
      </c>
      <c r="AC202" s="105" t="str">
        <f t="shared" si="23"/>
        <v>f50t4</v>
      </c>
      <c r="AD202" s="115">
        <v>16</v>
      </c>
      <c r="AE202" s="115">
        <v>50</v>
      </c>
      <c r="AF202" s="115">
        <v>4</v>
      </c>
      <c r="AG202" s="115">
        <v>0.3</v>
      </c>
    </row>
    <row r="203" spans="1:33" x14ac:dyDescent="0.3">
      <c r="A203" s="105" t="str">
        <f t="shared" si="22"/>
        <v>f26t2</v>
      </c>
      <c r="B203" s="116">
        <v>198</v>
      </c>
      <c r="C203" s="116">
        <v>26</v>
      </c>
      <c r="D203" s="116">
        <v>2</v>
      </c>
      <c r="E203" s="116">
        <v>2</v>
      </c>
      <c r="F203" s="116">
        <v>4.4749999999999996</v>
      </c>
      <c r="G203" s="116">
        <v>3.9352527829962902</v>
      </c>
      <c r="H203" s="117">
        <v>41675.681516203702</v>
      </c>
      <c r="I203" s="118" t="s">
        <v>304</v>
      </c>
      <c r="J203" s="106">
        <f t="shared" si="20"/>
        <v>0</v>
      </c>
      <c r="AC203" s="105" t="str">
        <f t="shared" si="23"/>
        <v>f51t1</v>
      </c>
      <c r="AD203" s="115">
        <v>16</v>
      </c>
      <c r="AE203" s="115">
        <v>51</v>
      </c>
      <c r="AF203" s="115">
        <v>1</v>
      </c>
      <c r="AG203" s="115">
        <v>0.3</v>
      </c>
    </row>
    <row r="204" spans="1:33" x14ac:dyDescent="0.3">
      <c r="A204" s="105" t="str">
        <f t="shared" si="22"/>
        <v>f26t3</v>
      </c>
      <c r="B204" s="116">
        <v>198</v>
      </c>
      <c r="C204" s="116">
        <v>26</v>
      </c>
      <c r="D204" s="116">
        <v>2</v>
      </c>
      <c r="E204" s="116">
        <v>3</v>
      </c>
      <c r="F204" s="116">
        <v>4.6820000000000004</v>
      </c>
      <c r="G204" s="116">
        <v>1.3464686596517701</v>
      </c>
      <c r="H204" s="117">
        <v>41675.681516203702</v>
      </c>
      <c r="I204" s="118" t="s">
        <v>304</v>
      </c>
      <c r="J204" s="106">
        <f t="shared" si="20"/>
        <v>0</v>
      </c>
      <c r="AC204" s="105" t="str">
        <f t="shared" si="23"/>
        <v>f51t2</v>
      </c>
      <c r="AD204" s="115">
        <v>16</v>
      </c>
      <c r="AE204" s="115">
        <v>51</v>
      </c>
      <c r="AF204" s="115">
        <v>2</v>
      </c>
      <c r="AG204" s="115">
        <v>0.3</v>
      </c>
    </row>
    <row r="205" spans="1:33" x14ac:dyDescent="0.3">
      <c r="A205" s="105" t="str">
        <f t="shared" si="22"/>
        <v>f26t2</v>
      </c>
      <c r="B205" s="116">
        <v>198</v>
      </c>
      <c r="C205" s="116">
        <v>26</v>
      </c>
      <c r="D205" s="116">
        <v>3</v>
      </c>
      <c r="E205" s="116">
        <v>2</v>
      </c>
      <c r="F205" s="116">
        <v>4.4749999999999996</v>
      </c>
      <c r="G205" s="116">
        <v>3.9352527829962902</v>
      </c>
      <c r="H205" s="117">
        <v>41675.681516203702</v>
      </c>
      <c r="I205" s="118" t="s">
        <v>304</v>
      </c>
      <c r="J205" s="106">
        <f t="shared" si="20"/>
        <v>0</v>
      </c>
      <c r="AC205" s="105" t="str">
        <f t="shared" si="23"/>
        <v>f51t3</v>
      </c>
      <c r="AD205" s="115">
        <v>16</v>
      </c>
      <c r="AE205" s="115">
        <v>51</v>
      </c>
      <c r="AF205" s="115">
        <v>3</v>
      </c>
      <c r="AG205" s="115">
        <v>0.3</v>
      </c>
    </row>
    <row r="206" spans="1:33" x14ac:dyDescent="0.3">
      <c r="A206" s="105" t="str">
        <f t="shared" si="22"/>
        <v>f26t3</v>
      </c>
      <c r="B206" s="116">
        <v>198</v>
      </c>
      <c r="C206" s="116">
        <v>26</v>
      </c>
      <c r="D206" s="116">
        <v>3</v>
      </c>
      <c r="E206" s="116">
        <v>3</v>
      </c>
      <c r="F206" s="116">
        <v>4.6820000000000004</v>
      </c>
      <c r="G206" s="116">
        <v>1.3464686596517701</v>
      </c>
      <c r="H206" s="117">
        <v>41675.681516203702</v>
      </c>
      <c r="I206" s="118" t="s">
        <v>304</v>
      </c>
      <c r="J206" s="106">
        <f t="shared" si="20"/>
        <v>0</v>
      </c>
      <c r="AC206" s="105" t="str">
        <f t="shared" si="23"/>
        <v>f51t4</v>
      </c>
      <c r="AD206" s="115">
        <v>16</v>
      </c>
      <c r="AE206" s="115">
        <v>51</v>
      </c>
      <c r="AF206" s="115">
        <v>4</v>
      </c>
      <c r="AG206" s="115">
        <v>0.3</v>
      </c>
    </row>
    <row r="207" spans="1:33" x14ac:dyDescent="0.3">
      <c r="A207" s="105" t="str">
        <f t="shared" si="22"/>
        <v>f26t2</v>
      </c>
      <c r="B207" s="116">
        <v>198</v>
      </c>
      <c r="C207" s="116">
        <v>26</v>
      </c>
      <c r="D207" s="116">
        <v>4</v>
      </c>
      <c r="E207" s="116">
        <v>2</v>
      </c>
      <c r="F207" s="116">
        <v>4.4749999999999996</v>
      </c>
      <c r="G207" s="116">
        <v>3.9352527829962902</v>
      </c>
      <c r="H207" s="117">
        <v>41675.681516203702</v>
      </c>
      <c r="I207" s="118" t="s">
        <v>304</v>
      </c>
      <c r="J207" s="106">
        <f t="shared" si="20"/>
        <v>0</v>
      </c>
      <c r="AC207" s="105" t="str">
        <f t="shared" si="23"/>
        <v>f52t1</v>
      </c>
      <c r="AD207" s="115">
        <v>16</v>
      </c>
      <c r="AE207" s="115">
        <v>52</v>
      </c>
      <c r="AF207" s="115">
        <v>1</v>
      </c>
      <c r="AG207" s="115">
        <v>0.3</v>
      </c>
    </row>
    <row r="208" spans="1:33" x14ac:dyDescent="0.3">
      <c r="A208" s="105" t="str">
        <f t="shared" si="22"/>
        <v>f26t3</v>
      </c>
      <c r="B208" s="116">
        <v>198</v>
      </c>
      <c r="C208" s="116">
        <v>26</v>
      </c>
      <c r="D208" s="116">
        <v>4</v>
      </c>
      <c r="E208" s="116">
        <v>3</v>
      </c>
      <c r="F208" s="116">
        <v>4.6820000000000004</v>
      </c>
      <c r="G208" s="116">
        <v>1.3464686596517701</v>
      </c>
      <c r="H208" s="117">
        <v>41675.681516203702</v>
      </c>
      <c r="I208" s="118" t="s">
        <v>304</v>
      </c>
      <c r="J208" s="106">
        <f t="shared" si="20"/>
        <v>0</v>
      </c>
      <c r="AC208" s="105" t="str">
        <f t="shared" si="23"/>
        <v>f52t2</v>
      </c>
      <c r="AD208" s="115">
        <v>16</v>
      </c>
      <c r="AE208" s="115">
        <v>52</v>
      </c>
      <c r="AF208" s="115">
        <v>2</v>
      </c>
      <c r="AG208" s="115">
        <v>0.3</v>
      </c>
    </row>
    <row r="209" spans="1:33" x14ac:dyDescent="0.3">
      <c r="A209" s="105" t="str">
        <f t="shared" si="22"/>
        <v>f26t2</v>
      </c>
      <c r="B209" s="116">
        <v>198</v>
      </c>
      <c r="C209" s="116">
        <v>26</v>
      </c>
      <c r="D209" s="116">
        <v>5</v>
      </c>
      <c r="E209" s="116">
        <v>2</v>
      </c>
      <c r="F209" s="116">
        <v>4.4749999999999996</v>
      </c>
      <c r="G209" s="116">
        <v>3.9352527829962902</v>
      </c>
      <c r="H209" s="117">
        <v>41675.681516203702</v>
      </c>
      <c r="I209" s="118" t="s">
        <v>304</v>
      </c>
      <c r="J209" s="106">
        <f t="shared" si="20"/>
        <v>0</v>
      </c>
      <c r="AC209" s="105" t="str">
        <f t="shared" si="23"/>
        <v>f52t3</v>
      </c>
      <c r="AD209" s="115">
        <v>16</v>
      </c>
      <c r="AE209" s="115">
        <v>52</v>
      </c>
      <c r="AF209" s="115">
        <v>3</v>
      </c>
      <c r="AG209" s="115">
        <v>0.3</v>
      </c>
    </row>
    <row r="210" spans="1:33" x14ac:dyDescent="0.3">
      <c r="A210" s="105" t="str">
        <f t="shared" si="22"/>
        <v>f26t3</v>
      </c>
      <c r="B210" s="116">
        <v>198</v>
      </c>
      <c r="C210" s="116">
        <v>26</v>
      </c>
      <c r="D210" s="116">
        <v>5</v>
      </c>
      <c r="E210" s="116">
        <v>3</v>
      </c>
      <c r="F210" s="116">
        <v>4.6820000000000004</v>
      </c>
      <c r="G210" s="116">
        <v>1.3464686596517701</v>
      </c>
      <c r="H210" s="117">
        <v>41675.681516203702</v>
      </c>
      <c r="I210" s="118" t="s">
        <v>304</v>
      </c>
      <c r="J210" s="106">
        <f t="shared" si="20"/>
        <v>0</v>
      </c>
      <c r="AC210" s="105" t="str">
        <f t="shared" si="23"/>
        <v>f52t4</v>
      </c>
      <c r="AD210" s="115">
        <v>16</v>
      </c>
      <c r="AE210" s="115">
        <v>52</v>
      </c>
      <c r="AF210" s="115">
        <v>4</v>
      </c>
      <c r="AG210" s="115">
        <v>0.3</v>
      </c>
    </row>
    <row r="211" spans="1:33" x14ac:dyDescent="0.3">
      <c r="A211" s="105" t="str">
        <f t="shared" si="22"/>
        <v>f27t2</v>
      </c>
      <c r="B211" s="116">
        <v>198</v>
      </c>
      <c r="C211" s="116">
        <v>27</v>
      </c>
      <c r="D211" s="116">
        <v>2</v>
      </c>
      <c r="E211" s="116">
        <v>2</v>
      </c>
      <c r="F211" s="116">
        <v>2.5870000000000002</v>
      </c>
      <c r="G211" s="116">
        <v>5.7702553720092702</v>
      </c>
      <c r="H211" s="117">
        <v>41675.681516203702</v>
      </c>
      <c r="I211" s="118" t="s">
        <v>304</v>
      </c>
      <c r="J211" s="106">
        <f t="shared" si="20"/>
        <v>0</v>
      </c>
      <c r="AC211" s="105" t="str">
        <f t="shared" si="23"/>
        <v>f53t1</v>
      </c>
      <c r="AD211" s="115">
        <v>16</v>
      </c>
      <c r="AE211" s="115">
        <v>53</v>
      </c>
      <c r="AF211" s="115">
        <v>1</v>
      </c>
      <c r="AG211" s="115">
        <v>0.2</v>
      </c>
    </row>
    <row r="212" spans="1:33" x14ac:dyDescent="0.3">
      <c r="A212" s="105" t="str">
        <f t="shared" si="22"/>
        <v>f27t3</v>
      </c>
      <c r="B212" s="116">
        <v>198</v>
      </c>
      <c r="C212" s="116">
        <v>27</v>
      </c>
      <c r="D212" s="116">
        <v>2</v>
      </c>
      <c r="E212" s="116">
        <v>3</v>
      </c>
      <c r="F212" s="116">
        <v>2.5870000000000002</v>
      </c>
      <c r="G212" s="116">
        <v>7.6120758056609104</v>
      </c>
      <c r="H212" s="117">
        <v>41675.681516203702</v>
      </c>
      <c r="I212" s="118" t="s">
        <v>304</v>
      </c>
      <c r="J212" s="106">
        <f t="shared" si="20"/>
        <v>0</v>
      </c>
      <c r="AC212" s="105" t="str">
        <f t="shared" si="23"/>
        <v>f53t2</v>
      </c>
      <c r="AD212" s="115">
        <v>16</v>
      </c>
      <c r="AE212" s="115">
        <v>53</v>
      </c>
      <c r="AF212" s="115">
        <v>2</v>
      </c>
      <c r="AG212" s="115">
        <v>0.2</v>
      </c>
    </row>
    <row r="213" spans="1:33" x14ac:dyDescent="0.3">
      <c r="A213" s="105" t="str">
        <f t="shared" si="22"/>
        <v>f27t2</v>
      </c>
      <c r="B213" s="116">
        <v>198</v>
      </c>
      <c r="C213" s="116">
        <v>27</v>
      </c>
      <c r="D213" s="116">
        <v>3</v>
      </c>
      <c r="E213" s="116">
        <v>2</v>
      </c>
      <c r="F213" s="116">
        <v>2.5870000000000002</v>
      </c>
      <c r="G213" s="116">
        <v>5.7702553720092702</v>
      </c>
      <c r="H213" s="117">
        <v>41675.681516203702</v>
      </c>
      <c r="I213" s="118" t="s">
        <v>304</v>
      </c>
      <c r="J213" s="106">
        <f t="shared" si="20"/>
        <v>0</v>
      </c>
      <c r="AC213" s="105" t="str">
        <f t="shared" si="23"/>
        <v>f53t3</v>
      </c>
      <c r="AD213" s="115">
        <v>16</v>
      </c>
      <c r="AE213" s="115">
        <v>53</v>
      </c>
      <c r="AF213" s="115">
        <v>3</v>
      </c>
      <c r="AG213" s="115">
        <v>0.2</v>
      </c>
    </row>
    <row r="214" spans="1:33" x14ac:dyDescent="0.3">
      <c r="A214" s="105" t="str">
        <f t="shared" si="22"/>
        <v>f27t3</v>
      </c>
      <c r="B214" s="116">
        <v>198</v>
      </c>
      <c r="C214" s="116">
        <v>27</v>
      </c>
      <c r="D214" s="116">
        <v>3</v>
      </c>
      <c r="E214" s="116">
        <v>3</v>
      </c>
      <c r="F214" s="116">
        <v>2.5870000000000002</v>
      </c>
      <c r="G214" s="116">
        <v>7.6120758056609104</v>
      </c>
      <c r="H214" s="117">
        <v>41675.681516203702</v>
      </c>
      <c r="I214" s="118" t="s">
        <v>304</v>
      </c>
      <c r="J214" s="106">
        <f t="shared" si="20"/>
        <v>0</v>
      </c>
      <c r="AC214" s="105" t="str">
        <f t="shared" si="23"/>
        <v>f53t4</v>
      </c>
      <c r="AD214" s="115">
        <v>16</v>
      </c>
      <c r="AE214" s="115">
        <v>53</v>
      </c>
      <c r="AF214" s="115">
        <v>4</v>
      </c>
      <c r="AG214" s="115">
        <v>0.2</v>
      </c>
    </row>
    <row r="215" spans="1:33" x14ac:dyDescent="0.3">
      <c r="A215" s="105" t="str">
        <f t="shared" si="22"/>
        <v>f27t2</v>
      </c>
      <c r="B215" s="116">
        <v>198</v>
      </c>
      <c r="C215" s="116">
        <v>27</v>
      </c>
      <c r="D215" s="116">
        <v>4</v>
      </c>
      <c r="E215" s="116">
        <v>2</v>
      </c>
      <c r="F215" s="116">
        <v>2.5870000000000002</v>
      </c>
      <c r="G215" s="116">
        <v>5.7702553720092702</v>
      </c>
      <c r="H215" s="117">
        <v>41675.681516203702</v>
      </c>
      <c r="I215" s="118" t="s">
        <v>304</v>
      </c>
      <c r="J215" s="106">
        <f t="shared" si="20"/>
        <v>0</v>
      </c>
      <c r="AC215" s="105" t="str">
        <f t="shared" si="23"/>
        <v>f54t1</v>
      </c>
      <c r="AD215" s="115">
        <v>16</v>
      </c>
      <c r="AE215" s="115">
        <v>54</v>
      </c>
      <c r="AF215" s="115">
        <v>1</v>
      </c>
      <c r="AG215" s="115">
        <v>0.2</v>
      </c>
    </row>
    <row r="216" spans="1:33" x14ac:dyDescent="0.3">
      <c r="A216" s="105" t="str">
        <f t="shared" si="22"/>
        <v>f27t3</v>
      </c>
      <c r="B216" s="116">
        <v>198</v>
      </c>
      <c r="C216" s="116">
        <v>27</v>
      </c>
      <c r="D216" s="116">
        <v>4</v>
      </c>
      <c r="E216" s="116">
        <v>3</v>
      </c>
      <c r="F216" s="116">
        <v>2.5870000000000002</v>
      </c>
      <c r="G216" s="116">
        <v>7.6120758056609104</v>
      </c>
      <c r="H216" s="117">
        <v>41675.681516203702</v>
      </c>
      <c r="I216" s="118" t="s">
        <v>304</v>
      </c>
      <c r="J216" s="106">
        <f t="shared" si="20"/>
        <v>0</v>
      </c>
      <c r="AC216" s="105" t="str">
        <f t="shared" si="23"/>
        <v>f54t2</v>
      </c>
      <c r="AD216" s="115">
        <v>16</v>
      </c>
      <c r="AE216" s="115">
        <v>54</v>
      </c>
      <c r="AF216" s="115">
        <v>2</v>
      </c>
      <c r="AG216" s="115">
        <v>0.2</v>
      </c>
    </row>
    <row r="217" spans="1:33" x14ac:dyDescent="0.3">
      <c r="A217" s="105" t="str">
        <f t="shared" si="22"/>
        <v>f27t2</v>
      </c>
      <c r="B217" s="116">
        <v>198</v>
      </c>
      <c r="C217" s="116">
        <v>27</v>
      </c>
      <c r="D217" s="116">
        <v>5</v>
      </c>
      <c r="E217" s="116">
        <v>2</v>
      </c>
      <c r="F217" s="116">
        <v>2.5870000000000002</v>
      </c>
      <c r="G217" s="116">
        <v>5.7702553720092702</v>
      </c>
      <c r="H217" s="117">
        <v>41675.681516203702</v>
      </c>
      <c r="I217" s="118" t="s">
        <v>304</v>
      </c>
      <c r="J217" s="106">
        <f t="shared" si="20"/>
        <v>0</v>
      </c>
      <c r="AC217" s="105" t="str">
        <f t="shared" si="23"/>
        <v>f54t3</v>
      </c>
      <c r="AD217" s="115">
        <v>16</v>
      </c>
      <c r="AE217" s="115">
        <v>54</v>
      </c>
      <c r="AF217" s="115">
        <v>3</v>
      </c>
      <c r="AG217" s="115">
        <v>0.2</v>
      </c>
    </row>
    <row r="218" spans="1:33" x14ac:dyDescent="0.3">
      <c r="A218" s="105" t="str">
        <f t="shared" si="22"/>
        <v>f27t3</v>
      </c>
      <c r="B218" s="116">
        <v>198</v>
      </c>
      <c r="C218" s="116">
        <v>27</v>
      </c>
      <c r="D218" s="116">
        <v>5</v>
      </c>
      <c r="E218" s="116">
        <v>3</v>
      </c>
      <c r="F218" s="116">
        <v>2.5870000000000002</v>
      </c>
      <c r="G218" s="116">
        <v>7.6120758056609104</v>
      </c>
      <c r="H218" s="117">
        <v>41675.681516203702</v>
      </c>
      <c r="I218" s="118" t="s">
        <v>304</v>
      </c>
      <c r="J218" s="106">
        <f t="shared" si="20"/>
        <v>0</v>
      </c>
      <c r="AC218" s="105" t="str">
        <f t="shared" si="23"/>
        <v>f54t4</v>
      </c>
      <c r="AD218" s="115">
        <v>16</v>
      </c>
      <c r="AE218" s="115">
        <v>54</v>
      </c>
      <c r="AF218" s="115">
        <v>4</v>
      </c>
      <c r="AG218" s="115">
        <v>0.2</v>
      </c>
    </row>
    <row r="219" spans="1:33" x14ac:dyDescent="0.3">
      <c r="A219" s="105" t="str">
        <f t="shared" si="22"/>
        <v>f30t1</v>
      </c>
      <c r="B219" s="116">
        <v>198</v>
      </c>
      <c r="C219" s="116">
        <v>30</v>
      </c>
      <c r="D219" s="116">
        <v>2</v>
      </c>
      <c r="E219" s="116">
        <v>1</v>
      </c>
      <c r="F219" s="116">
        <v>0.47399999999999998</v>
      </c>
      <c r="G219" s="116">
        <v>0.286605548371755</v>
      </c>
      <c r="H219" s="117">
        <v>41675.681516203702</v>
      </c>
      <c r="I219" s="118" t="s">
        <v>304</v>
      </c>
      <c r="J219" s="106">
        <f t="shared" si="20"/>
        <v>0</v>
      </c>
      <c r="AC219" s="105" t="str">
        <f t="shared" si="23"/>
        <v>f55t1</v>
      </c>
      <c r="AD219" s="115">
        <v>16</v>
      </c>
      <c r="AE219" s="115">
        <v>55</v>
      </c>
      <c r="AF219" s="115">
        <v>1</v>
      </c>
      <c r="AG219" s="115">
        <v>0.3</v>
      </c>
    </row>
    <row r="220" spans="1:33" x14ac:dyDescent="0.3">
      <c r="A220" s="105" t="str">
        <f t="shared" si="22"/>
        <v>f30t2</v>
      </c>
      <c r="B220" s="116">
        <v>198</v>
      </c>
      <c r="C220" s="116">
        <v>30</v>
      </c>
      <c r="D220" s="116">
        <v>2</v>
      </c>
      <c r="E220" s="116">
        <v>2</v>
      </c>
      <c r="F220" s="116">
        <v>1.0860000000000001</v>
      </c>
      <c r="G220" s="116">
        <v>0.43820743624706798</v>
      </c>
      <c r="H220" s="117">
        <v>41675.681516203702</v>
      </c>
      <c r="I220" s="118" t="s">
        <v>304</v>
      </c>
      <c r="J220" s="106">
        <f t="shared" si="20"/>
        <v>0</v>
      </c>
      <c r="AC220" s="105" t="str">
        <f t="shared" si="23"/>
        <v>f55t2</v>
      </c>
      <c r="AD220" s="115">
        <v>16</v>
      </c>
      <c r="AE220" s="115">
        <v>55</v>
      </c>
      <c r="AF220" s="115">
        <v>2</v>
      </c>
      <c r="AG220" s="115">
        <v>0.3</v>
      </c>
    </row>
    <row r="221" spans="1:33" x14ac:dyDescent="0.3">
      <c r="A221" s="105" t="str">
        <f t="shared" si="22"/>
        <v>f30t3</v>
      </c>
      <c r="B221" s="116">
        <v>198</v>
      </c>
      <c r="C221" s="116">
        <v>30</v>
      </c>
      <c r="D221" s="116">
        <v>2</v>
      </c>
      <c r="E221" s="116">
        <v>3</v>
      </c>
      <c r="F221" s="116">
        <v>1.0860000000000001</v>
      </c>
      <c r="G221" s="116">
        <v>0.56614881202078104</v>
      </c>
      <c r="H221" s="117">
        <v>41675.681516203702</v>
      </c>
      <c r="I221" s="118" t="s">
        <v>304</v>
      </c>
      <c r="J221" s="106">
        <f t="shared" si="20"/>
        <v>0</v>
      </c>
      <c r="AC221" s="105" t="str">
        <f t="shared" si="23"/>
        <v>f55t3</v>
      </c>
      <c r="AD221" s="115">
        <v>16</v>
      </c>
      <c r="AE221" s="115">
        <v>55</v>
      </c>
      <c r="AF221" s="115">
        <v>3</v>
      </c>
      <c r="AG221" s="115">
        <v>0.3</v>
      </c>
    </row>
    <row r="222" spans="1:33" x14ac:dyDescent="0.3">
      <c r="A222" s="105" t="str">
        <f t="shared" si="22"/>
        <v>f30t4</v>
      </c>
      <c r="B222" s="116">
        <v>198</v>
      </c>
      <c r="C222" s="116">
        <v>30</v>
      </c>
      <c r="D222" s="116">
        <v>2</v>
      </c>
      <c r="E222" s="116">
        <v>4</v>
      </c>
      <c r="F222" s="116">
        <v>0.47399999999999998</v>
      </c>
      <c r="G222" s="116">
        <v>0.77292149676706801</v>
      </c>
      <c r="H222" s="117">
        <v>41675.681516203702</v>
      </c>
      <c r="I222" s="118" t="s">
        <v>304</v>
      </c>
      <c r="J222" s="106">
        <f t="shared" si="20"/>
        <v>0</v>
      </c>
      <c r="AC222" s="105" t="str">
        <f t="shared" si="23"/>
        <v>f55t4</v>
      </c>
      <c r="AD222" s="115">
        <v>16</v>
      </c>
      <c r="AE222" s="115">
        <v>55</v>
      </c>
      <c r="AF222" s="115">
        <v>4</v>
      </c>
      <c r="AG222" s="115">
        <v>0.3</v>
      </c>
    </row>
    <row r="223" spans="1:33" x14ac:dyDescent="0.3">
      <c r="A223" s="105" t="str">
        <f t="shared" si="22"/>
        <v>f30t1</v>
      </c>
      <c r="B223" s="116">
        <v>198</v>
      </c>
      <c r="C223" s="116">
        <v>30</v>
      </c>
      <c r="D223" s="116">
        <v>3</v>
      </c>
      <c r="E223" s="116">
        <v>1</v>
      </c>
      <c r="F223" s="116">
        <v>0.47399999999999998</v>
      </c>
      <c r="G223" s="116">
        <v>0.286605548371755</v>
      </c>
      <c r="H223" s="117">
        <v>41675.681516203702</v>
      </c>
      <c r="I223" s="118" t="s">
        <v>304</v>
      </c>
      <c r="J223" s="106">
        <f t="shared" si="20"/>
        <v>0</v>
      </c>
      <c r="AC223" s="105" t="str">
        <f t="shared" si="23"/>
        <v>f56t1</v>
      </c>
      <c r="AD223" s="115">
        <v>16</v>
      </c>
      <c r="AE223" s="115">
        <v>56</v>
      </c>
      <c r="AF223" s="115">
        <v>1</v>
      </c>
      <c r="AG223" s="115">
        <v>0.2</v>
      </c>
    </row>
    <row r="224" spans="1:33" x14ac:dyDescent="0.3">
      <c r="A224" s="105" t="str">
        <f t="shared" si="22"/>
        <v>f30t2</v>
      </c>
      <c r="B224" s="116">
        <v>198</v>
      </c>
      <c r="C224" s="116">
        <v>30</v>
      </c>
      <c r="D224" s="116">
        <v>3</v>
      </c>
      <c r="E224" s="116">
        <v>2</v>
      </c>
      <c r="F224" s="116">
        <v>1.0860000000000001</v>
      </c>
      <c r="G224" s="116">
        <v>0.43820743624706798</v>
      </c>
      <c r="H224" s="117">
        <v>41675.681516203702</v>
      </c>
      <c r="I224" s="118" t="s">
        <v>304</v>
      </c>
      <c r="J224" s="106">
        <f t="shared" si="20"/>
        <v>0</v>
      </c>
      <c r="AC224" s="105" t="str">
        <f t="shared" si="23"/>
        <v>f56t2</v>
      </c>
      <c r="AD224" s="115">
        <v>16</v>
      </c>
      <c r="AE224" s="115">
        <v>56</v>
      </c>
      <c r="AF224" s="115">
        <v>2</v>
      </c>
      <c r="AG224" s="115">
        <v>0.2</v>
      </c>
    </row>
    <row r="225" spans="1:33" x14ac:dyDescent="0.3">
      <c r="A225" s="105" t="str">
        <f t="shared" si="22"/>
        <v>f30t3</v>
      </c>
      <c r="B225" s="116">
        <v>198</v>
      </c>
      <c r="C225" s="116">
        <v>30</v>
      </c>
      <c r="D225" s="116">
        <v>3</v>
      </c>
      <c r="E225" s="116">
        <v>3</v>
      </c>
      <c r="F225" s="116">
        <v>1.0860000000000001</v>
      </c>
      <c r="G225" s="116">
        <v>0.56614881202078104</v>
      </c>
      <c r="H225" s="117">
        <v>41675.681516203702</v>
      </c>
      <c r="I225" s="118" t="s">
        <v>304</v>
      </c>
      <c r="J225" s="106">
        <f t="shared" si="20"/>
        <v>0</v>
      </c>
      <c r="AC225" s="105" t="str">
        <f t="shared" si="23"/>
        <v>f56t3</v>
      </c>
      <c r="AD225" s="115">
        <v>16</v>
      </c>
      <c r="AE225" s="115">
        <v>56</v>
      </c>
      <c r="AF225" s="115">
        <v>3</v>
      </c>
      <c r="AG225" s="115">
        <v>0.2</v>
      </c>
    </row>
    <row r="226" spans="1:33" x14ac:dyDescent="0.3">
      <c r="A226" s="105" t="str">
        <f t="shared" si="22"/>
        <v>f30t4</v>
      </c>
      <c r="B226" s="116">
        <v>198</v>
      </c>
      <c r="C226" s="116">
        <v>30</v>
      </c>
      <c r="D226" s="116">
        <v>3</v>
      </c>
      <c r="E226" s="116">
        <v>4</v>
      </c>
      <c r="F226" s="116">
        <v>0.47399999999999998</v>
      </c>
      <c r="G226" s="116">
        <v>0.77292149676706801</v>
      </c>
      <c r="H226" s="117">
        <v>41675.681516203702</v>
      </c>
      <c r="I226" s="118" t="s">
        <v>304</v>
      </c>
      <c r="J226" s="106">
        <f t="shared" si="20"/>
        <v>0</v>
      </c>
      <c r="AC226" s="105" t="str">
        <f t="shared" si="23"/>
        <v>f56t4</v>
      </c>
      <c r="AD226" s="115">
        <v>16</v>
      </c>
      <c r="AE226" s="115">
        <v>56</v>
      </c>
      <c r="AF226" s="115">
        <v>4</v>
      </c>
      <c r="AG226" s="115">
        <v>0.2</v>
      </c>
    </row>
    <row r="227" spans="1:33" x14ac:dyDescent="0.3">
      <c r="A227" s="105" t="str">
        <f t="shared" si="22"/>
        <v>f30t1</v>
      </c>
      <c r="B227" s="116">
        <v>198</v>
      </c>
      <c r="C227" s="116">
        <v>30</v>
      </c>
      <c r="D227" s="116">
        <v>4</v>
      </c>
      <c r="E227" s="116">
        <v>1</v>
      </c>
      <c r="F227" s="116">
        <v>0.47399999999999998</v>
      </c>
      <c r="G227" s="116">
        <v>0.286605548371755</v>
      </c>
      <c r="H227" s="117">
        <v>41675.681516203702</v>
      </c>
      <c r="I227" s="118" t="s">
        <v>304</v>
      </c>
      <c r="J227" s="106">
        <f t="shared" si="20"/>
        <v>0</v>
      </c>
      <c r="AC227" s="105" t="str">
        <f t="shared" si="23"/>
        <v>f57t1</v>
      </c>
      <c r="AD227" s="115">
        <v>16</v>
      </c>
      <c r="AE227" s="115">
        <v>57</v>
      </c>
      <c r="AF227" s="115">
        <v>1</v>
      </c>
      <c r="AG227" s="115">
        <v>0.2</v>
      </c>
    </row>
    <row r="228" spans="1:33" x14ac:dyDescent="0.3">
      <c r="A228" s="105" t="str">
        <f t="shared" si="22"/>
        <v>f30t2</v>
      </c>
      <c r="B228" s="116">
        <v>198</v>
      </c>
      <c r="C228" s="116">
        <v>30</v>
      </c>
      <c r="D228" s="116">
        <v>4</v>
      </c>
      <c r="E228" s="116">
        <v>2</v>
      </c>
      <c r="F228" s="116">
        <v>1.0860000000000001</v>
      </c>
      <c r="G228" s="116">
        <v>0.43820743624706798</v>
      </c>
      <c r="H228" s="117">
        <v>41675.681516203702</v>
      </c>
      <c r="I228" s="118" t="s">
        <v>304</v>
      </c>
      <c r="J228" s="106">
        <f t="shared" si="20"/>
        <v>0</v>
      </c>
      <c r="AC228" s="105" t="str">
        <f t="shared" si="23"/>
        <v>f57t2</v>
      </c>
      <c r="AD228" s="115">
        <v>16</v>
      </c>
      <c r="AE228" s="115">
        <v>57</v>
      </c>
      <c r="AF228" s="115">
        <v>2</v>
      </c>
      <c r="AG228" s="115">
        <v>0.2</v>
      </c>
    </row>
    <row r="229" spans="1:33" x14ac:dyDescent="0.3">
      <c r="A229" s="105" t="str">
        <f t="shared" si="22"/>
        <v>f30t3</v>
      </c>
      <c r="B229" s="116">
        <v>198</v>
      </c>
      <c r="C229" s="116">
        <v>30</v>
      </c>
      <c r="D229" s="116">
        <v>4</v>
      </c>
      <c r="E229" s="116">
        <v>3</v>
      </c>
      <c r="F229" s="116">
        <v>1.0860000000000001</v>
      </c>
      <c r="G229" s="116">
        <v>0.56614881202078104</v>
      </c>
      <c r="H229" s="117">
        <v>41675.681516203702</v>
      </c>
      <c r="I229" s="118" t="s">
        <v>304</v>
      </c>
      <c r="J229" s="106">
        <f t="shared" ref="J229:J292" si="24">F229-VLOOKUP(A229,L$3:P$100,5,FALSE)</f>
        <v>0</v>
      </c>
      <c r="AC229" s="105" t="str">
        <f t="shared" si="23"/>
        <v>f57t3</v>
      </c>
      <c r="AD229" s="115">
        <v>16</v>
      </c>
      <c r="AE229" s="115">
        <v>57</v>
      </c>
      <c r="AF229" s="115">
        <v>3</v>
      </c>
      <c r="AG229" s="115">
        <v>0.2</v>
      </c>
    </row>
    <row r="230" spans="1:33" x14ac:dyDescent="0.3">
      <c r="A230" s="105" t="str">
        <f t="shared" si="22"/>
        <v>f30t4</v>
      </c>
      <c r="B230" s="116">
        <v>198</v>
      </c>
      <c r="C230" s="116">
        <v>30</v>
      </c>
      <c r="D230" s="116">
        <v>4</v>
      </c>
      <c r="E230" s="116">
        <v>4</v>
      </c>
      <c r="F230" s="116">
        <v>0.47399999999999998</v>
      </c>
      <c r="G230" s="116">
        <v>0.77292149676706801</v>
      </c>
      <c r="H230" s="117">
        <v>41675.681516203702</v>
      </c>
      <c r="I230" s="118" t="s">
        <v>304</v>
      </c>
      <c r="J230" s="106">
        <f t="shared" si="24"/>
        <v>0</v>
      </c>
      <c r="AC230" s="105" t="str">
        <f t="shared" si="23"/>
        <v>f57t4</v>
      </c>
      <c r="AD230" s="115">
        <v>16</v>
      </c>
      <c r="AE230" s="115">
        <v>57</v>
      </c>
      <c r="AF230" s="115">
        <v>4</v>
      </c>
      <c r="AG230" s="115">
        <v>0.2</v>
      </c>
    </row>
    <row r="231" spans="1:33" x14ac:dyDescent="0.3">
      <c r="A231" s="105" t="str">
        <f t="shared" si="22"/>
        <v>f30t1</v>
      </c>
      <c r="B231" s="116">
        <v>198</v>
      </c>
      <c r="C231" s="116">
        <v>30</v>
      </c>
      <c r="D231" s="116">
        <v>5</v>
      </c>
      <c r="E231" s="116">
        <v>1</v>
      </c>
      <c r="F231" s="116">
        <v>0.47399999999999998</v>
      </c>
      <c r="G231" s="116">
        <v>0.286605548371755</v>
      </c>
      <c r="H231" s="117">
        <v>41675.681516203702</v>
      </c>
      <c r="I231" s="118" t="s">
        <v>304</v>
      </c>
      <c r="J231" s="106">
        <f t="shared" si="24"/>
        <v>0</v>
      </c>
      <c r="AC231" s="105" t="str">
        <f t="shared" si="23"/>
        <v>f58t1</v>
      </c>
      <c r="AD231" s="115">
        <v>16</v>
      </c>
      <c r="AE231" s="115">
        <v>58</v>
      </c>
      <c r="AF231" s="115">
        <v>1</v>
      </c>
      <c r="AG231" s="115">
        <v>0.3</v>
      </c>
    </row>
    <row r="232" spans="1:33" x14ac:dyDescent="0.3">
      <c r="A232" s="105" t="str">
        <f t="shared" si="22"/>
        <v>f30t2</v>
      </c>
      <c r="B232" s="116">
        <v>198</v>
      </c>
      <c r="C232" s="116">
        <v>30</v>
      </c>
      <c r="D232" s="116">
        <v>5</v>
      </c>
      <c r="E232" s="116">
        <v>2</v>
      </c>
      <c r="F232" s="116">
        <v>1.0860000000000001</v>
      </c>
      <c r="G232" s="116">
        <v>0.43820743624706798</v>
      </c>
      <c r="H232" s="117">
        <v>41675.681516203702</v>
      </c>
      <c r="I232" s="118" t="s">
        <v>304</v>
      </c>
      <c r="J232" s="106">
        <f t="shared" si="24"/>
        <v>0</v>
      </c>
      <c r="AC232" s="105" t="str">
        <f t="shared" si="23"/>
        <v>f58t2</v>
      </c>
      <c r="AD232" s="115">
        <v>16</v>
      </c>
      <c r="AE232" s="115">
        <v>58</v>
      </c>
      <c r="AF232" s="115">
        <v>2</v>
      </c>
      <c r="AG232" s="115">
        <v>0.3</v>
      </c>
    </row>
    <row r="233" spans="1:33" x14ac:dyDescent="0.3">
      <c r="A233" s="105" t="str">
        <f t="shared" si="22"/>
        <v>f30t3</v>
      </c>
      <c r="B233" s="116">
        <v>198</v>
      </c>
      <c r="C233" s="116">
        <v>30</v>
      </c>
      <c r="D233" s="116">
        <v>5</v>
      </c>
      <c r="E233" s="116">
        <v>3</v>
      </c>
      <c r="F233" s="116">
        <v>1.0860000000000001</v>
      </c>
      <c r="G233" s="116">
        <v>0.56614881202078104</v>
      </c>
      <c r="H233" s="117">
        <v>41675.681516203702</v>
      </c>
      <c r="I233" s="118" t="s">
        <v>304</v>
      </c>
      <c r="J233" s="106">
        <f t="shared" si="24"/>
        <v>0</v>
      </c>
      <c r="AC233" s="105" t="str">
        <f t="shared" si="23"/>
        <v>f58t3</v>
      </c>
      <c r="AD233" s="115">
        <v>16</v>
      </c>
      <c r="AE233" s="115">
        <v>58</v>
      </c>
      <c r="AF233" s="115">
        <v>3</v>
      </c>
      <c r="AG233" s="115">
        <v>0.3</v>
      </c>
    </row>
    <row r="234" spans="1:33" x14ac:dyDescent="0.3">
      <c r="A234" s="105" t="str">
        <f t="shared" si="22"/>
        <v>f30t4</v>
      </c>
      <c r="B234" s="116">
        <v>198</v>
      </c>
      <c r="C234" s="116">
        <v>30</v>
      </c>
      <c r="D234" s="116">
        <v>5</v>
      </c>
      <c r="E234" s="116">
        <v>4</v>
      </c>
      <c r="F234" s="116">
        <v>0.47399999999999998</v>
      </c>
      <c r="G234" s="116">
        <v>0.77292149676706801</v>
      </c>
      <c r="H234" s="117">
        <v>41675.681516203702</v>
      </c>
      <c r="I234" s="118" t="s">
        <v>304</v>
      </c>
      <c r="J234" s="106">
        <f t="shared" si="24"/>
        <v>0</v>
      </c>
      <c r="AC234" s="105" t="str">
        <f t="shared" si="23"/>
        <v>f58t4</v>
      </c>
      <c r="AD234" s="115">
        <v>16</v>
      </c>
      <c r="AE234" s="115">
        <v>58</v>
      </c>
      <c r="AF234" s="115">
        <v>4</v>
      </c>
      <c r="AG234" s="115">
        <v>0.3</v>
      </c>
    </row>
    <row r="235" spans="1:33" x14ac:dyDescent="0.3">
      <c r="A235" s="105" t="str">
        <f t="shared" si="22"/>
        <v>f31t2</v>
      </c>
      <c r="B235" s="116">
        <v>198</v>
      </c>
      <c r="C235" s="116">
        <v>31</v>
      </c>
      <c r="D235" s="116">
        <v>2</v>
      </c>
      <c r="E235" s="116">
        <v>2</v>
      </c>
      <c r="F235" s="116">
        <v>0.58299999999999996</v>
      </c>
      <c r="G235" s="116">
        <v>0.95889848715908299</v>
      </c>
      <c r="H235" s="117">
        <v>41675.681516203702</v>
      </c>
      <c r="I235" s="118" t="s">
        <v>304</v>
      </c>
      <c r="J235" s="106">
        <f t="shared" si="24"/>
        <v>0</v>
      </c>
      <c r="AC235" s="105" t="str">
        <f t="shared" si="23"/>
        <v>f59t1</v>
      </c>
      <c r="AD235" s="115">
        <v>16</v>
      </c>
      <c r="AE235" s="115">
        <v>59</v>
      </c>
      <c r="AF235" s="115">
        <v>1</v>
      </c>
      <c r="AG235" s="115">
        <v>0.3</v>
      </c>
    </row>
    <row r="236" spans="1:33" x14ac:dyDescent="0.3">
      <c r="A236" s="105" t="str">
        <f t="shared" si="22"/>
        <v>f31t3</v>
      </c>
      <c r="B236" s="116">
        <v>198</v>
      </c>
      <c r="C236" s="116">
        <v>31</v>
      </c>
      <c r="D236" s="116">
        <v>2</v>
      </c>
      <c r="E236" s="116">
        <v>3</v>
      </c>
      <c r="F236" s="116">
        <v>0.68899999999999995</v>
      </c>
      <c r="G236" s="116">
        <v>1.2605968848003799</v>
      </c>
      <c r="H236" s="117">
        <v>41675.681516203702</v>
      </c>
      <c r="I236" s="118" t="s">
        <v>304</v>
      </c>
      <c r="J236" s="106">
        <f t="shared" si="24"/>
        <v>0</v>
      </c>
      <c r="AC236" s="105" t="str">
        <f t="shared" si="23"/>
        <v>f59t2</v>
      </c>
      <c r="AD236" s="115">
        <v>16</v>
      </c>
      <c r="AE236" s="115">
        <v>59</v>
      </c>
      <c r="AF236" s="115">
        <v>2</v>
      </c>
      <c r="AG236" s="115">
        <v>0.3</v>
      </c>
    </row>
    <row r="237" spans="1:33" x14ac:dyDescent="0.3">
      <c r="A237" s="105" t="str">
        <f t="shared" si="22"/>
        <v>f31t2</v>
      </c>
      <c r="B237" s="116">
        <v>198</v>
      </c>
      <c r="C237" s="116">
        <v>31</v>
      </c>
      <c r="D237" s="116">
        <v>3</v>
      </c>
      <c r="E237" s="116">
        <v>2</v>
      </c>
      <c r="F237" s="116">
        <v>0.58299999999999996</v>
      </c>
      <c r="G237" s="116">
        <v>0.95889848715908299</v>
      </c>
      <c r="H237" s="117">
        <v>41675.681516203702</v>
      </c>
      <c r="I237" s="118" t="s">
        <v>304</v>
      </c>
      <c r="J237" s="106">
        <f t="shared" si="24"/>
        <v>0</v>
      </c>
      <c r="AC237" s="105" t="str">
        <f t="shared" si="23"/>
        <v>f59t3</v>
      </c>
      <c r="AD237" s="115">
        <v>16</v>
      </c>
      <c r="AE237" s="115">
        <v>59</v>
      </c>
      <c r="AF237" s="115">
        <v>3</v>
      </c>
      <c r="AG237" s="115">
        <v>0.3</v>
      </c>
    </row>
    <row r="238" spans="1:33" x14ac:dyDescent="0.3">
      <c r="A238" s="105" t="str">
        <f t="shared" si="22"/>
        <v>f31t3</v>
      </c>
      <c r="B238" s="116">
        <v>198</v>
      </c>
      <c r="C238" s="116">
        <v>31</v>
      </c>
      <c r="D238" s="116">
        <v>3</v>
      </c>
      <c r="E238" s="116">
        <v>3</v>
      </c>
      <c r="F238" s="116">
        <v>0.68899999999999995</v>
      </c>
      <c r="G238" s="116">
        <v>1.2605968848003799</v>
      </c>
      <c r="H238" s="117">
        <v>41675.681516203702</v>
      </c>
      <c r="I238" s="118" t="s">
        <v>304</v>
      </c>
      <c r="J238" s="106">
        <f t="shared" si="24"/>
        <v>0</v>
      </c>
      <c r="AC238" s="105" t="str">
        <f t="shared" si="23"/>
        <v>f59t4</v>
      </c>
      <c r="AD238" s="115">
        <v>16</v>
      </c>
      <c r="AE238" s="115">
        <v>59</v>
      </c>
      <c r="AF238" s="115">
        <v>4</v>
      </c>
      <c r="AG238" s="115">
        <v>0.3</v>
      </c>
    </row>
    <row r="239" spans="1:33" x14ac:dyDescent="0.3">
      <c r="A239" s="105" t="str">
        <f t="shared" si="22"/>
        <v>f31t2</v>
      </c>
      <c r="B239" s="116">
        <v>198</v>
      </c>
      <c r="C239" s="116">
        <v>31</v>
      </c>
      <c r="D239" s="116">
        <v>4</v>
      </c>
      <c r="E239" s="116">
        <v>2</v>
      </c>
      <c r="F239" s="116">
        <v>0.58299999999999996</v>
      </c>
      <c r="G239" s="116">
        <v>0.95889848715908299</v>
      </c>
      <c r="H239" s="117">
        <v>41675.681516203702</v>
      </c>
      <c r="I239" s="118" t="s">
        <v>304</v>
      </c>
      <c r="J239" s="106">
        <f t="shared" si="24"/>
        <v>0</v>
      </c>
      <c r="AC239" s="105" t="str">
        <f t="shared" si="23"/>
        <v>f60t1</v>
      </c>
      <c r="AD239" s="115">
        <v>16</v>
      </c>
      <c r="AE239" s="115">
        <v>60</v>
      </c>
      <c r="AF239" s="115">
        <v>1</v>
      </c>
      <c r="AG239" s="115">
        <v>0.2</v>
      </c>
    </row>
    <row r="240" spans="1:33" x14ac:dyDescent="0.3">
      <c r="A240" s="105" t="str">
        <f t="shared" si="22"/>
        <v>f31t3</v>
      </c>
      <c r="B240" s="116">
        <v>198</v>
      </c>
      <c r="C240" s="116">
        <v>31</v>
      </c>
      <c r="D240" s="116">
        <v>4</v>
      </c>
      <c r="E240" s="116">
        <v>3</v>
      </c>
      <c r="F240" s="116">
        <v>0.68899999999999995</v>
      </c>
      <c r="G240" s="116">
        <v>1.2605968848003799</v>
      </c>
      <c r="H240" s="117">
        <v>41675.681516203702</v>
      </c>
      <c r="I240" s="118" t="s">
        <v>304</v>
      </c>
      <c r="J240" s="106">
        <f t="shared" si="24"/>
        <v>0</v>
      </c>
      <c r="AC240" s="105" t="str">
        <f t="shared" si="23"/>
        <v>f60t2</v>
      </c>
      <c r="AD240" s="115">
        <v>16</v>
      </c>
      <c r="AE240" s="115">
        <v>60</v>
      </c>
      <c r="AF240" s="115">
        <v>2</v>
      </c>
      <c r="AG240" s="115">
        <v>0.2</v>
      </c>
    </row>
    <row r="241" spans="1:33" x14ac:dyDescent="0.3">
      <c r="A241" s="105" t="str">
        <f t="shared" si="22"/>
        <v>f31t2</v>
      </c>
      <c r="B241" s="116">
        <v>198</v>
      </c>
      <c r="C241" s="116">
        <v>31</v>
      </c>
      <c r="D241" s="116">
        <v>5</v>
      </c>
      <c r="E241" s="116">
        <v>2</v>
      </c>
      <c r="F241" s="116">
        <v>0.58299999999999996</v>
      </c>
      <c r="G241" s="116">
        <v>0.95889848715908299</v>
      </c>
      <c r="H241" s="117">
        <v>41675.681516203702</v>
      </c>
      <c r="I241" s="118" t="s">
        <v>304</v>
      </c>
      <c r="J241" s="106">
        <f t="shared" si="24"/>
        <v>0</v>
      </c>
      <c r="AC241" s="105" t="str">
        <f t="shared" si="23"/>
        <v>f60t3</v>
      </c>
      <c r="AD241" s="115">
        <v>16</v>
      </c>
      <c r="AE241" s="115">
        <v>60</v>
      </c>
      <c r="AF241" s="115">
        <v>3</v>
      </c>
      <c r="AG241" s="115">
        <v>0.2</v>
      </c>
    </row>
    <row r="242" spans="1:33" x14ac:dyDescent="0.3">
      <c r="A242" s="105" t="str">
        <f t="shared" si="22"/>
        <v>f31t3</v>
      </c>
      <c r="B242" s="116">
        <v>198</v>
      </c>
      <c r="C242" s="116">
        <v>31</v>
      </c>
      <c r="D242" s="116">
        <v>5</v>
      </c>
      <c r="E242" s="116">
        <v>3</v>
      </c>
      <c r="F242" s="116">
        <v>0.68899999999999995</v>
      </c>
      <c r="G242" s="116">
        <v>1.2605968848003799</v>
      </c>
      <c r="H242" s="117">
        <v>41675.681516203702</v>
      </c>
      <c r="I242" s="118" t="s">
        <v>304</v>
      </c>
      <c r="J242" s="106">
        <f t="shared" si="24"/>
        <v>0</v>
      </c>
      <c r="AC242" s="105" t="str">
        <f t="shared" si="23"/>
        <v>f60t4</v>
      </c>
      <c r="AD242" s="115">
        <v>16</v>
      </c>
      <c r="AE242" s="115">
        <v>60</v>
      </c>
      <c r="AF242" s="115">
        <v>4</v>
      </c>
      <c r="AG242" s="115">
        <v>0.2</v>
      </c>
    </row>
    <row r="243" spans="1:33" x14ac:dyDescent="0.3">
      <c r="A243" s="105" t="str">
        <f t="shared" si="22"/>
        <v>f32t2</v>
      </c>
      <c r="B243" s="116">
        <v>198</v>
      </c>
      <c r="C243" s="116">
        <v>32</v>
      </c>
      <c r="D243" s="116">
        <v>2</v>
      </c>
      <c r="E243" s="116">
        <v>2</v>
      </c>
      <c r="F243" s="116">
        <v>1.0860000000000001</v>
      </c>
      <c r="G243" s="116">
        <v>0.86592289593284599</v>
      </c>
      <c r="H243" s="117">
        <v>41675.681516203702</v>
      </c>
      <c r="I243" s="118" t="s">
        <v>304</v>
      </c>
      <c r="J243" s="106">
        <f t="shared" si="24"/>
        <v>0</v>
      </c>
      <c r="AC243" s="105" t="str">
        <f t="shared" si="23"/>
        <v>f61t1</v>
      </c>
      <c r="AD243" s="115">
        <v>16</v>
      </c>
      <c r="AE243" s="115">
        <v>61</v>
      </c>
      <c r="AF243" s="115">
        <v>1</v>
      </c>
      <c r="AG243" s="115">
        <v>0.3</v>
      </c>
    </row>
    <row r="244" spans="1:33" x14ac:dyDescent="0.3">
      <c r="A244" s="105" t="str">
        <f t="shared" si="22"/>
        <v>f32t3</v>
      </c>
      <c r="B244" s="116">
        <v>198</v>
      </c>
      <c r="C244" s="116">
        <v>32</v>
      </c>
      <c r="D244" s="116">
        <v>2</v>
      </c>
      <c r="E244" s="116">
        <v>3</v>
      </c>
      <c r="F244" s="116">
        <v>1.0860000000000001</v>
      </c>
      <c r="G244" s="116">
        <v>0.50314283191414</v>
      </c>
      <c r="H244" s="117">
        <v>41675.681516203702</v>
      </c>
      <c r="I244" s="118" t="s">
        <v>304</v>
      </c>
      <c r="J244" s="106">
        <f t="shared" si="24"/>
        <v>0</v>
      </c>
      <c r="AC244" s="105" t="str">
        <f t="shared" si="23"/>
        <v>f61t2</v>
      </c>
      <c r="AD244" s="115">
        <v>16</v>
      </c>
      <c r="AE244" s="115">
        <v>61</v>
      </c>
      <c r="AF244" s="115">
        <v>2</v>
      </c>
      <c r="AG244" s="115">
        <v>0.3</v>
      </c>
    </row>
    <row r="245" spans="1:33" x14ac:dyDescent="0.3">
      <c r="A245" s="105" t="str">
        <f t="shared" si="22"/>
        <v>f32t2</v>
      </c>
      <c r="B245" s="116">
        <v>198</v>
      </c>
      <c r="C245" s="116">
        <v>32</v>
      </c>
      <c r="D245" s="116">
        <v>3</v>
      </c>
      <c r="E245" s="116">
        <v>2</v>
      </c>
      <c r="F245" s="116">
        <v>1.0860000000000001</v>
      </c>
      <c r="G245" s="116">
        <v>0.86592289593284599</v>
      </c>
      <c r="H245" s="117">
        <v>41675.681516203702</v>
      </c>
      <c r="I245" s="118" t="s">
        <v>304</v>
      </c>
      <c r="J245" s="106">
        <f t="shared" si="24"/>
        <v>0</v>
      </c>
      <c r="AC245" s="105" t="str">
        <f t="shared" si="23"/>
        <v>f61t3</v>
      </c>
      <c r="AD245" s="115">
        <v>16</v>
      </c>
      <c r="AE245" s="115">
        <v>61</v>
      </c>
      <c r="AF245" s="115">
        <v>3</v>
      </c>
      <c r="AG245" s="115">
        <v>0.3</v>
      </c>
    </row>
    <row r="246" spans="1:33" x14ac:dyDescent="0.3">
      <c r="A246" s="105" t="str">
        <f t="shared" si="22"/>
        <v>f32t3</v>
      </c>
      <c r="B246" s="116">
        <v>198</v>
      </c>
      <c r="C246" s="116">
        <v>32</v>
      </c>
      <c r="D246" s="116">
        <v>3</v>
      </c>
      <c r="E246" s="116">
        <v>3</v>
      </c>
      <c r="F246" s="116">
        <v>1.0860000000000001</v>
      </c>
      <c r="G246" s="116">
        <v>0.50314283191414</v>
      </c>
      <c r="H246" s="117">
        <v>41675.681516203702</v>
      </c>
      <c r="I246" s="118" t="s">
        <v>304</v>
      </c>
      <c r="J246" s="106">
        <f t="shared" si="24"/>
        <v>0</v>
      </c>
      <c r="AC246" s="105" t="str">
        <f t="shared" si="23"/>
        <v>f61t4</v>
      </c>
      <c r="AD246" s="115">
        <v>16</v>
      </c>
      <c r="AE246" s="115">
        <v>61</v>
      </c>
      <c r="AF246" s="115">
        <v>4</v>
      </c>
      <c r="AG246" s="115">
        <v>0.3</v>
      </c>
    </row>
    <row r="247" spans="1:33" x14ac:dyDescent="0.3">
      <c r="A247" s="105" t="str">
        <f t="shared" si="22"/>
        <v>f32t2</v>
      </c>
      <c r="B247" s="116">
        <v>198</v>
      </c>
      <c r="C247" s="116">
        <v>32</v>
      </c>
      <c r="D247" s="116">
        <v>4</v>
      </c>
      <c r="E247" s="116">
        <v>2</v>
      </c>
      <c r="F247" s="116">
        <v>1.0860000000000001</v>
      </c>
      <c r="G247" s="116">
        <v>0.86592289593284599</v>
      </c>
      <c r="H247" s="117">
        <v>41675.681516203702</v>
      </c>
      <c r="I247" s="118" t="s">
        <v>304</v>
      </c>
      <c r="J247" s="106">
        <f t="shared" si="24"/>
        <v>0</v>
      </c>
      <c r="AC247" s="105" t="str">
        <f t="shared" si="23"/>
        <v>f62t1</v>
      </c>
      <c r="AD247" s="115">
        <v>16</v>
      </c>
      <c r="AE247" s="115">
        <v>62</v>
      </c>
      <c r="AF247" s="115">
        <v>1</v>
      </c>
      <c r="AG247" s="115">
        <v>0.2</v>
      </c>
    </row>
    <row r="248" spans="1:33" x14ac:dyDescent="0.3">
      <c r="A248" s="105" t="str">
        <f t="shared" si="22"/>
        <v>f32t3</v>
      </c>
      <c r="B248" s="116">
        <v>198</v>
      </c>
      <c r="C248" s="116">
        <v>32</v>
      </c>
      <c r="D248" s="116">
        <v>4</v>
      </c>
      <c r="E248" s="116">
        <v>3</v>
      </c>
      <c r="F248" s="116">
        <v>1.0860000000000001</v>
      </c>
      <c r="G248" s="116">
        <v>0.50314283191414</v>
      </c>
      <c r="H248" s="117">
        <v>41675.681516203702</v>
      </c>
      <c r="I248" s="118" t="s">
        <v>304</v>
      </c>
      <c r="J248" s="106">
        <f t="shared" si="24"/>
        <v>0</v>
      </c>
      <c r="AC248" s="105" t="str">
        <f t="shared" si="23"/>
        <v>f62t2</v>
      </c>
      <c r="AD248" s="115">
        <v>16</v>
      </c>
      <c r="AE248" s="115">
        <v>62</v>
      </c>
      <c r="AF248" s="115">
        <v>2</v>
      </c>
      <c r="AG248" s="115">
        <v>0.2</v>
      </c>
    </row>
    <row r="249" spans="1:33" x14ac:dyDescent="0.3">
      <c r="A249" s="105" t="str">
        <f t="shared" si="22"/>
        <v>f32t2</v>
      </c>
      <c r="B249" s="116">
        <v>198</v>
      </c>
      <c r="C249" s="116">
        <v>32</v>
      </c>
      <c r="D249" s="116">
        <v>5</v>
      </c>
      <c r="E249" s="116">
        <v>2</v>
      </c>
      <c r="F249" s="116">
        <v>1.0860000000000001</v>
      </c>
      <c r="G249" s="116">
        <v>0.86592289593284599</v>
      </c>
      <c r="H249" s="117">
        <v>41675.681516203702</v>
      </c>
      <c r="I249" s="118" t="s">
        <v>304</v>
      </c>
      <c r="J249" s="106">
        <f t="shared" si="24"/>
        <v>0</v>
      </c>
      <c r="AC249" s="105" t="str">
        <f t="shared" si="23"/>
        <v>f62t3</v>
      </c>
      <c r="AD249" s="115">
        <v>16</v>
      </c>
      <c r="AE249" s="115">
        <v>62</v>
      </c>
      <c r="AF249" s="115">
        <v>3</v>
      </c>
      <c r="AG249" s="115">
        <v>0.2</v>
      </c>
    </row>
    <row r="250" spans="1:33" x14ac:dyDescent="0.3">
      <c r="A250" s="105" t="str">
        <f t="shared" si="22"/>
        <v>f32t3</v>
      </c>
      <c r="B250" s="116">
        <v>198</v>
      </c>
      <c r="C250" s="116">
        <v>32</v>
      </c>
      <c r="D250" s="116">
        <v>5</v>
      </c>
      <c r="E250" s="116">
        <v>3</v>
      </c>
      <c r="F250" s="116">
        <v>1.0860000000000001</v>
      </c>
      <c r="G250" s="116">
        <v>0.50314283191414</v>
      </c>
      <c r="H250" s="117">
        <v>41675.681516203702</v>
      </c>
      <c r="I250" s="118" t="s">
        <v>304</v>
      </c>
      <c r="J250" s="106">
        <f t="shared" si="24"/>
        <v>0</v>
      </c>
      <c r="AC250" s="105" t="str">
        <f t="shared" si="23"/>
        <v>f62t4</v>
      </c>
      <c r="AD250" s="115">
        <v>16</v>
      </c>
      <c r="AE250" s="115">
        <v>62</v>
      </c>
      <c r="AF250" s="115">
        <v>4</v>
      </c>
      <c r="AG250" s="115">
        <v>0.2</v>
      </c>
    </row>
    <row r="251" spans="1:33" x14ac:dyDescent="0.3">
      <c r="A251" s="105" t="str">
        <f t="shared" si="22"/>
        <v>f33t2</v>
      </c>
      <c r="B251" s="116">
        <v>198</v>
      </c>
      <c r="C251" s="116">
        <v>33</v>
      </c>
      <c r="D251" s="116">
        <v>2</v>
      </c>
      <c r="E251" s="116">
        <v>2</v>
      </c>
      <c r="F251" s="116">
        <v>0.58299999999999996</v>
      </c>
      <c r="G251" s="116">
        <v>1.0698478157747799</v>
      </c>
      <c r="H251" s="117">
        <v>41675.681516203702</v>
      </c>
      <c r="I251" s="118" t="s">
        <v>304</v>
      </c>
      <c r="J251" s="106">
        <f t="shared" si="24"/>
        <v>0</v>
      </c>
      <c r="AC251" s="105" t="str">
        <f t="shared" si="23"/>
        <v>f63t1</v>
      </c>
      <c r="AD251" s="115">
        <v>16</v>
      </c>
      <c r="AE251" s="115">
        <v>63</v>
      </c>
      <c r="AF251" s="115">
        <v>1</v>
      </c>
      <c r="AG251" s="115">
        <v>0.3</v>
      </c>
    </row>
    <row r="252" spans="1:33" x14ac:dyDescent="0.3">
      <c r="A252" s="105" t="str">
        <f t="shared" si="22"/>
        <v>f33t3</v>
      </c>
      <c r="B252" s="116">
        <v>198</v>
      </c>
      <c r="C252" s="116">
        <v>33</v>
      </c>
      <c r="D252" s="116">
        <v>2</v>
      </c>
      <c r="E252" s="116">
        <v>3</v>
      </c>
      <c r="F252" s="116">
        <v>0.68899999999999995</v>
      </c>
      <c r="G252" s="116">
        <v>1.0922909862374801</v>
      </c>
      <c r="H252" s="117">
        <v>41675.681516203702</v>
      </c>
      <c r="I252" s="118" t="s">
        <v>304</v>
      </c>
      <c r="J252" s="106">
        <f t="shared" si="24"/>
        <v>0</v>
      </c>
      <c r="AC252" s="105" t="str">
        <f t="shared" si="23"/>
        <v>f63t2</v>
      </c>
      <c r="AD252" s="115">
        <v>16</v>
      </c>
      <c r="AE252" s="115">
        <v>63</v>
      </c>
      <c r="AF252" s="115">
        <v>2</v>
      </c>
      <c r="AG252" s="115">
        <v>0.3</v>
      </c>
    </row>
    <row r="253" spans="1:33" x14ac:dyDescent="0.3">
      <c r="A253" s="105" t="str">
        <f t="shared" si="22"/>
        <v>f33t2</v>
      </c>
      <c r="B253" s="116">
        <v>198</v>
      </c>
      <c r="C253" s="116">
        <v>33</v>
      </c>
      <c r="D253" s="116">
        <v>3</v>
      </c>
      <c r="E253" s="116">
        <v>2</v>
      </c>
      <c r="F253" s="116">
        <v>0.58299999999999996</v>
      </c>
      <c r="G253" s="116">
        <v>1.0698478157747799</v>
      </c>
      <c r="H253" s="117">
        <v>41675.681516203702</v>
      </c>
      <c r="I253" s="118" t="s">
        <v>304</v>
      </c>
      <c r="J253" s="106">
        <f t="shared" si="24"/>
        <v>0</v>
      </c>
      <c r="AC253" s="105" t="str">
        <f t="shared" si="23"/>
        <v>f63t3</v>
      </c>
      <c r="AD253" s="115">
        <v>16</v>
      </c>
      <c r="AE253" s="115">
        <v>63</v>
      </c>
      <c r="AF253" s="115">
        <v>3</v>
      </c>
      <c r="AG253" s="115">
        <v>0.3</v>
      </c>
    </row>
    <row r="254" spans="1:33" x14ac:dyDescent="0.3">
      <c r="A254" s="105" t="str">
        <f t="shared" si="22"/>
        <v>f33t3</v>
      </c>
      <c r="B254" s="116">
        <v>198</v>
      </c>
      <c r="C254" s="116">
        <v>33</v>
      </c>
      <c r="D254" s="116">
        <v>3</v>
      </c>
      <c r="E254" s="116">
        <v>3</v>
      </c>
      <c r="F254" s="116">
        <v>0.68899999999999995</v>
      </c>
      <c r="G254" s="116">
        <v>1.0922909862374801</v>
      </c>
      <c r="H254" s="117">
        <v>41675.681516203702</v>
      </c>
      <c r="I254" s="118" t="s">
        <v>304</v>
      </c>
      <c r="J254" s="106">
        <f t="shared" si="24"/>
        <v>0</v>
      </c>
      <c r="AC254" s="105" t="str">
        <f t="shared" si="23"/>
        <v>f63t4</v>
      </c>
      <c r="AD254" s="115">
        <v>16</v>
      </c>
      <c r="AE254" s="115">
        <v>63</v>
      </c>
      <c r="AF254" s="115">
        <v>4</v>
      </c>
      <c r="AG254" s="115">
        <v>0.3</v>
      </c>
    </row>
    <row r="255" spans="1:33" x14ac:dyDescent="0.3">
      <c r="A255" s="105" t="str">
        <f t="shared" si="22"/>
        <v>f33t2</v>
      </c>
      <c r="B255" s="116">
        <v>198</v>
      </c>
      <c r="C255" s="116">
        <v>33</v>
      </c>
      <c r="D255" s="116">
        <v>4</v>
      </c>
      <c r="E255" s="116">
        <v>2</v>
      </c>
      <c r="F255" s="116">
        <v>0.58299999999999996</v>
      </c>
      <c r="G255" s="116">
        <v>1.0698478157747799</v>
      </c>
      <c r="H255" s="117">
        <v>41675.681516203702</v>
      </c>
      <c r="I255" s="118" t="s">
        <v>304</v>
      </c>
      <c r="J255" s="106">
        <f t="shared" si="24"/>
        <v>0</v>
      </c>
      <c r="AC255" s="105" t="str">
        <f t="shared" si="23"/>
        <v>f64t1</v>
      </c>
      <c r="AD255" s="115">
        <v>16</v>
      </c>
      <c r="AE255" s="115">
        <v>64</v>
      </c>
      <c r="AF255" s="115">
        <v>1</v>
      </c>
      <c r="AG255" s="115">
        <v>0.2</v>
      </c>
    </row>
    <row r="256" spans="1:33" x14ac:dyDescent="0.3">
      <c r="A256" s="105" t="str">
        <f t="shared" si="22"/>
        <v>f33t3</v>
      </c>
      <c r="B256" s="116">
        <v>198</v>
      </c>
      <c r="C256" s="116">
        <v>33</v>
      </c>
      <c r="D256" s="116">
        <v>4</v>
      </c>
      <c r="E256" s="116">
        <v>3</v>
      </c>
      <c r="F256" s="116">
        <v>0.68899999999999995</v>
      </c>
      <c r="G256" s="116">
        <v>1.0922909862374801</v>
      </c>
      <c r="H256" s="117">
        <v>41675.681516203702</v>
      </c>
      <c r="I256" s="118" t="s">
        <v>304</v>
      </c>
      <c r="J256" s="106">
        <f t="shared" si="24"/>
        <v>0</v>
      </c>
      <c r="AC256" s="105" t="str">
        <f t="shared" si="23"/>
        <v>f64t2</v>
      </c>
      <c r="AD256" s="115">
        <v>16</v>
      </c>
      <c r="AE256" s="115">
        <v>64</v>
      </c>
      <c r="AF256" s="115">
        <v>2</v>
      </c>
      <c r="AG256" s="115">
        <v>0.2</v>
      </c>
    </row>
    <row r="257" spans="1:33" x14ac:dyDescent="0.3">
      <c r="A257" s="105" t="str">
        <f t="shared" si="22"/>
        <v>f33t2</v>
      </c>
      <c r="B257" s="116">
        <v>198</v>
      </c>
      <c r="C257" s="116">
        <v>33</v>
      </c>
      <c r="D257" s="116">
        <v>5</v>
      </c>
      <c r="E257" s="116">
        <v>2</v>
      </c>
      <c r="F257" s="116">
        <v>0.58299999999999996</v>
      </c>
      <c r="G257" s="116">
        <v>1.0698478157747799</v>
      </c>
      <c r="H257" s="117">
        <v>41675.681516203702</v>
      </c>
      <c r="I257" s="118" t="s">
        <v>304</v>
      </c>
      <c r="J257" s="106">
        <f t="shared" si="24"/>
        <v>0</v>
      </c>
      <c r="AC257" s="105" t="str">
        <f t="shared" si="23"/>
        <v>f64t3</v>
      </c>
      <c r="AD257" s="115">
        <v>16</v>
      </c>
      <c r="AE257" s="115">
        <v>64</v>
      </c>
      <c r="AF257" s="115">
        <v>3</v>
      </c>
      <c r="AG257" s="115">
        <v>0.2</v>
      </c>
    </row>
    <row r="258" spans="1:33" x14ac:dyDescent="0.3">
      <c r="A258" s="105" t="str">
        <f t="shared" si="22"/>
        <v>f33t3</v>
      </c>
      <c r="B258" s="116">
        <v>198</v>
      </c>
      <c r="C258" s="116">
        <v>33</v>
      </c>
      <c r="D258" s="116">
        <v>5</v>
      </c>
      <c r="E258" s="116">
        <v>3</v>
      </c>
      <c r="F258" s="116">
        <v>0.68899999999999995</v>
      </c>
      <c r="G258" s="116">
        <v>1.0922909862374801</v>
      </c>
      <c r="H258" s="117">
        <v>41675.681516203702</v>
      </c>
      <c r="I258" s="118" t="s">
        <v>304</v>
      </c>
      <c r="J258" s="106">
        <f t="shared" si="24"/>
        <v>0</v>
      </c>
      <c r="AC258" s="105" t="str">
        <f t="shared" si="23"/>
        <v>f64t4</v>
      </c>
      <c r="AD258" s="115">
        <v>16</v>
      </c>
      <c r="AE258" s="115">
        <v>64</v>
      </c>
      <c r="AF258" s="115">
        <v>4</v>
      </c>
      <c r="AG258" s="115">
        <v>0.2</v>
      </c>
    </row>
    <row r="259" spans="1:33" x14ac:dyDescent="0.3">
      <c r="A259" s="105" t="str">
        <f t="shared" si="22"/>
        <v>f34t2</v>
      </c>
      <c r="B259" s="116">
        <v>198</v>
      </c>
      <c r="C259" s="116">
        <v>34</v>
      </c>
      <c r="D259" s="116">
        <v>2</v>
      </c>
      <c r="E259" s="116">
        <v>2</v>
      </c>
      <c r="F259" s="116">
        <v>0.36799999999999999</v>
      </c>
      <c r="G259" s="116">
        <v>5.6345494531063305E-14</v>
      </c>
      <c r="H259" s="117">
        <v>41675.681516203702</v>
      </c>
      <c r="I259" s="118" t="s">
        <v>304</v>
      </c>
      <c r="J259" s="106">
        <f t="shared" si="24"/>
        <v>0</v>
      </c>
      <c r="AC259" s="105" t="str">
        <f t="shared" si="23"/>
        <v>f65t1</v>
      </c>
      <c r="AD259" s="115">
        <v>16</v>
      </c>
      <c r="AE259" s="115">
        <v>65</v>
      </c>
      <c r="AF259" s="115">
        <v>1</v>
      </c>
      <c r="AG259" s="115">
        <v>0.3</v>
      </c>
    </row>
    <row r="260" spans="1:33" x14ac:dyDescent="0.3">
      <c r="A260" s="105" t="str">
        <f t="shared" ref="A260:A323" si="25">"f"&amp;C260&amp;"t"&amp;E260</f>
        <v>f34t3</v>
      </c>
      <c r="B260" s="116">
        <v>198</v>
      </c>
      <c r="C260" s="116">
        <v>34</v>
      </c>
      <c r="D260" s="116">
        <v>2</v>
      </c>
      <c r="E260" s="116">
        <v>3</v>
      </c>
      <c r="F260" s="116">
        <v>0.6</v>
      </c>
      <c r="G260" s="116">
        <v>0.28195599844195601</v>
      </c>
      <c r="H260" s="117">
        <v>41675.681516203702</v>
      </c>
      <c r="I260" s="118" t="s">
        <v>304</v>
      </c>
      <c r="J260" s="106">
        <f t="shared" si="24"/>
        <v>0</v>
      </c>
      <c r="AC260" s="105" t="str">
        <f t="shared" ref="AC260:AC294" si="26">"f"&amp;AE260&amp;"t"&amp;AF260</f>
        <v>f65t2</v>
      </c>
      <c r="AD260" s="115">
        <v>16</v>
      </c>
      <c r="AE260" s="115">
        <v>65</v>
      </c>
      <c r="AF260" s="115">
        <v>2</v>
      </c>
      <c r="AG260" s="115">
        <v>0.3</v>
      </c>
    </row>
    <row r="261" spans="1:33" x14ac:dyDescent="0.3">
      <c r="A261" s="105" t="str">
        <f t="shared" si="25"/>
        <v>f34t2</v>
      </c>
      <c r="B261" s="116">
        <v>198</v>
      </c>
      <c r="C261" s="116">
        <v>34</v>
      </c>
      <c r="D261" s="116">
        <v>3</v>
      </c>
      <c r="E261" s="116">
        <v>2</v>
      </c>
      <c r="F261" s="116">
        <v>0.36799999999999999</v>
      </c>
      <c r="G261" s="116">
        <v>5.6345494531063305E-14</v>
      </c>
      <c r="H261" s="117">
        <v>41675.681516203702</v>
      </c>
      <c r="I261" s="118" t="s">
        <v>304</v>
      </c>
      <c r="J261" s="106">
        <f t="shared" si="24"/>
        <v>0</v>
      </c>
      <c r="AC261" s="105" t="str">
        <f t="shared" si="26"/>
        <v>f65t3</v>
      </c>
      <c r="AD261" s="115">
        <v>16</v>
      </c>
      <c r="AE261" s="115">
        <v>65</v>
      </c>
      <c r="AF261" s="115">
        <v>3</v>
      </c>
      <c r="AG261" s="115">
        <v>0.3</v>
      </c>
    </row>
    <row r="262" spans="1:33" x14ac:dyDescent="0.3">
      <c r="A262" s="105" t="str">
        <f t="shared" si="25"/>
        <v>f34t3</v>
      </c>
      <c r="B262" s="116">
        <v>198</v>
      </c>
      <c r="C262" s="116">
        <v>34</v>
      </c>
      <c r="D262" s="116">
        <v>3</v>
      </c>
      <c r="E262" s="116">
        <v>3</v>
      </c>
      <c r="F262" s="116">
        <v>0.6</v>
      </c>
      <c r="G262" s="116">
        <v>0.28195599844195601</v>
      </c>
      <c r="H262" s="117">
        <v>41675.681516203702</v>
      </c>
      <c r="I262" s="118" t="s">
        <v>304</v>
      </c>
      <c r="J262" s="106">
        <f t="shared" si="24"/>
        <v>0</v>
      </c>
      <c r="AC262" s="105" t="str">
        <f t="shared" si="26"/>
        <v>f65t4</v>
      </c>
      <c r="AD262" s="115">
        <v>16</v>
      </c>
      <c r="AE262" s="115">
        <v>65</v>
      </c>
      <c r="AF262" s="115">
        <v>4</v>
      </c>
      <c r="AG262" s="115">
        <v>0.3</v>
      </c>
    </row>
    <row r="263" spans="1:33" x14ac:dyDescent="0.3">
      <c r="A263" s="105" t="str">
        <f t="shared" si="25"/>
        <v>f34t2</v>
      </c>
      <c r="B263" s="116">
        <v>198</v>
      </c>
      <c r="C263" s="116">
        <v>34</v>
      </c>
      <c r="D263" s="116">
        <v>4</v>
      </c>
      <c r="E263" s="116">
        <v>2</v>
      </c>
      <c r="F263" s="116">
        <v>0.36799999999999999</v>
      </c>
      <c r="G263" s="116">
        <v>5.6345494531063305E-14</v>
      </c>
      <c r="H263" s="117">
        <v>41675.681516203702</v>
      </c>
      <c r="I263" s="118" t="s">
        <v>304</v>
      </c>
      <c r="J263" s="106">
        <f t="shared" si="24"/>
        <v>0</v>
      </c>
      <c r="AC263" s="105" t="str">
        <f t="shared" si="26"/>
        <v>f66t1</v>
      </c>
      <c r="AD263" s="115">
        <v>16</v>
      </c>
      <c r="AE263" s="115">
        <v>66</v>
      </c>
      <c r="AF263" s="115">
        <v>1</v>
      </c>
      <c r="AG263" s="115">
        <v>0.3</v>
      </c>
    </row>
    <row r="264" spans="1:33" x14ac:dyDescent="0.3">
      <c r="A264" s="105" t="str">
        <f t="shared" si="25"/>
        <v>f34t3</v>
      </c>
      <c r="B264" s="116">
        <v>198</v>
      </c>
      <c r="C264" s="116">
        <v>34</v>
      </c>
      <c r="D264" s="116">
        <v>4</v>
      </c>
      <c r="E264" s="116">
        <v>3</v>
      </c>
      <c r="F264" s="116">
        <v>0.6</v>
      </c>
      <c r="G264" s="116">
        <v>0.28195599844195601</v>
      </c>
      <c r="H264" s="117">
        <v>41675.681516203702</v>
      </c>
      <c r="I264" s="118" t="s">
        <v>304</v>
      </c>
      <c r="J264" s="106">
        <f t="shared" si="24"/>
        <v>0</v>
      </c>
      <c r="AC264" s="105" t="str">
        <f t="shared" si="26"/>
        <v>f66t2</v>
      </c>
      <c r="AD264" s="115">
        <v>16</v>
      </c>
      <c r="AE264" s="115">
        <v>66</v>
      </c>
      <c r="AF264" s="115">
        <v>2</v>
      </c>
      <c r="AG264" s="115">
        <v>0.3</v>
      </c>
    </row>
    <row r="265" spans="1:33" x14ac:dyDescent="0.3">
      <c r="A265" s="105" t="str">
        <f t="shared" si="25"/>
        <v>f34t2</v>
      </c>
      <c r="B265" s="116">
        <v>198</v>
      </c>
      <c r="C265" s="116">
        <v>34</v>
      </c>
      <c r="D265" s="116">
        <v>5</v>
      </c>
      <c r="E265" s="116">
        <v>2</v>
      </c>
      <c r="F265" s="116">
        <v>0.36799999999999999</v>
      </c>
      <c r="G265" s="116">
        <v>5.6345494531063305E-14</v>
      </c>
      <c r="H265" s="117">
        <v>41675.681516203702</v>
      </c>
      <c r="I265" s="118" t="s">
        <v>304</v>
      </c>
      <c r="J265" s="106">
        <f t="shared" si="24"/>
        <v>0</v>
      </c>
      <c r="AC265" s="105" t="str">
        <f t="shared" si="26"/>
        <v>f66t3</v>
      </c>
      <c r="AD265" s="115">
        <v>16</v>
      </c>
      <c r="AE265" s="115">
        <v>66</v>
      </c>
      <c r="AF265" s="115">
        <v>3</v>
      </c>
      <c r="AG265" s="115">
        <v>0.3</v>
      </c>
    </row>
    <row r="266" spans="1:33" x14ac:dyDescent="0.3">
      <c r="A266" s="105" t="str">
        <f t="shared" si="25"/>
        <v>f34t3</v>
      </c>
      <c r="B266" s="116">
        <v>198</v>
      </c>
      <c r="C266" s="116">
        <v>34</v>
      </c>
      <c r="D266" s="116">
        <v>5</v>
      </c>
      <c r="E266" s="116">
        <v>3</v>
      </c>
      <c r="F266" s="116">
        <v>0.6</v>
      </c>
      <c r="G266" s="116">
        <v>0.28195599844195601</v>
      </c>
      <c r="H266" s="117">
        <v>41675.681516203702</v>
      </c>
      <c r="I266" s="118" t="s">
        <v>304</v>
      </c>
      <c r="J266" s="106">
        <f t="shared" si="24"/>
        <v>0</v>
      </c>
      <c r="AC266" s="105" t="str">
        <f t="shared" si="26"/>
        <v>f66t4</v>
      </c>
      <c r="AD266" s="115">
        <v>16</v>
      </c>
      <c r="AE266" s="115">
        <v>66</v>
      </c>
      <c r="AF266" s="115">
        <v>4</v>
      </c>
      <c r="AG266" s="115">
        <v>0.3</v>
      </c>
    </row>
    <row r="267" spans="1:33" x14ac:dyDescent="0.3">
      <c r="A267" s="105" t="str">
        <f t="shared" si="25"/>
        <v>f35t1</v>
      </c>
      <c r="B267" s="116">
        <v>198</v>
      </c>
      <c r="C267" s="116">
        <v>35</v>
      </c>
      <c r="D267" s="116">
        <v>2</v>
      </c>
      <c r="E267" s="116">
        <v>1</v>
      </c>
      <c r="F267" s="116">
        <v>0.92</v>
      </c>
      <c r="G267" s="116">
        <v>4.8990139144298901</v>
      </c>
      <c r="H267" s="117">
        <v>41675.681516203702</v>
      </c>
      <c r="I267" s="118" t="s">
        <v>304</v>
      </c>
      <c r="J267" s="106">
        <f t="shared" si="24"/>
        <v>0</v>
      </c>
      <c r="AC267" s="105" t="str">
        <f t="shared" si="26"/>
        <v>f67t1</v>
      </c>
      <c r="AD267" s="115">
        <v>16</v>
      </c>
      <c r="AE267" s="115">
        <v>67</v>
      </c>
      <c r="AF267" s="115">
        <v>1</v>
      </c>
      <c r="AG267" s="115">
        <v>0.2</v>
      </c>
    </row>
    <row r="268" spans="1:33" x14ac:dyDescent="0.3">
      <c r="A268" s="105" t="str">
        <f t="shared" si="25"/>
        <v>f35t2</v>
      </c>
      <c r="B268" s="116">
        <v>198</v>
      </c>
      <c r="C268" s="116">
        <v>35</v>
      </c>
      <c r="D268" s="116">
        <v>2</v>
      </c>
      <c r="E268" s="116">
        <v>2</v>
      </c>
      <c r="F268" s="116">
        <v>0.61</v>
      </c>
      <c r="G268" s="116">
        <v>0.75393906611616901</v>
      </c>
      <c r="H268" s="117">
        <v>41675.681516203702</v>
      </c>
      <c r="I268" s="118" t="s">
        <v>304</v>
      </c>
      <c r="J268" s="106">
        <f t="shared" si="24"/>
        <v>0</v>
      </c>
      <c r="AC268" s="105" t="str">
        <f t="shared" si="26"/>
        <v>f67t2</v>
      </c>
      <c r="AD268" s="115">
        <v>16</v>
      </c>
      <c r="AE268" s="115">
        <v>67</v>
      </c>
      <c r="AF268" s="115">
        <v>2</v>
      </c>
      <c r="AG268" s="115">
        <v>0.2</v>
      </c>
    </row>
    <row r="269" spans="1:33" x14ac:dyDescent="0.3">
      <c r="A269" s="105" t="str">
        <f t="shared" si="25"/>
        <v>f35t3</v>
      </c>
      <c r="B269" s="116">
        <v>198</v>
      </c>
      <c r="C269" s="116">
        <v>35</v>
      </c>
      <c r="D269" s="116">
        <v>2</v>
      </c>
      <c r="E269" s="116">
        <v>3</v>
      </c>
      <c r="F269" s="116">
        <v>0.495</v>
      </c>
      <c r="G269" s="116">
        <v>0.93680679899540398</v>
      </c>
      <c r="H269" s="117">
        <v>41675.681516203702</v>
      </c>
      <c r="I269" s="118" t="s">
        <v>304</v>
      </c>
      <c r="J269" s="106">
        <f t="shared" si="24"/>
        <v>0</v>
      </c>
      <c r="AC269" s="105" t="str">
        <f t="shared" si="26"/>
        <v>f67t3</v>
      </c>
      <c r="AD269" s="115">
        <v>16</v>
      </c>
      <c r="AE269" s="115">
        <v>67</v>
      </c>
      <c r="AF269" s="115">
        <v>3</v>
      </c>
      <c r="AG269" s="115">
        <v>0.2</v>
      </c>
    </row>
    <row r="270" spans="1:33" x14ac:dyDescent="0.3">
      <c r="A270" s="105" t="str">
        <f t="shared" si="25"/>
        <v>f35t4</v>
      </c>
      <c r="B270" s="116">
        <v>198</v>
      </c>
      <c r="C270" s="116">
        <v>35</v>
      </c>
      <c r="D270" s="116">
        <v>2</v>
      </c>
      <c r="E270" s="116">
        <v>4</v>
      </c>
      <c r="F270" s="116">
        <v>0.92</v>
      </c>
      <c r="G270" s="116">
        <v>4.5429787795910599</v>
      </c>
      <c r="H270" s="117">
        <v>41675.681516203702</v>
      </c>
      <c r="I270" s="118" t="s">
        <v>304</v>
      </c>
      <c r="J270" s="106">
        <f t="shared" si="24"/>
        <v>0</v>
      </c>
      <c r="AC270" s="105" t="str">
        <f t="shared" si="26"/>
        <v>f67t4</v>
      </c>
      <c r="AD270" s="115">
        <v>16</v>
      </c>
      <c r="AE270" s="115">
        <v>67</v>
      </c>
      <c r="AF270" s="115">
        <v>4</v>
      </c>
      <c r="AG270" s="115">
        <v>0.2</v>
      </c>
    </row>
    <row r="271" spans="1:33" x14ac:dyDescent="0.3">
      <c r="A271" s="105" t="str">
        <f t="shared" si="25"/>
        <v>f35t1</v>
      </c>
      <c r="B271" s="116">
        <v>198</v>
      </c>
      <c r="C271" s="116">
        <v>35</v>
      </c>
      <c r="D271" s="116">
        <v>3</v>
      </c>
      <c r="E271" s="116">
        <v>1</v>
      </c>
      <c r="F271" s="116">
        <v>0.92</v>
      </c>
      <c r="G271" s="116">
        <v>4.8990139144298901</v>
      </c>
      <c r="H271" s="117">
        <v>41675.681516203702</v>
      </c>
      <c r="I271" s="118" t="s">
        <v>304</v>
      </c>
      <c r="J271" s="106">
        <f t="shared" si="24"/>
        <v>0</v>
      </c>
      <c r="AC271" s="105" t="str">
        <f t="shared" si="26"/>
        <v>f68t1</v>
      </c>
      <c r="AD271" s="115">
        <v>16</v>
      </c>
      <c r="AE271" s="115">
        <v>68</v>
      </c>
      <c r="AF271" s="115">
        <v>1</v>
      </c>
      <c r="AG271" s="115">
        <v>0.3</v>
      </c>
    </row>
    <row r="272" spans="1:33" x14ac:dyDescent="0.3">
      <c r="A272" s="105" t="str">
        <f t="shared" si="25"/>
        <v>f35t2</v>
      </c>
      <c r="B272" s="116">
        <v>198</v>
      </c>
      <c r="C272" s="116">
        <v>35</v>
      </c>
      <c r="D272" s="116">
        <v>3</v>
      </c>
      <c r="E272" s="116">
        <v>2</v>
      </c>
      <c r="F272" s="116">
        <v>0.61</v>
      </c>
      <c r="G272" s="116">
        <v>0.75393906611616901</v>
      </c>
      <c r="H272" s="117">
        <v>41675.681516203702</v>
      </c>
      <c r="I272" s="118" t="s">
        <v>304</v>
      </c>
      <c r="J272" s="106">
        <f t="shared" si="24"/>
        <v>0</v>
      </c>
      <c r="AC272" s="105" t="str">
        <f t="shared" si="26"/>
        <v>f68t2</v>
      </c>
      <c r="AD272" s="115">
        <v>16</v>
      </c>
      <c r="AE272" s="115">
        <v>68</v>
      </c>
      <c r="AF272" s="115">
        <v>2</v>
      </c>
      <c r="AG272" s="115">
        <v>0.3</v>
      </c>
    </row>
    <row r="273" spans="1:33" x14ac:dyDescent="0.3">
      <c r="A273" s="105" t="str">
        <f t="shared" si="25"/>
        <v>f35t3</v>
      </c>
      <c r="B273" s="116">
        <v>198</v>
      </c>
      <c r="C273" s="116">
        <v>35</v>
      </c>
      <c r="D273" s="116">
        <v>3</v>
      </c>
      <c r="E273" s="116">
        <v>3</v>
      </c>
      <c r="F273" s="116">
        <v>0.495</v>
      </c>
      <c r="G273" s="116">
        <v>0.93680679899540398</v>
      </c>
      <c r="H273" s="117">
        <v>41675.681516203702</v>
      </c>
      <c r="I273" s="118" t="s">
        <v>304</v>
      </c>
      <c r="J273" s="106">
        <f t="shared" si="24"/>
        <v>0</v>
      </c>
      <c r="AC273" s="105" t="str">
        <f t="shared" si="26"/>
        <v>f68t3</v>
      </c>
      <c r="AD273" s="115">
        <v>16</v>
      </c>
      <c r="AE273" s="115">
        <v>68</v>
      </c>
      <c r="AF273" s="115">
        <v>3</v>
      </c>
      <c r="AG273" s="115">
        <v>0.3</v>
      </c>
    </row>
    <row r="274" spans="1:33" x14ac:dyDescent="0.3">
      <c r="A274" s="105" t="str">
        <f t="shared" si="25"/>
        <v>f35t4</v>
      </c>
      <c r="B274" s="116">
        <v>198</v>
      </c>
      <c r="C274" s="116">
        <v>35</v>
      </c>
      <c r="D274" s="116">
        <v>3</v>
      </c>
      <c r="E274" s="116">
        <v>4</v>
      </c>
      <c r="F274" s="116">
        <v>0.92</v>
      </c>
      <c r="G274" s="116">
        <v>4.5429787795910599</v>
      </c>
      <c r="H274" s="117">
        <v>41675.681516203702</v>
      </c>
      <c r="I274" s="118" t="s">
        <v>304</v>
      </c>
      <c r="J274" s="106">
        <f t="shared" si="24"/>
        <v>0</v>
      </c>
      <c r="AC274" s="105" t="str">
        <f t="shared" si="26"/>
        <v>f68t4</v>
      </c>
      <c r="AD274" s="115">
        <v>16</v>
      </c>
      <c r="AE274" s="115">
        <v>68</v>
      </c>
      <c r="AF274" s="115">
        <v>4</v>
      </c>
      <c r="AG274" s="115">
        <v>0.3</v>
      </c>
    </row>
    <row r="275" spans="1:33" x14ac:dyDescent="0.3">
      <c r="A275" s="105" t="str">
        <f t="shared" si="25"/>
        <v>f35t1</v>
      </c>
      <c r="B275" s="116">
        <v>198</v>
      </c>
      <c r="C275" s="116">
        <v>35</v>
      </c>
      <c r="D275" s="116">
        <v>4</v>
      </c>
      <c r="E275" s="116">
        <v>1</v>
      </c>
      <c r="F275" s="116">
        <v>0.92</v>
      </c>
      <c r="G275" s="116">
        <v>4.8990139144298901</v>
      </c>
      <c r="H275" s="117">
        <v>41675.681516203702</v>
      </c>
      <c r="I275" s="118" t="s">
        <v>304</v>
      </c>
      <c r="J275" s="106">
        <f t="shared" si="24"/>
        <v>0</v>
      </c>
      <c r="AC275" s="105" t="str">
        <f t="shared" si="26"/>
        <v>f69t1</v>
      </c>
      <c r="AD275" s="115">
        <v>16</v>
      </c>
      <c r="AE275" s="115">
        <v>69</v>
      </c>
      <c r="AF275" s="115">
        <v>1</v>
      </c>
      <c r="AG275" s="115">
        <v>0.3</v>
      </c>
    </row>
    <row r="276" spans="1:33" x14ac:dyDescent="0.3">
      <c r="A276" s="105" t="str">
        <f t="shared" si="25"/>
        <v>f35t2</v>
      </c>
      <c r="B276" s="116">
        <v>198</v>
      </c>
      <c r="C276" s="116">
        <v>35</v>
      </c>
      <c r="D276" s="116">
        <v>4</v>
      </c>
      <c r="E276" s="116">
        <v>2</v>
      </c>
      <c r="F276" s="116">
        <v>0.61</v>
      </c>
      <c r="G276" s="116">
        <v>0.75393906611616901</v>
      </c>
      <c r="H276" s="117">
        <v>41675.681516203702</v>
      </c>
      <c r="I276" s="118" t="s">
        <v>304</v>
      </c>
      <c r="J276" s="106">
        <f t="shared" si="24"/>
        <v>0</v>
      </c>
      <c r="AC276" s="105" t="str">
        <f t="shared" si="26"/>
        <v>f69t2</v>
      </c>
      <c r="AD276" s="115">
        <v>16</v>
      </c>
      <c r="AE276" s="115">
        <v>69</v>
      </c>
      <c r="AF276" s="115">
        <v>2</v>
      </c>
      <c r="AG276" s="115">
        <v>0.3</v>
      </c>
    </row>
    <row r="277" spans="1:33" x14ac:dyDescent="0.3">
      <c r="A277" s="105" t="str">
        <f t="shared" si="25"/>
        <v>f35t3</v>
      </c>
      <c r="B277" s="116">
        <v>198</v>
      </c>
      <c r="C277" s="116">
        <v>35</v>
      </c>
      <c r="D277" s="116">
        <v>4</v>
      </c>
      <c r="E277" s="116">
        <v>3</v>
      </c>
      <c r="F277" s="116">
        <v>0.495</v>
      </c>
      <c r="G277" s="116">
        <v>0.93680679899540398</v>
      </c>
      <c r="H277" s="117">
        <v>41675.681516203702</v>
      </c>
      <c r="I277" s="118" t="s">
        <v>304</v>
      </c>
      <c r="J277" s="106">
        <f t="shared" si="24"/>
        <v>0</v>
      </c>
      <c r="AC277" s="105" t="str">
        <f t="shared" si="26"/>
        <v>f69t3</v>
      </c>
      <c r="AD277" s="115">
        <v>16</v>
      </c>
      <c r="AE277" s="115">
        <v>69</v>
      </c>
      <c r="AF277" s="115">
        <v>3</v>
      </c>
      <c r="AG277" s="115">
        <v>0.3</v>
      </c>
    </row>
    <row r="278" spans="1:33" x14ac:dyDescent="0.3">
      <c r="A278" s="105" t="str">
        <f t="shared" si="25"/>
        <v>f35t4</v>
      </c>
      <c r="B278" s="116">
        <v>198</v>
      </c>
      <c r="C278" s="116">
        <v>35</v>
      </c>
      <c r="D278" s="116">
        <v>4</v>
      </c>
      <c r="E278" s="116">
        <v>4</v>
      </c>
      <c r="F278" s="116">
        <v>0.92</v>
      </c>
      <c r="G278" s="116">
        <v>4.5429787795910599</v>
      </c>
      <c r="H278" s="117">
        <v>41675.681516203702</v>
      </c>
      <c r="I278" s="118" t="s">
        <v>304</v>
      </c>
      <c r="J278" s="106">
        <f t="shared" si="24"/>
        <v>0</v>
      </c>
      <c r="AC278" s="105" t="str">
        <f t="shared" si="26"/>
        <v>f69t4</v>
      </c>
      <c r="AD278" s="115">
        <v>16</v>
      </c>
      <c r="AE278" s="115">
        <v>69</v>
      </c>
      <c r="AF278" s="115">
        <v>4</v>
      </c>
      <c r="AG278" s="115">
        <v>0.3</v>
      </c>
    </row>
    <row r="279" spans="1:33" x14ac:dyDescent="0.3">
      <c r="A279" s="105" t="str">
        <f t="shared" si="25"/>
        <v>f35t1</v>
      </c>
      <c r="B279" s="116">
        <v>198</v>
      </c>
      <c r="C279" s="116">
        <v>35</v>
      </c>
      <c r="D279" s="116">
        <v>5</v>
      </c>
      <c r="E279" s="116">
        <v>1</v>
      </c>
      <c r="F279" s="116">
        <v>0.92</v>
      </c>
      <c r="G279" s="116">
        <v>4.8990139144298901</v>
      </c>
      <c r="H279" s="117">
        <v>41675.681516203702</v>
      </c>
      <c r="I279" s="118" t="s">
        <v>304</v>
      </c>
      <c r="J279" s="106">
        <f t="shared" si="24"/>
        <v>0</v>
      </c>
      <c r="AC279" s="105" t="str">
        <f t="shared" si="26"/>
        <v>f70t1</v>
      </c>
      <c r="AD279" s="115">
        <v>16</v>
      </c>
      <c r="AE279" s="115">
        <v>70</v>
      </c>
      <c r="AF279" s="115">
        <v>1</v>
      </c>
      <c r="AG279" s="115">
        <v>0.3</v>
      </c>
    </row>
    <row r="280" spans="1:33" x14ac:dyDescent="0.3">
      <c r="A280" s="105" t="str">
        <f t="shared" si="25"/>
        <v>f35t2</v>
      </c>
      <c r="B280" s="116">
        <v>198</v>
      </c>
      <c r="C280" s="116">
        <v>35</v>
      </c>
      <c r="D280" s="116">
        <v>5</v>
      </c>
      <c r="E280" s="116">
        <v>2</v>
      </c>
      <c r="F280" s="116">
        <v>0.61</v>
      </c>
      <c r="G280" s="116">
        <v>0.75393906611616901</v>
      </c>
      <c r="H280" s="117">
        <v>41675.681516203702</v>
      </c>
      <c r="I280" s="118" t="s">
        <v>304</v>
      </c>
      <c r="J280" s="106">
        <f t="shared" si="24"/>
        <v>0</v>
      </c>
      <c r="AC280" s="105" t="str">
        <f t="shared" si="26"/>
        <v>f70t2</v>
      </c>
      <c r="AD280" s="115">
        <v>16</v>
      </c>
      <c r="AE280" s="115">
        <v>70</v>
      </c>
      <c r="AF280" s="115">
        <v>2</v>
      </c>
      <c r="AG280" s="115">
        <v>0.3</v>
      </c>
    </row>
    <row r="281" spans="1:33" x14ac:dyDescent="0.3">
      <c r="A281" s="105" t="str">
        <f t="shared" si="25"/>
        <v>f35t3</v>
      </c>
      <c r="B281" s="116">
        <v>198</v>
      </c>
      <c r="C281" s="116">
        <v>35</v>
      </c>
      <c r="D281" s="116">
        <v>5</v>
      </c>
      <c r="E281" s="116">
        <v>3</v>
      </c>
      <c r="F281" s="116">
        <v>0.495</v>
      </c>
      <c r="G281" s="116">
        <v>0.93680679899540398</v>
      </c>
      <c r="H281" s="117">
        <v>41675.681516203702</v>
      </c>
      <c r="I281" s="118" t="s">
        <v>304</v>
      </c>
      <c r="J281" s="106">
        <f t="shared" si="24"/>
        <v>0</v>
      </c>
      <c r="AC281" s="105" t="str">
        <f t="shared" si="26"/>
        <v>f70t3</v>
      </c>
      <c r="AD281" s="115">
        <v>16</v>
      </c>
      <c r="AE281" s="115">
        <v>70</v>
      </c>
      <c r="AF281" s="115">
        <v>3</v>
      </c>
      <c r="AG281" s="115">
        <v>0.3</v>
      </c>
    </row>
    <row r="282" spans="1:33" x14ac:dyDescent="0.3">
      <c r="A282" s="105" t="str">
        <f t="shared" si="25"/>
        <v>f35t4</v>
      </c>
      <c r="B282" s="116">
        <v>198</v>
      </c>
      <c r="C282" s="116">
        <v>35</v>
      </c>
      <c r="D282" s="116">
        <v>5</v>
      </c>
      <c r="E282" s="116">
        <v>4</v>
      </c>
      <c r="F282" s="116">
        <v>0.92</v>
      </c>
      <c r="G282" s="116">
        <v>4.5429787795910599</v>
      </c>
      <c r="H282" s="117">
        <v>41675.681516203702</v>
      </c>
      <c r="I282" s="118" t="s">
        <v>304</v>
      </c>
      <c r="J282" s="106">
        <f t="shared" si="24"/>
        <v>0</v>
      </c>
      <c r="AC282" s="105" t="str">
        <f t="shared" si="26"/>
        <v>f70t4</v>
      </c>
      <c r="AD282" s="115">
        <v>16</v>
      </c>
      <c r="AE282" s="115">
        <v>70</v>
      </c>
      <c r="AF282" s="115">
        <v>4</v>
      </c>
      <c r="AG282" s="115">
        <v>0.3</v>
      </c>
    </row>
    <row r="283" spans="1:33" x14ac:dyDescent="0.3">
      <c r="A283" s="105" t="str">
        <f t="shared" si="25"/>
        <v>f36t1</v>
      </c>
      <c r="B283" s="116">
        <v>198</v>
      </c>
      <c r="C283" s="116">
        <v>36</v>
      </c>
      <c r="D283" s="116">
        <v>2</v>
      </c>
      <c r="E283" s="116">
        <v>1</v>
      </c>
      <c r="F283" s="116">
        <v>0.24199999999999999</v>
      </c>
      <c r="G283" s="116">
        <v>4.6676491519425899E-2</v>
      </c>
      <c r="H283" s="117">
        <v>41675.681516203702</v>
      </c>
      <c r="I283" s="118" t="s">
        <v>304</v>
      </c>
      <c r="J283" s="106">
        <f t="shared" si="24"/>
        <v>0</v>
      </c>
      <c r="AC283" s="105" t="str">
        <f t="shared" si="26"/>
        <v>f71t1</v>
      </c>
      <c r="AD283" s="115">
        <v>16</v>
      </c>
      <c r="AE283" s="115">
        <v>71</v>
      </c>
      <c r="AF283" s="115">
        <v>1</v>
      </c>
      <c r="AG283" s="115">
        <v>0.3</v>
      </c>
    </row>
    <row r="284" spans="1:33" x14ac:dyDescent="0.3">
      <c r="A284" s="105" t="str">
        <f t="shared" si="25"/>
        <v>f36t3</v>
      </c>
      <c r="B284" s="116">
        <v>198</v>
      </c>
      <c r="C284" s="116">
        <v>36</v>
      </c>
      <c r="D284" s="116">
        <v>2</v>
      </c>
      <c r="E284" s="116">
        <v>3</v>
      </c>
      <c r="F284" s="116">
        <v>0.6</v>
      </c>
      <c r="G284" s="116">
        <v>0.32078863637053101</v>
      </c>
      <c r="H284" s="117">
        <v>41675.681516203702</v>
      </c>
      <c r="I284" s="118" t="s">
        <v>304</v>
      </c>
      <c r="J284" s="106">
        <f t="shared" si="24"/>
        <v>0</v>
      </c>
      <c r="AC284" s="105" t="str">
        <f t="shared" si="26"/>
        <v>f71t2</v>
      </c>
      <c r="AD284" s="115">
        <v>16</v>
      </c>
      <c r="AE284" s="115">
        <v>71</v>
      </c>
      <c r="AF284" s="115">
        <v>2</v>
      </c>
      <c r="AG284" s="115">
        <v>0.3</v>
      </c>
    </row>
    <row r="285" spans="1:33" x14ac:dyDescent="0.3">
      <c r="A285" s="105" t="str">
        <f t="shared" si="25"/>
        <v>f36t4</v>
      </c>
      <c r="B285" s="116">
        <v>198</v>
      </c>
      <c r="C285" s="116">
        <v>36</v>
      </c>
      <c r="D285" s="116">
        <v>2</v>
      </c>
      <c r="E285" s="116">
        <v>4</v>
      </c>
      <c r="F285" s="116">
        <v>0.24199999999999999</v>
      </c>
      <c r="G285" s="116">
        <v>0.100347314492645</v>
      </c>
      <c r="H285" s="117">
        <v>41675.681516203702</v>
      </c>
      <c r="I285" s="118" t="s">
        <v>304</v>
      </c>
      <c r="J285" s="106">
        <f t="shared" si="24"/>
        <v>0</v>
      </c>
      <c r="AC285" s="105" t="str">
        <f t="shared" si="26"/>
        <v>f71t3</v>
      </c>
      <c r="AD285" s="115">
        <v>16</v>
      </c>
      <c r="AE285" s="115">
        <v>71</v>
      </c>
      <c r="AF285" s="115">
        <v>3</v>
      </c>
      <c r="AG285" s="115">
        <v>0.3</v>
      </c>
    </row>
    <row r="286" spans="1:33" x14ac:dyDescent="0.3">
      <c r="A286" s="105" t="str">
        <f t="shared" si="25"/>
        <v>f36t1</v>
      </c>
      <c r="B286" s="116">
        <v>198</v>
      </c>
      <c r="C286" s="116">
        <v>36</v>
      </c>
      <c r="D286" s="116">
        <v>3</v>
      </c>
      <c r="E286" s="116">
        <v>1</v>
      </c>
      <c r="F286" s="116">
        <v>0.24199999999999999</v>
      </c>
      <c r="G286" s="116">
        <v>4.6676491519425899E-2</v>
      </c>
      <c r="H286" s="117">
        <v>41675.681516203702</v>
      </c>
      <c r="I286" s="118" t="s">
        <v>304</v>
      </c>
      <c r="J286" s="106">
        <f t="shared" si="24"/>
        <v>0</v>
      </c>
      <c r="AC286" s="105" t="str">
        <f t="shared" si="26"/>
        <v>f71t4</v>
      </c>
      <c r="AD286" s="115">
        <v>16</v>
      </c>
      <c r="AE286" s="115">
        <v>71</v>
      </c>
      <c r="AF286" s="115">
        <v>4</v>
      </c>
      <c r="AG286" s="115">
        <v>0.3</v>
      </c>
    </row>
    <row r="287" spans="1:33" x14ac:dyDescent="0.3">
      <c r="A287" s="105" t="str">
        <f t="shared" si="25"/>
        <v>f36t3</v>
      </c>
      <c r="B287" s="116">
        <v>198</v>
      </c>
      <c r="C287" s="116">
        <v>36</v>
      </c>
      <c r="D287" s="116">
        <v>3</v>
      </c>
      <c r="E287" s="116">
        <v>3</v>
      </c>
      <c r="F287" s="116">
        <v>0.6</v>
      </c>
      <c r="G287" s="116">
        <v>0.32078863637053101</v>
      </c>
      <c r="H287" s="117">
        <v>41675.681516203702</v>
      </c>
      <c r="I287" s="118" t="s">
        <v>304</v>
      </c>
      <c r="J287" s="106">
        <f t="shared" si="24"/>
        <v>0</v>
      </c>
      <c r="AC287" s="105" t="str">
        <f t="shared" si="26"/>
        <v>f72t1</v>
      </c>
      <c r="AD287" s="115">
        <v>16</v>
      </c>
      <c r="AE287" s="115">
        <v>72</v>
      </c>
      <c r="AF287" s="115">
        <v>1</v>
      </c>
      <c r="AG287" s="115">
        <v>0.2</v>
      </c>
    </row>
    <row r="288" spans="1:33" x14ac:dyDescent="0.3">
      <c r="A288" s="105" t="str">
        <f t="shared" si="25"/>
        <v>f36t4</v>
      </c>
      <c r="B288" s="116">
        <v>198</v>
      </c>
      <c r="C288" s="116">
        <v>36</v>
      </c>
      <c r="D288" s="116">
        <v>3</v>
      </c>
      <c r="E288" s="116">
        <v>4</v>
      </c>
      <c r="F288" s="116">
        <v>0.24199999999999999</v>
      </c>
      <c r="G288" s="116">
        <v>0.100347314492645</v>
      </c>
      <c r="H288" s="117">
        <v>41675.681516203702</v>
      </c>
      <c r="I288" s="118" t="s">
        <v>304</v>
      </c>
      <c r="J288" s="106">
        <f t="shared" si="24"/>
        <v>0</v>
      </c>
      <c r="AC288" s="105" t="str">
        <f t="shared" si="26"/>
        <v>f72t2</v>
      </c>
      <c r="AD288" s="115">
        <v>16</v>
      </c>
      <c r="AE288" s="115">
        <v>72</v>
      </c>
      <c r="AF288" s="115">
        <v>2</v>
      </c>
      <c r="AG288" s="115">
        <v>0.2</v>
      </c>
    </row>
    <row r="289" spans="1:33" x14ac:dyDescent="0.3">
      <c r="A289" s="105" t="str">
        <f t="shared" si="25"/>
        <v>f36t1</v>
      </c>
      <c r="B289" s="116">
        <v>198</v>
      </c>
      <c r="C289" s="116">
        <v>36</v>
      </c>
      <c r="D289" s="116">
        <v>4</v>
      </c>
      <c r="E289" s="116">
        <v>1</v>
      </c>
      <c r="F289" s="116">
        <v>0.24199999999999999</v>
      </c>
      <c r="G289" s="116">
        <v>4.6676491519425899E-2</v>
      </c>
      <c r="H289" s="117">
        <v>41675.681516203702</v>
      </c>
      <c r="I289" s="118" t="s">
        <v>304</v>
      </c>
      <c r="J289" s="106">
        <f t="shared" si="24"/>
        <v>0</v>
      </c>
      <c r="AC289" s="105" t="str">
        <f t="shared" si="26"/>
        <v>f72t3</v>
      </c>
      <c r="AD289" s="115">
        <v>16</v>
      </c>
      <c r="AE289" s="115">
        <v>72</v>
      </c>
      <c r="AF289" s="115">
        <v>3</v>
      </c>
      <c r="AG289" s="115">
        <v>0.2</v>
      </c>
    </row>
    <row r="290" spans="1:33" x14ac:dyDescent="0.3">
      <c r="A290" s="105" t="str">
        <f t="shared" si="25"/>
        <v>f36t3</v>
      </c>
      <c r="B290" s="116">
        <v>198</v>
      </c>
      <c r="C290" s="116">
        <v>36</v>
      </c>
      <c r="D290" s="116">
        <v>4</v>
      </c>
      <c r="E290" s="116">
        <v>3</v>
      </c>
      <c r="F290" s="116">
        <v>0.6</v>
      </c>
      <c r="G290" s="116">
        <v>0.32078863637053101</v>
      </c>
      <c r="H290" s="117">
        <v>41675.681516203702</v>
      </c>
      <c r="I290" s="118" t="s">
        <v>304</v>
      </c>
      <c r="J290" s="106">
        <f t="shared" si="24"/>
        <v>0</v>
      </c>
      <c r="AC290" s="105" t="str">
        <f t="shared" si="26"/>
        <v>f72t4</v>
      </c>
      <c r="AD290" s="115">
        <v>16</v>
      </c>
      <c r="AE290" s="115">
        <v>72</v>
      </c>
      <c r="AF290" s="115">
        <v>4</v>
      </c>
      <c r="AG290" s="115">
        <v>0.2</v>
      </c>
    </row>
    <row r="291" spans="1:33" x14ac:dyDescent="0.3">
      <c r="A291" s="105" t="str">
        <f t="shared" si="25"/>
        <v>f36t4</v>
      </c>
      <c r="B291" s="116">
        <v>198</v>
      </c>
      <c r="C291" s="116">
        <v>36</v>
      </c>
      <c r="D291" s="116">
        <v>4</v>
      </c>
      <c r="E291" s="116">
        <v>4</v>
      </c>
      <c r="F291" s="116">
        <v>0.24199999999999999</v>
      </c>
      <c r="G291" s="116">
        <v>0.100347314492645</v>
      </c>
      <c r="H291" s="117">
        <v>41675.681516203702</v>
      </c>
      <c r="I291" s="118" t="s">
        <v>304</v>
      </c>
      <c r="J291" s="106">
        <f t="shared" si="24"/>
        <v>0</v>
      </c>
      <c r="AC291" s="105" t="str">
        <f t="shared" si="26"/>
        <v>f73t1</v>
      </c>
      <c r="AD291" s="115">
        <v>16</v>
      </c>
      <c r="AE291" s="115">
        <v>73</v>
      </c>
      <c r="AF291" s="115">
        <v>1</v>
      </c>
      <c r="AG291" s="115">
        <v>0.3</v>
      </c>
    </row>
    <row r="292" spans="1:33" x14ac:dyDescent="0.3">
      <c r="A292" s="105" t="str">
        <f t="shared" si="25"/>
        <v>f36t1</v>
      </c>
      <c r="B292" s="116">
        <v>198</v>
      </c>
      <c r="C292" s="116">
        <v>36</v>
      </c>
      <c r="D292" s="116">
        <v>5</v>
      </c>
      <c r="E292" s="116">
        <v>1</v>
      </c>
      <c r="F292" s="116">
        <v>0.24199999999999999</v>
      </c>
      <c r="G292" s="116">
        <v>4.6676491519425899E-2</v>
      </c>
      <c r="H292" s="117">
        <v>41675.681516203702</v>
      </c>
      <c r="I292" s="118" t="s">
        <v>304</v>
      </c>
      <c r="J292" s="106">
        <f t="shared" si="24"/>
        <v>0</v>
      </c>
      <c r="AC292" s="105" t="str">
        <f t="shared" si="26"/>
        <v>f73t2</v>
      </c>
      <c r="AD292" s="115">
        <v>16</v>
      </c>
      <c r="AE292" s="115">
        <v>73</v>
      </c>
      <c r="AF292" s="115">
        <v>2</v>
      </c>
      <c r="AG292" s="115">
        <v>0.3</v>
      </c>
    </row>
    <row r="293" spans="1:33" x14ac:dyDescent="0.3">
      <c r="A293" s="105" t="str">
        <f t="shared" si="25"/>
        <v>f36t3</v>
      </c>
      <c r="B293" s="116">
        <v>198</v>
      </c>
      <c r="C293" s="116">
        <v>36</v>
      </c>
      <c r="D293" s="116">
        <v>5</v>
      </c>
      <c r="E293" s="116">
        <v>3</v>
      </c>
      <c r="F293" s="116">
        <v>0.6</v>
      </c>
      <c r="G293" s="116">
        <v>0.32078863637053101</v>
      </c>
      <c r="H293" s="117">
        <v>41675.681516203702</v>
      </c>
      <c r="I293" s="118" t="s">
        <v>304</v>
      </c>
      <c r="J293" s="106">
        <f t="shared" ref="J293:J356" si="27">F293-VLOOKUP(A293,L$3:P$100,5,FALSE)</f>
        <v>0</v>
      </c>
      <c r="AC293" s="105" t="str">
        <f t="shared" si="26"/>
        <v>f73t3</v>
      </c>
      <c r="AD293" s="115">
        <v>16</v>
      </c>
      <c r="AE293" s="115">
        <v>73</v>
      </c>
      <c r="AF293" s="115">
        <v>3</v>
      </c>
      <c r="AG293" s="115">
        <v>0.3</v>
      </c>
    </row>
    <row r="294" spans="1:33" x14ac:dyDescent="0.3">
      <c r="A294" s="105" t="str">
        <f t="shared" si="25"/>
        <v>f36t4</v>
      </c>
      <c r="B294" s="116">
        <v>198</v>
      </c>
      <c r="C294" s="116">
        <v>36</v>
      </c>
      <c r="D294" s="116">
        <v>5</v>
      </c>
      <c r="E294" s="116">
        <v>4</v>
      </c>
      <c r="F294" s="116">
        <v>0.24199999999999999</v>
      </c>
      <c r="G294" s="116">
        <v>0.100347314492645</v>
      </c>
      <c r="H294" s="117">
        <v>41675.681516203702</v>
      </c>
      <c r="I294" s="118" t="s">
        <v>304</v>
      </c>
      <c r="J294" s="106">
        <f t="shared" si="27"/>
        <v>0</v>
      </c>
      <c r="AC294" s="105" t="str">
        <f t="shared" si="26"/>
        <v>f73t4</v>
      </c>
      <c r="AD294" s="115">
        <v>16</v>
      </c>
      <c r="AE294" s="115">
        <v>73</v>
      </c>
      <c r="AF294" s="115">
        <v>4</v>
      </c>
      <c r="AG294" s="115">
        <v>0.3</v>
      </c>
    </row>
    <row r="295" spans="1:33" x14ac:dyDescent="0.3">
      <c r="A295" s="105" t="str">
        <f t="shared" si="25"/>
        <v>f42t1</v>
      </c>
      <c r="B295" s="116">
        <v>198</v>
      </c>
      <c r="C295" s="116">
        <v>42</v>
      </c>
      <c r="D295" s="116">
        <v>2</v>
      </c>
      <c r="E295" s="116">
        <v>1</v>
      </c>
      <c r="F295" s="116">
        <v>1.92</v>
      </c>
      <c r="G295" s="116">
        <v>2.82143806983626</v>
      </c>
      <c r="H295" s="117">
        <v>41675.681516203702</v>
      </c>
      <c r="I295" s="118" t="s">
        <v>304</v>
      </c>
      <c r="J295" s="106">
        <f t="shared" si="27"/>
        <v>0</v>
      </c>
    </row>
    <row r="296" spans="1:33" x14ac:dyDescent="0.3">
      <c r="A296" s="105" t="str">
        <f t="shared" si="25"/>
        <v>f42t3</v>
      </c>
      <c r="B296" s="116">
        <v>198</v>
      </c>
      <c r="C296" s="116">
        <v>42</v>
      </c>
      <c r="D296" s="116">
        <v>2</v>
      </c>
      <c r="E296" s="116">
        <v>3</v>
      </c>
      <c r="F296" s="116">
        <v>0.77400000000000002</v>
      </c>
      <c r="G296" s="116">
        <v>0.91406101504840198</v>
      </c>
      <c r="H296" s="117">
        <v>41675.681516203702</v>
      </c>
      <c r="I296" s="118" t="s">
        <v>304</v>
      </c>
      <c r="J296" s="106">
        <f t="shared" si="27"/>
        <v>0</v>
      </c>
    </row>
    <row r="297" spans="1:33" x14ac:dyDescent="0.3">
      <c r="A297" s="105" t="str">
        <f t="shared" si="25"/>
        <v>f42t4</v>
      </c>
      <c r="B297" s="116">
        <v>198</v>
      </c>
      <c r="C297" s="116">
        <v>42</v>
      </c>
      <c r="D297" s="116">
        <v>2</v>
      </c>
      <c r="E297" s="116">
        <v>4</v>
      </c>
      <c r="F297" s="116">
        <v>1.92</v>
      </c>
      <c r="G297" s="116">
        <v>5.8118143688422004</v>
      </c>
      <c r="H297" s="117">
        <v>41675.681516203702</v>
      </c>
      <c r="I297" s="118" t="s">
        <v>304</v>
      </c>
      <c r="J297" s="106">
        <f t="shared" si="27"/>
        <v>0</v>
      </c>
    </row>
    <row r="298" spans="1:33" x14ac:dyDescent="0.3">
      <c r="A298" s="105" t="str">
        <f t="shared" si="25"/>
        <v>f42t1</v>
      </c>
      <c r="B298" s="116">
        <v>198</v>
      </c>
      <c r="C298" s="116">
        <v>42</v>
      </c>
      <c r="D298" s="116">
        <v>3</v>
      </c>
      <c r="E298" s="116">
        <v>1</v>
      </c>
      <c r="F298" s="116">
        <v>1.92</v>
      </c>
      <c r="G298" s="116">
        <v>2.82143806983626</v>
      </c>
      <c r="H298" s="117">
        <v>41675.681516203702</v>
      </c>
      <c r="I298" s="118" t="s">
        <v>304</v>
      </c>
      <c r="J298" s="106">
        <f t="shared" si="27"/>
        <v>0</v>
      </c>
    </row>
    <row r="299" spans="1:33" x14ac:dyDescent="0.3">
      <c r="A299" s="105" t="str">
        <f t="shared" si="25"/>
        <v>f42t3</v>
      </c>
      <c r="B299" s="116">
        <v>198</v>
      </c>
      <c r="C299" s="116">
        <v>42</v>
      </c>
      <c r="D299" s="116">
        <v>3</v>
      </c>
      <c r="E299" s="116">
        <v>3</v>
      </c>
      <c r="F299" s="116">
        <v>0.77400000000000002</v>
      </c>
      <c r="G299" s="116">
        <v>0.91406101504840198</v>
      </c>
      <c r="H299" s="117">
        <v>41675.681516203702</v>
      </c>
      <c r="I299" s="118" t="s">
        <v>304</v>
      </c>
      <c r="J299" s="106">
        <f t="shared" si="27"/>
        <v>0</v>
      </c>
    </row>
    <row r="300" spans="1:33" x14ac:dyDescent="0.3">
      <c r="A300" s="105" t="str">
        <f t="shared" si="25"/>
        <v>f42t4</v>
      </c>
      <c r="B300" s="116">
        <v>198</v>
      </c>
      <c r="C300" s="116">
        <v>42</v>
      </c>
      <c r="D300" s="116">
        <v>3</v>
      </c>
      <c r="E300" s="116">
        <v>4</v>
      </c>
      <c r="F300" s="116">
        <v>1.92</v>
      </c>
      <c r="G300" s="116">
        <v>5.8118143688422004</v>
      </c>
      <c r="H300" s="117">
        <v>41675.681516203702</v>
      </c>
      <c r="I300" s="118" t="s">
        <v>304</v>
      </c>
      <c r="J300" s="106">
        <f t="shared" si="27"/>
        <v>0</v>
      </c>
    </row>
    <row r="301" spans="1:33" x14ac:dyDescent="0.3">
      <c r="A301" s="105" t="str">
        <f t="shared" si="25"/>
        <v>f42t1</v>
      </c>
      <c r="B301" s="116">
        <v>198</v>
      </c>
      <c r="C301" s="116">
        <v>42</v>
      </c>
      <c r="D301" s="116">
        <v>4</v>
      </c>
      <c r="E301" s="116">
        <v>1</v>
      </c>
      <c r="F301" s="116">
        <v>1.92</v>
      </c>
      <c r="G301" s="116">
        <v>2.82143806983626</v>
      </c>
      <c r="H301" s="117">
        <v>41675.681516203702</v>
      </c>
      <c r="I301" s="118" t="s">
        <v>304</v>
      </c>
      <c r="J301" s="106">
        <f t="shared" si="27"/>
        <v>0</v>
      </c>
    </row>
    <row r="302" spans="1:33" x14ac:dyDescent="0.3">
      <c r="A302" s="105" t="str">
        <f t="shared" si="25"/>
        <v>f42t3</v>
      </c>
      <c r="B302" s="116">
        <v>198</v>
      </c>
      <c r="C302" s="116">
        <v>42</v>
      </c>
      <c r="D302" s="116">
        <v>4</v>
      </c>
      <c r="E302" s="116">
        <v>3</v>
      </c>
      <c r="F302" s="116">
        <v>0.77400000000000002</v>
      </c>
      <c r="G302" s="116">
        <v>0.91406101504840198</v>
      </c>
      <c r="H302" s="117">
        <v>41675.681516203702</v>
      </c>
      <c r="I302" s="118" t="s">
        <v>304</v>
      </c>
      <c r="J302" s="106">
        <f t="shared" si="27"/>
        <v>0</v>
      </c>
    </row>
    <row r="303" spans="1:33" x14ac:dyDescent="0.3">
      <c r="A303" s="105" t="str">
        <f t="shared" si="25"/>
        <v>f42t4</v>
      </c>
      <c r="B303" s="116">
        <v>198</v>
      </c>
      <c r="C303" s="116">
        <v>42</v>
      </c>
      <c r="D303" s="116">
        <v>4</v>
      </c>
      <c r="E303" s="116">
        <v>4</v>
      </c>
      <c r="F303" s="116">
        <v>1.92</v>
      </c>
      <c r="G303" s="116">
        <v>5.8118143688422004</v>
      </c>
      <c r="H303" s="117">
        <v>41675.681516203702</v>
      </c>
      <c r="I303" s="118" t="s">
        <v>304</v>
      </c>
      <c r="J303" s="106">
        <f t="shared" si="27"/>
        <v>0</v>
      </c>
    </row>
    <row r="304" spans="1:33" x14ac:dyDescent="0.3">
      <c r="A304" s="105" t="str">
        <f t="shared" si="25"/>
        <v>f42t1</v>
      </c>
      <c r="B304" s="116">
        <v>198</v>
      </c>
      <c r="C304" s="116">
        <v>42</v>
      </c>
      <c r="D304" s="116">
        <v>5</v>
      </c>
      <c r="E304" s="116">
        <v>1</v>
      </c>
      <c r="F304" s="116">
        <v>1.92</v>
      </c>
      <c r="G304" s="116">
        <v>2.82143806983626</v>
      </c>
      <c r="H304" s="117">
        <v>41675.681516203702</v>
      </c>
      <c r="I304" s="118" t="s">
        <v>304</v>
      </c>
      <c r="J304" s="106">
        <f t="shared" si="27"/>
        <v>0</v>
      </c>
    </row>
    <row r="305" spans="1:10" s="112" customFormat="1" x14ac:dyDescent="0.3">
      <c r="A305" s="105" t="str">
        <f t="shared" si="25"/>
        <v>f42t3</v>
      </c>
      <c r="B305" s="116">
        <v>198</v>
      </c>
      <c r="C305" s="116">
        <v>42</v>
      </c>
      <c r="D305" s="116">
        <v>5</v>
      </c>
      <c r="E305" s="116">
        <v>3</v>
      </c>
      <c r="F305" s="116">
        <v>0.77400000000000002</v>
      </c>
      <c r="G305" s="116">
        <v>0.91406101504840198</v>
      </c>
      <c r="H305" s="117">
        <v>41675.681516203702</v>
      </c>
      <c r="I305" s="118" t="s">
        <v>304</v>
      </c>
      <c r="J305" s="106">
        <f t="shared" si="27"/>
        <v>0</v>
      </c>
    </row>
    <row r="306" spans="1:10" s="112" customFormat="1" x14ac:dyDescent="0.3">
      <c r="A306" s="105" t="str">
        <f t="shared" si="25"/>
        <v>f42t4</v>
      </c>
      <c r="B306" s="116">
        <v>198</v>
      </c>
      <c r="C306" s="116">
        <v>42</v>
      </c>
      <c r="D306" s="116">
        <v>5</v>
      </c>
      <c r="E306" s="116">
        <v>4</v>
      </c>
      <c r="F306" s="116">
        <v>1.92</v>
      </c>
      <c r="G306" s="116">
        <v>5.8118143688422004</v>
      </c>
      <c r="H306" s="117">
        <v>41675.681516203702</v>
      </c>
      <c r="I306" s="118" t="s">
        <v>304</v>
      </c>
      <c r="J306" s="106">
        <f t="shared" si="27"/>
        <v>0</v>
      </c>
    </row>
    <row r="307" spans="1:10" s="112" customFormat="1" x14ac:dyDescent="0.3">
      <c r="A307" s="105" t="str">
        <f t="shared" si="25"/>
        <v>f45t1</v>
      </c>
      <c r="B307" s="116">
        <v>198</v>
      </c>
      <c r="C307" s="116">
        <v>45</v>
      </c>
      <c r="D307" s="116">
        <v>2</v>
      </c>
      <c r="E307" s="116">
        <v>1</v>
      </c>
      <c r="F307" s="116">
        <v>3.6480000000000001</v>
      </c>
      <c r="G307" s="116">
        <v>0.497661092065254</v>
      </c>
      <c r="H307" s="117">
        <v>41675.681516203702</v>
      </c>
      <c r="I307" s="118" t="s">
        <v>304</v>
      </c>
      <c r="J307" s="106">
        <f t="shared" si="27"/>
        <v>0</v>
      </c>
    </row>
    <row r="308" spans="1:10" s="112" customFormat="1" x14ac:dyDescent="0.3">
      <c r="A308" s="105" t="str">
        <f t="shared" si="25"/>
        <v>f45t4</v>
      </c>
      <c r="B308" s="116">
        <v>198</v>
      </c>
      <c r="C308" s="116">
        <v>45</v>
      </c>
      <c r="D308" s="116">
        <v>2</v>
      </c>
      <c r="E308" s="116">
        <v>4</v>
      </c>
      <c r="F308" s="116">
        <v>3.6480000000000001</v>
      </c>
      <c r="G308" s="116">
        <v>0.63015879264385299</v>
      </c>
      <c r="H308" s="117">
        <v>41675.681516203702</v>
      </c>
      <c r="I308" s="118" t="s">
        <v>304</v>
      </c>
      <c r="J308" s="106">
        <f t="shared" si="27"/>
        <v>0</v>
      </c>
    </row>
    <row r="309" spans="1:10" s="112" customFormat="1" x14ac:dyDescent="0.3">
      <c r="A309" s="105" t="str">
        <f t="shared" si="25"/>
        <v>f45t1</v>
      </c>
      <c r="B309" s="116">
        <v>198</v>
      </c>
      <c r="C309" s="116">
        <v>45</v>
      </c>
      <c r="D309" s="116">
        <v>3</v>
      </c>
      <c r="E309" s="116">
        <v>1</v>
      </c>
      <c r="F309" s="116">
        <v>3.6480000000000001</v>
      </c>
      <c r="G309" s="116">
        <v>0.497661092065254</v>
      </c>
      <c r="H309" s="117">
        <v>41675.681516203702</v>
      </c>
      <c r="I309" s="118" t="s">
        <v>304</v>
      </c>
      <c r="J309" s="106">
        <f t="shared" si="27"/>
        <v>0</v>
      </c>
    </row>
    <row r="310" spans="1:10" s="112" customFormat="1" x14ac:dyDescent="0.3">
      <c r="A310" s="105" t="str">
        <f t="shared" si="25"/>
        <v>f45t4</v>
      </c>
      <c r="B310" s="116">
        <v>198</v>
      </c>
      <c r="C310" s="116">
        <v>45</v>
      </c>
      <c r="D310" s="116">
        <v>3</v>
      </c>
      <c r="E310" s="116">
        <v>4</v>
      </c>
      <c r="F310" s="116">
        <v>3.6480000000000001</v>
      </c>
      <c r="G310" s="116">
        <v>0.63015879264385299</v>
      </c>
      <c r="H310" s="117">
        <v>41675.681516203702</v>
      </c>
      <c r="I310" s="118" t="s">
        <v>304</v>
      </c>
      <c r="J310" s="106">
        <f t="shared" si="27"/>
        <v>0</v>
      </c>
    </row>
    <row r="311" spans="1:10" s="112" customFormat="1" x14ac:dyDescent="0.3">
      <c r="A311" s="105" t="str">
        <f t="shared" si="25"/>
        <v>f45t1</v>
      </c>
      <c r="B311" s="116">
        <v>198</v>
      </c>
      <c r="C311" s="116">
        <v>45</v>
      </c>
      <c r="D311" s="116">
        <v>4</v>
      </c>
      <c r="E311" s="116">
        <v>1</v>
      </c>
      <c r="F311" s="116">
        <v>3.6480000000000001</v>
      </c>
      <c r="G311" s="116">
        <v>0.497661092065254</v>
      </c>
      <c r="H311" s="117">
        <v>41675.681516203702</v>
      </c>
      <c r="I311" s="118" t="s">
        <v>304</v>
      </c>
      <c r="J311" s="106">
        <f t="shared" si="27"/>
        <v>0</v>
      </c>
    </row>
    <row r="312" spans="1:10" s="112" customFormat="1" x14ac:dyDescent="0.3">
      <c r="A312" s="105" t="str">
        <f t="shared" si="25"/>
        <v>f45t4</v>
      </c>
      <c r="B312" s="116">
        <v>198</v>
      </c>
      <c r="C312" s="116">
        <v>45</v>
      </c>
      <c r="D312" s="116">
        <v>4</v>
      </c>
      <c r="E312" s="116">
        <v>4</v>
      </c>
      <c r="F312" s="116">
        <v>3.6480000000000001</v>
      </c>
      <c r="G312" s="116">
        <v>0.63015879264385299</v>
      </c>
      <c r="H312" s="117">
        <v>41675.681516203702</v>
      </c>
      <c r="I312" s="118" t="s">
        <v>304</v>
      </c>
      <c r="J312" s="106">
        <f t="shared" si="27"/>
        <v>0</v>
      </c>
    </row>
    <row r="313" spans="1:10" s="112" customFormat="1" x14ac:dyDescent="0.3">
      <c r="A313" s="105" t="str">
        <f t="shared" si="25"/>
        <v>f45t1</v>
      </c>
      <c r="B313" s="116">
        <v>198</v>
      </c>
      <c r="C313" s="116">
        <v>45</v>
      </c>
      <c r="D313" s="116">
        <v>5</v>
      </c>
      <c r="E313" s="116">
        <v>1</v>
      </c>
      <c r="F313" s="116">
        <v>3.6480000000000001</v>
      </c>
      <c r="G313" s="116">
        <v>0.497661092065254</v>
      </c>
      <c r="H313" s="117">
        <v>41675.681516203702</v>
      </c>
      <c r="I313" s="118" t="s">
        <v>304</v>
      </c>
      <c r="J313" s="106">
        <f t="shared" si="27"/>
        <v>0</v>
      </c>
    </row>
    <row r="314" spans="1:10" s="112" customFormat="1" x14ac:dyDescent="0.3">
      <c r="A314" s="105" t="str">
        <f t="shared" si="25"/>
        <v>f45t4</v>
      </c>
      <c r="B314" s="116">
        <v>198</v>
      </c>
      <c r="C314" s="116">
        <v>45</v>
      </c>
      <c r="D314" s="116">
        <v>5</v>
      </c>
      <c r="E314" s="116">
        <v>4</v>
      </c>
      <c r="F314" s="116">
        <v>3.6480000000000001</v>
      </c>
      <c r="G314" s="116">
        <v>0.63015879264385299</v>
      </c>
      <c r="H314" s="117">
        <v>41675.681516203702</v>
      </c>
      <c r="I314" s="118" t="s">
        <v>304</v>
      </c>
      <c r="J314" s="106">
        <f t="shared" si="27"/>
        <v>0</v>
      </c>
    </row>
    <row r="315" spans="1:10" s="112" customFormat="1" x14ac:dyDescent="0.3">
      <c r="A315" s="105" t="str">
        <f t="shared" si="25"/>
        <v>f53t1</v>
      </c>
      <c r="B315" s="116">
        <v>198</v>
      </c>
      <c r="C315" s="116">
        <v>53</v>
      </c>
      <c r="D315" s="116">
        <v>2</v>
      </c>
      <c r="E315" s="116">
        <v>1</v>
      </c>
      <c r="F315" s="116">
        <v>2.5169999999999999</v>
      </c>
      <c r="G315" s="116">
        <v>0.41387688841088199</v>
      </c>
      <c r="H315" s="117">
        <v>41675.681516203702</v>
      </c>
      <c r="I315" s="118" t="s">
        <v>304</v>
      </c>
      <c r="J315" s="106">
        <f t="shared" si="27"/>
        <v>0</v>
      </c>
    </row>
    <row r="316" spans="1:10" s="112" customFormat="1" x14ac:dyDescent="0.3">
      <c r="A316" s="105" t="str">
        <f t="shared" si="25"/>
        <v>f53t3</v>
      </c>
      <c r="B316" s="116">
        <v>198</v>
      </c>
      <c r="C316" s="116">
        <v>53</v>
      </c>
      <c r="D316" s="116">
        <v>2</v>
      </c>
      <c r="E316" s="116">
        <v>3</v>
      </c>
      <c r="F316" s="116">
        <v>0.94599999999999995</v>
      </c>
      <c r="G316" s="116">
        <v>0.56763032302724803</v>
      </c>
      <c r="H316" s="117">
        <v>41675.681516203702</v>
      </c>
      <c r="I316" s="118" t="s">
        <v>304</v>
      </c>
      <c r="J316" s="106">
        <f t="shared" si="27"/>
        <v>0</v>
      </c>
    </row>
    <row r="317" spans="1:10" s="112" customFormat="1" x14ac:dyDescent="0.3">
      <c r="A317" s="105" t="str">
        <f t="shared" si="25"/>
        <v>f53t4</v>
      </c>
      <c r="B317" s="116">
        <v>198</v>
      </c>
      <c r="C317" s="116">
        <v>53</v>
      </c>
      <c r="D317" s="116">
        <v>2</v>
      </c>
      <c r="E317" s="116">
        <v>4</v>
      </c>
      <c r="F317" s="116">
        <v>2.5169999999999999</v>
      </c>
      <c r="G317" s="116">
        <v>0.73040021981963399</v>
      </c>
      <c r="H317" s="117">
        <v>41675.681516203702</v>
      </c>
      <c r="I317" s="118" t="s">
        <v>304</v>
      </c>
      <c r="J317" s="106">
        <f t="shared" si="27"/>
        <v>0</v>
      </c>
    </row>
    <row r="318" spans="1:10" s="112" customFormat="1" x14ac:dyDescent="0.3">
      <c r="A318" s="105" t="str">
        <f t="shared" si="25"/>
        <v>f53t1</v>
      </c>
      <c r="B318" s="116">
        <v>198</v>
      </c>
      <c r="C318" s="116">
        <v>53</v>
      </c>
      <c r="D318" s="116">
        <v>3</v>
      </c>
      <c r="E318" s="116">
        <v>1</v>
      </c>
      <c r="F318" s="116">
        <v>2.5169999999999999</v>
      </c>
      <c r="G318" s="116">
        <v>0.41387688841088199</v>
      </c>
      <c r="H318" s="117">
        <v>41675.681516203702</v>
      </c>
      <c r="I318" s="118" t="s">
        <v>304</v>
      </c>
      <c r="J318" s="106">
        <f t="shared" si="27"/>
        <v>0</v>
      </c>
    </row>
    <row r="319" spans="1:10" s="112" customFormat="1" x14ac:dyDescent="0.3">
      <c r="A319" s="105" t="str">
        <f t="shared" si="25"/>
        <v>f53t3</v>
      </c>
      <c r="B319" s="116">
        <v>198</v>
      </c>
      <c r="C319" s="116">
        <v>53</v>
      </c>
      <c r="D319" s="116">
        <v>3</v>
      </c>
      <c r="E319" s="116">
        <v>3</v>
      </c>
      <c r="F319" s="116">
        <v>0.94599999999999995</v>
      </c>
      <c r="G319" s="116">
        <v>0.56763032302724803</v>
      </c>
      <c r="H319" s="117">
        <v>41675.681516203702</v>
      </c>
      <c r="I319" s="118" t="s">
        <v>304</v>
      </c>
      <c r="J319" s="106">
        <f t="shared" si="27"/>
        <v>0</v>
      </c>
    </row>
    <row r="320" spans="1:10" s="112" customFormat="1" x14ac:dyDescent="0.3">
      <c r="A320" s="105" t="str">
        <f t="shared" si="25"/>
        <v>f53t4</v>
      </c>
      <c r="B320" s="116">
        <v>198</v>
      </c>
      <c r="C320" s="116">
        <v>53</v>
      </c>
      <c r="D320" s="116">
        <v>3</v>
      </c>
      <c r="E320" s="116">
        <v>4</v>
      </c>
      <c r="F320" s="116">
        <v>2.5169999999999999</v>
      </c>
      <c r="G320" s="116">
        <v>0.73040021981963399</v>
      </c>
      <c r="H320" s="117">
        <v>41675.681516203702</v>
      </c>
      <c r="I320" s="118" t="s">
        <v>304</v>
      </c>
      <c r="J320" s="106">
        <f t="shared" si="27"/>
        <v>0</v>
      </c>
    </row>
    <row r="321" spans="1:10" s="112" customFormat="1" x14ac:dyDescent="0.3">
      <c r="A321" s="105" t="str">
        <f t="shared" si="25"/>
        <v>f53t1</v>
      </c>
      <c r="B321" s="116">
        <v>198</v>
      </c>
      <c r="C321" s="116">
        <v>53</v>
      </c>
      <c r="D321" s="116">
        <v>4</v>
      </c>
      <c r="E321" s="116">
        <v>1</v>
      </c>
      <c r="F321" s="116">
        <v>2.5169999999999999</v>
      </c>
      <c r="G321" s="116">
        <v>0.41387688841088199</v>
      </c>
      <c r="H321" s="117">
        <v>41675.681516203702</v>
      </c>
      <c r="I321" s="118" t="s">
        <v>304</v>
      </c>
      <c r="J321" s="106">
        <f t="shared" si="27"/>
        <v>0</v>
      </c>
    </row>
    <row r="322" spans="1:10" s="112" customFormat="1" x14ac:dyDescent="0.3">
      <c r="A322" s="105" t="str">
        <f t="shared" si="25"/>
        <v>f53t3</v>
      </c>
      <c r="B322" s="116">
        <v>198</v>
      </c>
      <c r="C322" s="116">
        <v>53</v>
      </c>
      <c r="D322" s="116">
        <v>4</v>
      </c>
      <c r="E322" s="116">
        <v>3</v>
      </c>
      <c r="F322" s="116">
        <v>0.94599999999999995</v>
      </c>
      <c r="G322" s="116">
        <v>0.56763032302724803</v>
      </c>
      <c r="H322" s="117">
        <v>41675.681516203702</v>
      </c>
      <c r="I322" s="118" t="s">
        <v>304</v>
      </c>
      <c r="J322" s="106">
        <f t="shared" si="27"/>
        <v>0</v>
      </c>
    </row>
    <row r="323" spans="1:10" s="112" customFormat="1" x14ac:dyDescent="0.3">
      <c r="A323" s="105" t="str">
        <f t="shared" si="25"/>
        <v>f53t4</v>
      </c>
      <c r="B323" s="116">
        <v>198</v>
      </c>
      <c r="C323" s="116">
        <v>53</v>
      </c>
      <c r="D323" s="116">
        <v>4</v>
      </c>
      <c r="E323" s="116">
        <v>4</v>
      </c>
      <c r="F323" s="116">
        <v>2.5169999999999999</v>
      </c>
      <c r="G323" s="116">
        <v>0.73040021981963399</v>
      </c>
      <c r="H323" s="117">
        <v>41675.681516203702</v>
      </c>
      <c r="I323" s="118" t="s">
        <v>304</v>
      </c>
      <c r="J323" s="106">
        <f t="shared" si="27"/>
        <v>0</v>
      </c>
    </row>
    <row r="324" spans="1:10" s="112" customFormat="1" x14ac:dyDescent="0.3">
      <c r="A324" s="105" t="str">
        <f t="shared" ref="A324:A387" si="28">"f"&amp;C324&amp;"t"&amp;E324</f>
        <v>f53t1</v>
      </c>
      <c r="B324" s="116">
        <v>198</v>
      </c>
      <c r="C324" s="116">
        <v>53</v>
      </c>
      <c r="D324" s="116">
        <v>5</v>
      </c>
      <c r="E324" s="116">
        <v>1</v>
      </c>
      <c r="F324" s="116">
        <v>2.5169999999999999</v>
      </c>
      <c r="G324" s="116">
        <v>0.41387688841088199</v>
      </c>
      <c r="H324" s="117">
        <v>41675.681516203702</v>
      </c>
      <c r="I324" s="118" t="s">
        <v>304</v>
      </c>
      <c r="J324" s="106">
        <f t="shared" si="27"/>
        <v>0</v>
      </c>
    </row>
    <row r="325" spans="1:10" s="112" customFormat="1" x14ac:dyDescent="0.3">
      <c r="A325" s="105" t="str">
        <f t="shared" si="28"/>
        <v>f53t3</v>
      </c>
      <c r="B325" s="116">
        <v>198</v>
      </c>
      <c r="C325" s="116">
        <v>53</v>
      </c>
      <c r="D325" s="116">
        <v>5</v>
      </c>
      <c r="E325" s="116">
        <v>3</v>
      </c>
      <c r="F325" s="116">
        <v>0.94599999999999995</v>
      </c>
      <c r="G325" s="116">
        <v>0.56763032302724803</v>
      </c>
      <c r="H325" s="117">
        <v>41675.681516203702</v>
      </c>
      <c r="I325" s="118" t="s">
        <v>304</v>
      </c>
      <c r="J325" s="106">
        <f t="shared" si="27"/>
        <v>0</v>
      </c>
    </row>
    <row r="326" spans="1:10" s="112" customFormat="1" x14ac:dyDescent="0.3">
      <c r="A326" s="105" t="str">
        <f t="shared" si="28"/>
        <v>f53t4</v>
      </c>
      <c r="B326" s="116">
        <v>198</v>
      </c>
      <c r="C326" s="116">
        <v>53</v>
      </c>
      <c r="D326" s="116">
        <v>5</v>
      </c>
      <c r="E326" s="116">
        <v>4</v>
      </c>
      <c r="F326" s="116">
        <v>2.5169999999999999</v>
      </c>
      <c r="G326" s="116">
        <v>0.73040021981963399</v>
      </c>
      <c r="H326" s="117">
        <v>41675.681516203702</v>
      </c>
      <c r="I326" s="118" t="s">
        <v>304</v>
      </c>
      <c r="J326" s="106">
        <f t="shared" si="27"/>
        <v>0</v>
      </c>
    </row>
    <row r="327" spans="1:10" s="112" customFormat="1" x14ac:dyDescent="0.3">
      <c r="A327" s="105" t="str">
        <f t="shared" si="28"/>
        <v>f54t1</v>
      </c>
      <c r="B327" s="116">
        <v>198</v>
      </c>
      <c r="C327" s="116">
        <v>54</v>
      </c>
      <c r="D327" s="116">
        <v>2</v>
      </c>
      <c r="E327" s="116">
        <v>1</v>
      </c>
      <c r="F327" s="116">
        <v>1.0580000000000001</v>
      </c>
      <c r="G327" s="116">
        <v>1.5547299957999701</v>
      </c>
      <c r="H327" s="117">
        <v>41675.681516203702</v>
      </c>
      <c r="I327" s="118" t="s">
        <v>304</v>
      </c>
      <c r="J327" s="106">
        <f t="shared" si="27"/>
        <v>0</v>
      </c>
    </row>
    <row r="328" spans="1:10" s="112" customFormat="1" x14ac:dyDescent="0.3">
      <c r="A328" s="105" t="str">
        <f t="shared" si="28"/>
        <v>f54t3</v>
      </c>
      <c r="B328" s="116">
        <v>198</v>
      </c>
      <c r="C328" s="116">
        <v>54</v>
      </c>
      <c r="D328" s="116">
        <v>2</v>
      </c>
      <c r="E328" s="116">
        <v>3</v>
      </c>
      <c r="F328" s="116">
        <v>3.4000000000000002E-2</v>
      </c>
      <c r="G328" s="116">
        <v>5.4919633975594605E-26</v>
      </c>
      <c r="H328" s="117">
        <v>41675.681516203702</v>
      </c>
      <c r="I328" s="118" t="s">
        <v>304</v>
      </c>
      <c r="J328" s="106">
        <f t="shared" si="27"/>
        <v>0</v>
      </c>
    </row>
    <row r="329" spans="1:10" s="112" customFormat="1" x14ac:dyDescent="0.3">
      <c r="A329" s="105" t="str">
        <f t="shared" si="28"/>
        <v>f54t4</v>
      </c>
      <c r="B329" s="116">
        <v>198</v>
      </c>
      <c r="C329" s="116">
        <v>54</v>
      </c>
      <c r="D329" s="116">
        <v>2</v>
      </c>
      <c r="E329" s="116">
        <v>4</v>
      </c>
      <c r="F329" s="116">
        <v>1.0580000000000001</v>
      </c>
      <c r="G329" s="116">
        <v>3.2025518486324498</v>
      </c>
      <c r="H329" s="117">
        <v>41675.681516203702</v>
      </c>
      <c r="I329" s="118" t="s">
        <v>304</v>
      </c>
      <c r="J329" s="106">
        <f t="shared" si="27"/>
        <v>0</v>
      </c>
    </row>
    <row r="330" spans="1:10" s="112" customFormat="1" x14ac:dyDescent="0.3">
      <c r="A330" s="105" t="str">
        <f t="shared" si="28"/>
        <v>f54t1</v>
      </c>
      <c r="B330" s="116">
        <v>198</v>
      </c>
      <c r="C330" s="116">
        <v>54</v>
      </c>
      <c r="D330" s="116">
        <v>3</v>
      </c>
      <c r="E330" s="116">
        <v>1</v>
      </c>
      <c r="F330" s="116">
        <v>1.0580000000000001</v>
      </c>
      <c r="G330" s="116">
        <v>1.5547299957999701</v>
      </c>
      <c r="H330" s="117">
        <v>41675.681516203702</v>
      </c>
      <c r="I330" s="118" t="s">
        <v>304</v>
      </c>
      <c r="J330" s="106">
        <f t="shared" si="27"/>
        <v>0</v>
      </c>
    </row>
    <row r="331" spans="1:10" s="112" customFormat="1" x14ac:dyDescent="0.3">
      <c r="A331" s="105" t="str">
        <f t="shared" si="28"/>
        <v>f54t3</v>
      </c>
      <c r="B331" s="116">
        <v>198</v>
      </c>
      <c r="C331" s="116">
        <v>54</v>
      </c>
      <c r="D331" s="116">
        <v>3</v>
      </c>
      <c r="E331" s="116">
        <v>3</v>
      </c>
      <c r="F331" s="116">
        <v>3.4000000000000002E-2</v>
      </c>
      <c r="G331" s="116">
        <v>5.4919633975594605E-26</v>
      </c>
      <c r="H331" s="117">
        <v>41675.681516203702</v>
      </c>
      <c r="I331" s="118" t="s">
        <v>304</v>
      </c>
      <c r="J331" s="106">
        <f t="shared" si="27"/>
        <v>0</v>
      </c>
    </row>
    <row r="332" spans="1:10" s="112" customFormat="1" x14ac:dyDescent="0.3">
      <c r="A332" s="105" t="str">
        <f t="shared" si="28"/>
        <v>f54t4</v>
      </c>
      <c r="B332" s="116">
        <v>198</v>
      </c>
      <c r="C332" s="116">
        <v>54</v>
      </c>
      <c r="D332" s="116">
        <v>3</v>
      </c>
      <c r="E332" s="116">
        <v>4</v>
      </c>
      <c r="F332" s="116">
        <v>1.0580000000000001</v>
      </c>
      <c r="G332" s="116">
        <v>3.2025518486324498</v>
      </c>
      <c r="H332" s="117">
        <v>41675.681516203702</v>
      </c>
      <c r="I332" s="118" t="s">
        <v>304</v>
      </c>
      <c r="J332" s="106">
        <f t="shared" si="27"/>
        <v>0</v>
      </c>
    </row>
    <row r="333" spans="1:10" s="112" customFormat="1" x14ac:dyDescent="0.3">
      <c r="A333" s="105" t="str">
        <f t="shared" si="28"/>
        <v>f54t1</v>
      </c>
      <c r="B333" s="116">
        <v>198</v>
      </c>
      <c r="C333" s="116">
        <v>54</v>
      </c>
      <c r="D333" s="116">
        <v>4</v>
      </c>
      <c r="E333" s="116">
        <v>1</v>
      </c>
      <c r="F333" s="116">
        <v>1.0580000000000001</v>
      </c>
      <c r="G333" s="116">
        <v>1.5547299957999701</v>
      </c>
      <c r="H333" s="117">
        <v>41675.681516203702</v>
      </c>
      <c r="I333" s="118" t="s">
        <v>304</v>
      </c>
      <c r="J333" s="106">
        <f t="shared" si="27"/>
        <v>0</v>
      </c>
    </row>
    <row r="334" spans="1:10" s="112" customFormat="1" x14ac:dyDescent="0.3">
      <c r="A334" s="105" t="str">
        <f t="shared" si="28"/>
        <v>f54t3</v>
      </c>
      <c r="B334" s="116">
        <v>198</v>
      </c>
      <c r="C334" s="116">
        <v>54</v>
      </c>
      <c r="D334" s="116">
        <v>4</v>
      </c>
      <c r="E334" s="116">
        <v>3</v>
      </c>
      <c r="F334" s="116">
        <v>3.4000000000000002E-2</v>
      </c>
      <c r="G334" s="116">
        <v>5.4919633975594605E-26</v>
      </c>
      <c r="H334" s="117">
        <v>41675.681516203702</v>
      </c>
      <c r="I334" s="118" t="s">
        <v>304</v>
      </c>
      <c r="J334" s="106">
        <f t="shared" si="27"/>
        <v>0</v>
      </c>
    </row>
    <row r="335" spans="1:10" s="112" customFormat="1" x14ac:dyDescent="0.3">
      <c r="A335" s="105" t="str">
        <f t="shared" si="28"/>
        <v>f54t4</v>
      </c>
      <c r="B335" s="116">
        <v>198</v>
      </c>
      <c r="C335" s="116">
        <v>54</v>
      </c>
      <c r="D335" s="116">
        <v>4</v>
      </c>
      <c r="E335" s="116">
        <v>4</v>
      </c>
      <c r="F335" s="116">
        <v>1.0580000000000001</v>
      </c>
      <c r="G335" s="116">
        <v>3.2025518486324498</v>
      </c>
      <c r="H335" s="117">
        <v>41675.681516203702</v>
      </c>
      <c r="I335" s="118" t="s">
        <v>304</v>
      </c>
      <c r="J335" s="106">
        <f t="shared" si="27"/>
        <v>0</v>
      </c>
    </row>
    <row r="336" spans="1:10" s="112" customFormat="1" x14ac:dyDescent="0.3">
      <c r="A336" s="105" t="str">
        <f t="shared" si="28"/>
        <v>f54t1</v>
      </c>
      <c r="B336" s="116">
        <v>198</v>
      </c>
      <c r="C336" s="116">
        <v>54</v>
      </c>
      <c r="D336" s="116">
        <v>5</v>
      </c>
      <c r="E336" s="116">
        <v>1</v>
      </c>
      <c r="F336" s="116">
        <v>1.0580000000000001</v>
      </c>
      <c r="G336" s="116">
        <v>1.5547299957999701</v>
      </c>
      <c r="H336" s="117">
        <v>41675.681516203702</v>
      </c>
      <c r="I336" s="118" t="s">
        <v>304</v>
      </c>
      <c r="J336" s="106">
        <f t="shared" si="27"/>
        <v>0</v>
      </c>
    </row>
    <row r="337" spans="1:10" s="112" customFormat="1" x14ac:dyDescent="0.3">
      <c r="A337" s="105" t="str">
        <f t="shared" si="28"/>
        <v>f54t3</v>
      </c>
      <c r="B337" s="116">
        <v>198</v>
      </c>
      <c r="C337" s="116">
        <v>54</v>
      </c>
      <c r="D337" s="116">
        <v>5</v>
      </c>
      <c r="E337" s="116">
        <v>3</v>
      </c>
      <c r="F337" s="116">
        <v>3.4000000000000002E-2</v>
      </c>
      <c r="G337" s="116">
        <v>5.4919633975594605E-26</v>
      </c>
      <c r="H337" s="117">
        <v>41675.681516203702</v>
      </c>
      <c r="I337" s="118" t="s">
        <v>304</v>
      </c>
      <c r="J337" s="106">
        <f t="shared" si="27"/>
        <v>0</v>
      </c>
    </row>
    <row r="338" spans="1:10" s="112" customFormat="1" x14ac:dyDescent="0.3">
      <c r="A338" s="105" t="str">
        <f t="shared" si="28"/>
        <v>f54t4</v>
      </c>
      <c r="B338" s="116">
        <v>198</v>
      </c>
      <c r="C338" s="116">
        <v>54</v>
      </c>
      <c r="D338" s="116">
        <v>5</v>
      </c>
      <c r="E338" s="116">
        <v>4</v>
      </c>
      <c r="F338" s="116">
        <v>1.0580000000000001</v>
      </c>
      <c r="G338" s="116">
        <v>3.2025518486324498</v>
      </c>
      <c r="H338" s="117">
        <v>41675.681516203702</v>
      </c>
      <c r="I338" s="118" t="s">
        <v>304</v>
      </c>
      <c r="J338" s="106">
        <f t="shared" si="27"/>
        <v>0</v>
      </c>
    </row>
    <row r="339" spans="1:10" s="112" customFormat="1" x14ac:dyDescent="0.3">
      <c r="A339" s="105" t="str">
        <f t="shared" si="28"/>
        <v>f56t1</v>
      </c>
      <c r="B339" s="116">
        <v>198</v>
      </c>
      <c r="C339" s="116">
        <v>56</v>
      </c>
      <c r="D339" s="116">
        <v>2</v>
      </c>
      <c r="E339" s="116">
        <v>1</v>
      </c>
      <c r="F339" s="116">
        <v>6.1040000000000001</v>
      </c>
      <c r="G339" s="116">
        <v>1.06351887989295</v>
      </c>
      <c r="H339" s="117">
        <v>41675.681516203702</v>
      </c>
      <c r="I339" s="118" t="s">
        <v>304</v>
      </c>
      <c r="J339" s="106">
        <f t="shared" si="27"/>
        <v>0</v>
      </c>
    </row>
    <row r="340" spans="1:10" s="112" customFormat="1" x14ac:dyDescent="0.3">
      <c r="A340" s="105" t="str">
        <f t="shared" si="28"/>
        <v>f56t3</v>
      </c>
      <c r="B340" s="116">
        <v>198</v>
      </c>
      <c r="C340" s="116">
        <v>56</v>
      </c>
      <c r="D340" s="116">
        <v>2</v>
      </c>
      <c r="E340" s="116">
        <v>3</v>
      </c>
      <c r="F340" s="116">
        <v>1.2230000000000001</v>
      </c>
      <c r="G340" s="116">
        <v>0.62262438610910198</v>
      </c>
      <c r="H340" s="117">
        <v>41675.681516203702</v>
      </c>
      <c r="I340" s="118" t="s">
        <v>304</v>
      </c>
      <c r="J340" s="106">
        <f t="shared" si="27"/>
        <v>0</v>
      </c>
    </row>
    <row r="341" spans="1:10" s="112" customFormat="1" x14ac:dyDescent="0.3">
      <c r="A341" s="105" t="str">
        <f t="shared" si="28"/>
        <v>f56t4</v>
      </c>
      <c r="B341" s="116">
        <v>198</v>
      </c>
      <c r="C341" s="116">
        <v>56</v>
      </c>
      <c r="D341" s="116">
        <v>2</v>
      </c>
      <c r="E341" s="116">
        <v>4</v>
      </c>
      <c r="F341" s="116">
        <v>6.1040000000000001</v>
      </c>
      <c r="G341" s="116">
        <v>1.5222795524824699</v>
      </c>
      <c r="H341" s="117">
        <v>41675.681516203702</v>
      </c>
      <c r="I341" s="118" t="s">
        <v>304</v>
      </c>
      <c r="J341" s="106">
        <f t="shared" si="27"/>
        <v>0</v>
      </c>
    </row>
    <row r="342" spans="1:10" s="112" customFormat="1" x14ac:dyDescent="0.3">
      <c r="A342" s="105" t="str">
        <f t="shared" si="28"/>
        <v>f56t1</v>
      </c>
      <c r="B342" s="116">
        <v>198</v>
      </c>
      <c r="C342" s="116">
        <v>56</v>
      </c>
      <c r="D342" s="116">
        <v>3</v>
      </c>
      <c r="E342" s="116">
        <v>1</v>
      </c>
      <c r="F342" s="116">
        <v>6.1040000000000001</v>
      </c>
      <c r="G342" s="116">
        <v>1.06351887989295</v>
      </c>
      <c r="H342" s="117">
        <v>41675.681516203702</v>
      </c>
      <c r="I342" s="118" t="s">
        <v>304</v>
      </c>
      <c r="J342" s="106">
        <f t="shared" si="27"/>
        <v>0</v>
      </c>
    </row>
    <row r="343" spans="1:10" s="112" customFormat="1" x14ac:dyDescent="0.3">
      <c r="A343" s="105" t="str">
        <f t="shared" si="28"/>
        <v>f56t3</v>
      </c>
      <c r="B343" s="116">
        <v>198</v>
      </c>
      <c r="C343" s="116">
        <v>56</v>
      </c>
      <c r="D343" s="116">
        <v>3</v>
      </c>
      <c r="E343" s="116">
        <v>3</v>
      </c>
      <c r="F343" s="116">
        <v>1.2230000000000001</v>
      </c>
      <c r="G343" s="116">
        <v>0.62262438610910198</v>
      </c>
      <c r="H343" s="117">
        <v>41675.681516203702</v>
      </c>
      <c r="I343" s="118" t="s">
        <v>304</v>
      </c>
      <c r="J343" s="106">
        <f t="shared" si="27"/>
        <v>0</v>
      </c>
    </row>
    <row r="344" spans="1:10" s="112" customFormat="1" x14ac:dyDescent="0.3">
      <c r="A344" s="105" t="str">
        <f t="shared" si="28"/>
        <v>f56t4</v>
      </c>
      <c r="B344" s="116">
        <v>198</v>
      </c>
      <c r="C344" s="116">
        <v>56</v>
      </c>
      <c r="D344" s="116">
        <v>3</v>
      </c>
      <c r="E344" s="116">
        <v>4</v>
      </c>
      <c r="F344" s="116">
        <v>6.1040000000000001</v>
      </c>
      <c r="G344" s="116">
        <v>1.5222795524824699</v>
      </c>
      <c r="H344" s="117">
        <v>41675.681516203702</v>
      </c>
      <c r="I344" s="118" t="s">
        <v>304</v>
      </c>
      <c r="J344" s="106">
        <f t="shared" si="27"/>
        <v>0</v>
      </c>
    </row>
    <row r="345" spans="1:10" s="112" customFormat="1" x14ac:dyDescent="0.3">
      <c r="A345" s="105" t="str">
        <f t="shared" si="28"/>
        <v>f56t1</v>
      </c>
      <c r="B345" s="116">
        <v>198</v>
      </c>
      <c r="C345" s="116">
        <v>56</v>
      </c>
      <c r="D345" s="116">
        <v>4</v>
      </c>
      <c r="E345" s="116">
        <v>1</v>
      </c>
      <c r="F345" s="116">
        <v>6.1040000000000001</v>
      </c>
      <c r="G345" s="116">
        <v>1.06351887989295</v>
      </c>
      <c r="H345" s="117">
        <v>41675.681516203702</v>
      </c>
      <c r="I345" s="118" t="s">
        <v>304</v>
      </c>
      <c r="J345" s="106">
        <f t="shared" si="27"/>
        <v>0</v>
      </c>
    </row>
    <row r="346" spans="1:10" s="112" customFormat="1" x14ac:dyDescent="0.3">
      <c r="A346" s="105" t="str">
        <f t="shared" si="28"/>
        <v>f56t3</v>
      </c>
      <c r="B346" s="116">
        <v>198</v>
      </c>
      <c r="C346" s="116">
        <v>56</v>
      </c>
      <c r="D346" s="116">
        <v>4</v>
      </c>
      <c r="E346" s="116">
        <v>3</v>
      </c>
      <c r="F346" s="116">
        <v>1.2230000000000001</v>
      </c>
      <c r="G346" s="116">
        <v>0.62262438610910198</v>
      </c>
      <c r="H346" s="117">
        <v>41675.681516203702</v>
      </c>
      <c r="I346" s="118" t="s">
        <v>304</v>
      </c>
      <c r="J346" s="106">
        <f t="shared" si="27"/>
        <v>0</v>
      </c>
    </row>
    <row r="347" spans="1:10" s="112" customFormat="1" x14ac:dyDescent="0.3">
      <c r="A347" s="105" t="str">
        <f t="shared" si="28"/>
        <v>f56t4</v>
      </c>
      <c r="B347" s="116">
        <v>198</v>
      </c>
      <c r="C347" s="116">
        <v>56</v>
      </c>
      <c r="D347" s="116">
        <v>4</v>
      </c>
      <c r="E347" s="116">
        <v>4</v>
      </c>
      <c r="F347" s="116">
        <v>6.1040000000000001</v>
      </c>
      <c r="G347" s="116">
        <v>1.5222795524824699</v>
      </c>
      <c r="H347" s="117">
        <v>41675.681516203702</v>
      </c>
      <c r="I347" s="118" t="s">
        <v>304</v>
      </c>
      <c r="J347" s="106">
        <f t="shared" si="27"/>
        <v>0</v>
      </c>
    </row>
    <row r="348" spans="1:10" s="112" customFormat="1" x14ac:dyDescent="0.3">
      <c r="A348" s="105" t="str">
        <f t="shared" si="28"/>
        <v>f56t1</v>
      </c>
      <c r="B348" s="116">
        <v>198</v>
      </c>
      <c r="C348" s="116">
        <v>56</v>
      </c>
      <c r="D348" s="116">
        <v>5</v>
      </c>
      <c r="E348" s="116">
        <v>1</v>
      </c>
      <c r="F348" s="116">
        <v>6.1040000000000001</v>
      </c>
      <c r="G348" s="116">
        <v>1.06351887989295</v>
      </c>
      <c r="H348" s="117">
        <v>41675.681516203702</v>
      </c>
      <c r="I348" s="118" t="s">
        <v>304</v>
      </c>
      <c r="J348" s="106">
        <f t="shared" si="27"/>
        <v>0</v>
      </c>
    </row>
    <row r="349" spans="1:10" s="112" customFormat="1" x14ac:dyDescent="0.3">
      <c r="A349" s="105" t="str">
        <f t="shared" si="28"/>
        <v>f56t3</v>
      </c>
      <c r="B349" s="116">
        <v>198</v>
      </c>
      <c r="C349" s="116">
        <v>56</v>
      </c>
      <c r="D349" s="116">
        <v>5</v>
      </c>
      <c r="E349" s="116">
        <v>3</v>
      </c>
      <c r="F349" s="116">
        <v>1.2230000000000001</v>
      </c>
      <c r="G349" s="116">
        <v>0.62262438610910198</v>
      </c>
      <c r="H349" s="117">
        <v>41675.681516203702</v>
      </c>
      <c r="I349" s="118" t="s">
        <v>304</v>
      </c>
      <c r="J349" s="106">
        <f t="shared" si="27"/>
        <v>0</v>
      </c>
    </row>
    <row r="350" spans="1:10" s="112" customFormat="1" x14ac:dyDescent="0.3">
      <c r="A350" s="105" t="str">
        <f t="shared" si="28"/>
        <v>f56t4</v>
      </c>
      <c r="B350" s="116">
        <v>198</v>
      </c>
      <c r="C350" s="116">
        <v>56</v>
      </c>
      <c r="D350" s="116">
        <v>5</v>
      </c>
      <c r="E350" s="116">
        <v>4</v>
      </c>
      <c r="F350" s="116">
        <v>6.1040000000000001</v>
      </c>
      <c r="G350" s="116">
        <v>1.5222795524824699</v>
      </c>
      <c r="H350" s="117">
        <v>41675.681516203702</v>
      </c>
      <c r="I350" s="118" t="s">
        <v>304</v>
      </c>
      <c r="J350" s="106">
        <f t="shared" si="27"/>
        <v>0</v>
      </c>
    </row>
    <row r="351" spans="1:10" s="112" customFormat="1" x14ac:dyDescent="0.3">
      <c r="A351" s="105" t="str">
        <f t="shared" si="28"/>
        <v>f57t1</v>
      </c>
      <c r="B351" s="116">
        <v>198</v>
      </c>
      <c r="C351" s="116">
        <v>57</v>
      </c>
      <c r="D351" s="116">
        <v>2</v>
      </c>
      <c r="E351" s="116">
        <v>1</v>
      </c>
      <c r="F351" s="116">
        <v>1.9630000000000001</v>
      </c>
      <c r="G351" s="116">
        <v>0.34304295686486702</v>
      </c>
      <c r="H351" s="117">
        <v>41675.681516203702</v>
      </c>
      <c r="I351" s="118" t="s">
        <v>304</v>
      </c>
      <c r="J351" s="106">
        <f t="shared" si="27"/>
        <v>0</v>
      </c>
    </row>
    <row r="352" spans="1:10" s="112" customFormat="1" x14ac:dyDescent="0.3">
      <c r="A352" s="105" t="str">
        <f t="shared" si="28"/>
        <v>f57t3</v>
      </c>
      <c r="B352" s="116">
        <v>198</v>
      </c>
      <c r="C352" s="116">
        <v>57</v>
      </c>
      <c r="D352" s="116">
        <v>2</v>
      </c>
      <c r="E352" s="116">
        <v>3</v>
      </c>
      <c r="F352" s="116">
        <v>0.64</v>
      </c>
      <c r="G352" s="116">
        <v>0.33331956119012501</v>
      </c>
      <c r="H352" s="117">
        <v>41675.681516203702</v>
      </c>
      <c r="I352" s="118" t="s">
        <v>304</v>
      </c>
      <c r="J352" s="106">
        <f t="shared" si="27"/>
        <v>0</v>
      </c>
    </row>
    <row r="353" spans="1:10" s="112" customFormat="1" x14ac:dyDescent="0.3">
      <c r="A353" s="105" t="str">
        <f t="shared" si="28"/>
        <v>f57t4</v>
      </c>
      <c r="B353" s="116">
        <v>198</v>
      </c>
      <c r="C353" s="116">
        <v>57</v>
      </c>
      <c r="D353" s="116">
        <v>2</v>
      </c>
      <c r="E353" s="116">
        <v>4</v>
      </c>
      <c r="F353" s="116">
        <v>1.9630000000000001</v>
      </c>
      <c r="G353" s="116">
        <v>0.45912883761724799</v>
      </c>
      <c r="H353" s="117">
        <v>41675.681516203702</v>
      </c>
      <c r="I353" s="118" t="s">
        <v>304</v>
      </c>
      <c r="J353" s="106">
        <f t="shared" si="27"/>
        <v>0</v>
      </c>
    </row>
    <row r="354" spans="1:10" s="112" customFormat="1" x14ac:dyDescent="0.3">
      <c r="A354" s="105" t="str">
        <f t="shared" si="28"/>
        <v>f57t1</v>
      </c>
      <c r="B354" s="116">
        <v>198</v>
      </c>
      <c r="C354" s="116">
        <v>57</v>
      </c>
      <c r="D354" s="116">
        <v>3</v>
      </c>
      <c r="E354" s="116">
        <v>1</v>
      </c>
      <c r="F354" s="116">
        <v>1.9630000000000001</v>
      </c>
      <c r="G354" s="116">
        <v>0.34304295686486702</v>
      </c>
      <c r="H354" s="117">
        <v>41675.681516203702</v>
      </c>
      <c r="I354" s="118" t="s">
        <v>304</v>
      </c>
      <c r="J354" s="106">
        <f t="shared" si="27"/>
        <v>0</v>
      </c>
    </row>
    <row r="355" spans="1:10" s="112" customFormat="1" x14ac:dyDescent="0.3">
      <c r="A355" s="105" t="str">
        <f t="shared" si="28"/>
        <v>f57t3</v>
      </c>
      <c r="B355" s="116">
        <v>198</v>
      </c>
      <c r="C355" s="116">
        <v>57</v>
      </c>
      <c r="D355" s="116">
        <v>3</v>
      </c>
      <c r="E355" s="116">
        <v>3</v>
      </c>
      <c r="F355" s="116">
        <v>0.64</v>
      </c>
      <c r="G355" s="116">
        <v>0.33331956119012501</v>
      </c>
      <c r="H355" s="117">
        <v>41675.681516203702</v>
      </c>
      <c r="I355" s="118" t="s">
        <v>304</v>
      </c>
      <c r="J355" s="106">
        <f t="shared" si="27"/>
        <v>0</v>
      </c>
    </row>
    <row r="356" spans="1:10" s="112" customFormat="1" x14ac:dyDescent="0.3">
      <c r="A356" s="105" t="str">
        <f t="shared" si="28"/>
        <v>f57t4</v>
      </c>
      <c r="B356" s="116">
        <v>198</v>
      </c>
      <c r="C356" s="116">
        <v>57</v>
      </c>
      <c r="D356" s="116">
        <v>3</v>
      </c>
      <c r="E356" s="116">
        <v>4</v>
      </c>
      <c r="F356" s="116">
        <v>1.9630000000000001</v>
      </c>
      <c r="G356" s="116">
        <v>0.45912883761724799</v>
      </c>
      <c r="H356" s="117">
        <v>41675.681516203702</v>
      </c>
      <c r="I356" s="118" t="s">
        <v>304</v>
      </c>
      <c r="J356" s="106">
        <f t="shared" si="27"/>
        <v>0</v>
      </c>
    </row>
    <row r="357" spans="1:10" s="112" customFormat="1" x14ac:dyDescent="0.3">
      <c r="A357" s="105" t="str">
        <f t="shared" si="28"/>
        <v>f57t1</v>
      </c>
      <c r="B357" s="116">
        <v>198</v>
      </c>
      <c r="C357" s="116">
        <v>57</v>
      </c>
      <c r="D357" s="116">
        <v>4</v>
      </c>
      <c r="E357" s="116">
        <v>1</v>
      </c>
      <c r="F357" s="116">
        <v>1.9630000000000001</v>
      </c>
      <c r="G357" s="116">
        <v>0.34304295686486702</v>
      </c>
      <c r="H357" s="117">
        <v>41675.681516203702</v>
      </c>
      <c r="I357" s="118" t="s">
        <v>304</v>
      </c>
      <c r="J357" s="106">
        <f t="shared" ref="J357:J394" si="29">F357-VLOOKUP(A357,L$3:P$100,5,FALSE)</f>
        <v>0</v>
      </c>
    </row>
    <row r="358" spans="1:10" s="112" customFormat="1" x14ac:dyDescent="0.3">
      <c r="A358" s="105" t="str">
        <f t="shared" si="28"/>
        <v>f57t3</v>
      </c>
      <c r="B358" s="116">
        <v>198</v>
      </c>
      <c r="C358" s="116">
        <v>57</v>
      </c>
      <c r="D358" s="116">
        <v>4</v>
      </c>
      <c r="E358" s="116">
        <v>3</v>
      </c>
      <c r="F358" s="116">
        <v>0.64</v>
      </c>
      <c r="G358" s="116">
        <v>0.33331956119012501</v>
      </c>
      <c r="H358" s="117">
        <v>41675.681516203702</v>
      </c>
      <c r="I358" s="118" t="s">
        <v>304</v>
      </c>
      <c r="J358" s="106">
        <f t="shared" si="29"/>
        <v>0</v>
      </c>
    </row>
    <row r="359" spans="1:10" s="112" customFormat="1" x14ac:dyDescent="0.3">
      <c r="A359" s="105" t="str">
        <f t="shared" si="28"/>
        <v>f57t4</v>
      </c>
      <c r="B359" s="116">
        <v>198</v>
      </c>
      <c r="C359" s="116">
        <v>57</v>
      </c>
      <c r="D359" s="116">
        <v>4</v>
      </c>
      <c r="E359" s="116">
        <v>4</v>
      </c>
      <c r="F359" s="116">
        <v>1.9630000000000001</v>
      </c>
      <c r="G359" s="116">
        <v>0.45912883761724799</v>
      </c>
      <c r="H359" s="117">
        <v>41675.681516203702</v>
      </c>
      <c r="I359" s="118" t="s">
        <v>304</v>
      </c>
      <c r="J359" s="106">
        <f t="shared" si="29"/>
        <v>0</v>
      </c>
    </row>
    <row r="360" spans="1:10" s="112" customFormat="1" x14ac:dyDescent="0.3">
      <c r="A360" s="105" t="str">
        <f t="shared" si="28"/>
        <v>f57t1</v>
      </c>
      <c r="B360" s="116">
        <v>198</v>
      </c>
      <c r="C360" s="116">
        <v>57</v>
      </c>
      <c r="D360" s="116">
        <v>5</v>
      </c>
      <c r="E360" s="116">
        <v>1</v>
      </c>
      <c r="F360" s="116">
        <v>1.9630000000000001</v>
      </c>
      <c r="G360" s="116">
        <v>0.34304295686486702</v>
      </c>
      <c r="H360" s="117">
        <v>41675.681516203702</v>
      </c>
      <c r="I360" s="118" t="s">
        <v>304</v>
      </c>
      <c r="J360" s="106">
        <f t="shared" si="29"/>
        <v>0</v>
      </c>
    </row>
    <row r="361" spans="1:10" s="112" customFormat="1" x14ac:dyDescent="0.3">
      <c r="A361" s="105" t="str">
        <f t="shared" si="28"/>
        <v>f57t3</v>
      </c>
      <c r="B361" s="116">
        <v>198</v>
      </c>
      <c r="C361" s="116">
        <v>57</v>
      </c>
      <c r="D361" s="116">
        <v>5</v>
      </c>
      <c r="E361" s="116">
        <v>3</v>
      </c>
      <c r="F361" s="116">
        <v>0.64</v>
      </c>
      <c r="G361" s="116">
        <v>0.33331956119012501</v>
      </c>
      <c r="H361" s="117">
        <v>41675.681516203702</v>
      </c>
      <c r="I361" s="118" t="s">
        <v>304</v>
      </c>
      <c r="J361" s="106">
        <f t="shared" si="29"/>
        <v>0</v>
      </c>
    </row>
    <row r="362" spans="1:10" s="112" customFormat="1" x14ac:dyDescent="0.3">
      <c r="A362" s="105" t="str">
        <f t="shared" si="28"/>
        <v>f57t4</v>
      </c>
      <c r="B362" s="116">
        <v>198</v>
      </c>
      <c r="C362" s="116">
        <v>57</v>
      </c>
      <c r="D362" s="116">
        <v>5</v>
      </c>
      <c r="E362" s="116">
        <v>4</v>
      </c>
      <c r="F362" s="116">
        <v>1.9630000000000001</v>
      </c>
      <c r="G362" s="116">
        <v>0.45912883761724799</v>
      </c>
      <c r="H362" s="117">
        <v>41675.681516203702</v>
      </c>
      <c r="I362" s="118" t="s">
        <v>304</v>
      </c>
      <c r="J362" s="106">
        <f t="shared" si="29"/>
        <v>0</v>
      </c>
    </row>
    <row r="363" spans="1:10" s="112" customFormat="1" x14ac:dyDescent="0.3">
      <c r="A363" s="105" t="str">
        <f t="shared" si="28"/>
        <v>f64t1</v>
      </c>
      <c r="B363" s="116">
        <v>198</v>
      </c>
      <c r="C363" s="116">
        <v>64</v>
      </c>
      <c r="D363" s="116">
        <v>2</v>
      </c>
      <c r="E363" s="116">
        <v>1</v>
      </c>
      <c r="F363" s="116">
        <v>3.3130000000000002</v>
      </c>
      <c r="G363" s="116">
        <v>0.61027715230495005</v>
      </c>
      <c r="H363" s="117">
        <v>41675.681516203702</v>
      </c>
      <c r="I363" s="118" t="s">
        <v>304</v>
      </c>
      <c r="J363" s="106">
        <f t="shared" si="29"/>
        <v>0</v>
      </c>
    </row>
    <row r="364" spans="1:10" s="112" customFormat="1" x14ac:dyDescent="0.3">
      <c r="A364" s="105" t="str">
        <f t="shared" si="28"/>
        <v>f64t3</v>
      </c>
      <c r="B364" s="116">
        <v>198</v>
      </c>
      <c r="C364" s="116">
        <v>64</v>
      </c>
      <c r="D364" s="116">
        <v>2</v>
      </c>
      <c r="E364" s="116">
        <v>3</v>
      </c>
      <c r="F364" s="116">
        <v>1.696</v>
      </c>
      <c r="G364" s="116">
        <v>0.558592564633273</v>
      </c>
      <c r="H364" s="117">
        <v>41675.681516203702</v>
      </c>
      <c r="I364" s="118" t="s">
        <v>304</v>
      </c>
      <c r="J364" s="106">
        <f t="shared" si="29"/>
        <v>0</v>
      </c>
    </row>
    <row r="365" spans="1:10" s="112" customFormat="1" x14ac:dyDescent="0.3">
      <c r="A365" s="105" t="str">
        <f t="shared" si="28"/>
        <v>f64t4</v>
      </c>
      <c r="B365" s="116">
        <v>198</v>
      </c>
      <c r="C365" s="116">
        <v>64</v>
      </c>
      <c r="D365" s="116">
        <v>2</v>
      </c>
      <c r="E365" s="116">
        <v>4</v>
      </c>
      <c r="F365" s="116">
        <v>3.3130000000000002</v>
      </c>
      <c r="G365" s="116">
        <v>0.82473395730263299</v>
      </c>
      <c r="H365" s="117">
        <v>41675.681516203702</v>
      </c>
      <c r="I365" s="118" t="s">
        <v>304</v>
      </c>
      <c r="J365" s="106">
        <f t="shared" si="29"/>
        <v>0</v>
      </c>
    </row>
    <row r="366" spans="1:10" s="112" customFormat="1" x14ac:dyDescent="0.3">
      <c r="A366" s="105" t="str">
        <f t="shared" si="28"/>
        <v>f64t1</v>
      </c>
      <c r="B366" s="116">
        <v>198</v>
      </c>
      <c r="C366" s="116">
        <v>64</v>
      </c>
      <c r="D366" s="116">
        <v>3</v>
      </c>
      <c r="E366" s="116">
        <v>1</v>
      </c>
      <c r="F366" s="116">
        <v>3.3130000000000002</v>
      </c>
      <c r="G366" s="116">
        <v>0.61027715230495005</v>
      </c>
      <c r="H366" s="117">
        <v>41675.681516203702</v>
      </c>
      <c r="I366" s="118" t="s">
        <v>304</v>
      </c>
      <c r="J366" s="106">
        <f t="shared" si="29"/>
        <v>0</v>
      </c>
    </row>
    <row r="367" spans="1:10" s="112" customFormat="1" x14ac:dyDescent="0.3">
      <c r="A367" s="105" t="str">
        <f t="shared" si="28"/>
        <v>f64t3</v>
      </c>
      <c r="B367" s="116">
        <v>198</v>
      </c>
      <c r="C367" s="116">
        <v>64</v>
      </c>
      <c r="D367" s="116">
        <v>3</v>
      </c>
      <c r="E367" s="116">
        <v>3</v>
      </c>
      <c r="F367" s="116">
        <v>1.696</v>
      </c>
      <c r="G367" s="116">
        <v>0.558592564633273</v>
      </c>
      <c r="H367" s="117">
        <v>41675.681516203702</v>
      </c>
      <c r="I367" s="118" t="s">
        <v>304</v>
      </c>
      <c r="J367" s="106">
        <f t="shared" si="29"/>
        <v>0</v>
      </c>
    </row>
    <row r="368" spans="1:10" s="112" customFormat="1" x14ac:dyDescent="0.3">
      <c r="A368" s="105" t="str">
        <f t="shared" si="28"/>
        <v>f64t4</v>
      </c>
      <c r="B368" s="116">
        <v>198</v>
      </c>
      <c r="C368" s="116">
        <v>64</v>
      </c>
      <c r="D368" s="116">
        <v>3</v>
      </c>
      <c r="E368" s="116">
        <v>4</v>
      </c>
      <c r="F368" s="116">
        <v>3.3130000000000002</v>
      </c>
      <c r="G368" s="116">
        <v>0.82473395730263299</v>
      </c>
      <c r="H368" s="117">
        <v>41675.681516203702</v>
      </c>
      <c r="I368" s="118" t="s">
        <v>304</v>
      </c>
      <c r="J368" s="106">
        <f t="shared" si="29"/>
        <v>0</v>
      </c>
    </row>
    <row r="369" spans="1:10" s="112" customFormat="1" x14ac:dyDescent="0.3">
      <c r="A369" s="105" t="str">
        <f t="shared" si="28"/>
        <v>f64t1</v>
      </c>
      <c r="B369" s="116">
        <v>198</v>
      </c>
      <c r="C369" s="116">
        <v>64</v>
      </c>
      <c r="D369" s="116">
        <v>4</v>
      </c>
      <c r="E369" s="116">
        <v>1</v>
      </c>
      <c r="F369" s="116">
        <v>3.3130000000000002</v>
      </c>
      <c r="G369" s="116">
        <v>0.61027715230495005</v>
      </c>
      <c r="H369" s="117">
        <v>41675.681516203702</v>
      </c>
      <c r="I369" s="118" t="s">
        <v>304</v>
      </c>
      <c r="J369" s="106">
        <f t="shared" si="29"/>
        <v>0</v>
      </c>
    </row>
    <row r="370" spans="1:10" s="112" customFormat="1" x14ac:dyDescent="0.3">
      <c r="A370" s="105" t="str">
        <f t="shared" si="28"/>
        <v>f64t3</v>
      </c>
      <c r="B370" s="116">
        <v>198</v>
      </c>
      <c r="C370" s="116">
        <v>64</v>
      </c>
      <c r="D370" s="116">
        <v>4</v>
      </c>
      <c r="E370" s="116">
        <v>3</v>
      </c>
      <c r="F370" s="116">
        <v>1.696</v>
      </c>
      <c r="G370" s="116">
        <v>0.558592564633273</v>
      </c>
      <c r="H370" s="117">
        <v>41675.681516203702</v>
      </c>
      <c r="I370" s="118" t="s">
        <v>304</v>
      </c>
      <c r="J370" s="106">
        <f t="shared" si="29"/>
        <v>0</v>
      </c>
    </row>
    <row r="371" spans="1:10" s="112" customFormat="1" x14ac:dyDescent="0.3">
      <c r="A371" s="105" t="str">
        <f t="shared" si="28"/>
        <v>f64t4</v>
      </c>
      <c r="B371" s="116">
        <v>198</v>
      </c>
      <c r="C371" s="116">
        <v>64</v>
      </c>
      <c r="D371" s="116">
        <v>4</v>
      </c>
      <c r="E371" s="116">
        <v>4</v>
      </c>
      <c r="F371" s="116">
        <v>3.3130000000000002</v>
      </c>
      <c r="G371" s="116">
        <v>0.82473395730263299</v>
      </c>
      <c r="H371" s="117">
        <v>41675.681516203702</v>
      </c>
      <c r="I371" s="118" t="s">
        <v>304</v>
      </c>
      <c r="J371" s="106">
        <f t="shared" si="29"/>
        <v>0</v>
      </c>
    </row>
    <row r="372" spans="1:10" s="112" customFormat="1" x14ac:dyDescent="0.3">
      <c r="A372" s="105" t="str">
        <f t="shared" si="28"/>
        <v>f64t1</v>
      </c>
      <c r="B372" s="116">
        <v>198</v>
      </c>
      <c r="C372" s="116">
        <v>64</v>
      </c>
      <c r="D372" s="116">
        <v>5</v>
      </c>
      <c r="E372" s="116">
        <v>1</v>
      </c>
      <c r="F372" s="116">
        <v>3.3130000000000002</v>
      </c>
      <c r="G372" s="116">
        <v>0.61027715230495005</v>
      </c>
      <c r="H372" s="117">
        <v>41675.681516203702</v>
      </c>
      <c r="I372" s="118" t="s">
        <v>304</v>
      </c>
      <c r="J372" s="106">
        <f t="shared" si="29"/>
        <v>0</v>
      </c>
    </row>
    <row r="373" spans="1:10" s="112" customFormat="1" x14ac:dyDescent="0.3">
      <c r="A373" s="105" t="str">
        <f t="shared" si="28"/>
        <v>f64t3</v>
      </c>
      <c r="B373" s="116">
        <v>198</v>
      </c>
      <c r="C373" s="116">
        <v>64</v>
      </c>
      <c r="D373" s="116">
        <v>5</v>
      </c>
      <c r="E373" s="116">
        <v>3</v>
      </c>
      <c r="F373" s="116">
        <v>1.696</v>
      </c>
      <c r="G373" s="116">
        <v>0.558592564633273</v>
      </c>
      <c r="H373" s="117">
        <v>41675.681516203702</v>
      </c>
      <c r="I373" s="118" t="s">
        <v>304</v>
      </c>
      <c r="J373" s="106">
        <f t="shared" si="29"/>
        <v>0</v>
      </c>
    </row>
    <row r="374" spans="1:10" s="112" customFormat="1" x14ac:dyDescent="0.3">
      <c r="A374" s="105" t="str">
        <f t="shared" si="28"/>
        <v>f64t4</v>
      </c>
      <c r="B374" s="116">
        <v>198</v>
      </c>
      <c r="C374" s="116">
        <v>64</v>
      </c>
      <c r="D374" s="116">
        <v>5</v>
      </c>
      <c r="E374" s="116">
        <v>4</v>
      </c>
      <c r="F374" s="116">
        <v>3.3130000000000002</v>
      </c>
      <c r="G374" s="116">
        <v>0.82473395730263299</v>
      </c>
      <c r="H374" s="117">
        <v>41675.681516203702</v>
      </c>
      <c r="I374" s="118" t="s">
        <v>304</v>
      </c>
      <c r="J374" s="106">
        <f t="shared" si="29"/>
        <v>0</v>
      </c>
    </row>
    <row r="375" spans="1:10" s="112" customFormat="1" x14ac:dyDescent="0.3">
      <c r="A375" s="105" t="str">
        <f t="shared" si="28"/>
        <v>f67t1</v>
      </c>
      <c r="B375" s="116">
        <v>198</v>
      </c>
      <c r="C375" s="116">
        <v>67</v>
      </c>
      <c r="D375" s="116">
        <v>2</v>
      </c>
      <c r="E375" s="116">
        <v>1</v>
      </c>
      <c r="F375" s="116">
        <v>8.3930000000000007</v>
      </c>
      <c r="G375" s="116">
        <v>1.11146915256757</v>
      </c>
      <c r="H375" s="117">
        <v>41675.681516203702</v>
      </c>
      <c r="I375" s="118" t="s">
        <v>304</v>
      </c>
      <c r="J375" s="106">
        <f t="shared" si="29"/>
        <v>0</v>
      </c>
    </row>
    <row r="376" spans="1:10" s="112" customFormat="1" x14ac:dyDescent="0.3">
      <c r="A376" s="105" t="str">
        <f t="shared" si="28"/>
        <v>f67t3</v>
      </c>
      <c r="B376" s="116">
        <v>198</v>
      </c>
      <c r="C376" s="116">
        <v>67</v>
      </c>
      <c r="D376" s="116">
        <v>2</v>
      </c>
      <c r="E376" s="116">
        <v>3</v>
      </c>
      <c r="F376" s="116">
        <v>1.474</v>
      </c>
      <c r="G376" s="116">
        <v>0.76467594246326398</v>
      </c>
      <c r="H376" s="117">
        <v>41675.681516203702</v>
      </c>
      <c r="I376" s="118" t="s">
        <v>304</v>
      </c>
      <c r="J376" s="106">
        <f t="shared" si="29"/>
        <v>0</v>
      </c>
    </row>
    <row r="377" spans="1:10" s="112" customFormat="1" x14ac:dyDescent="0.3">
      <c r="A377" s="105" t="str">
        <f t="shared" si="28"/>
        <v>f67t4</v>
      </c>
      <c r="B377" s="116">
        <v>198</v>
      </c>
      <c r="C377" s="116">
        <v>67</v>
      </c>
      <c r="D377" s="116">
        <v>2</v>
      </c>
      <c r="E377" s="116">
        <v>4</v>
      </c>
      <c r="F377" s="116">
        <v>8.3930000000000007</v>
      </c>
      <c r="G377" s="116">
        <v>1.66261407649937</v>
      </c>
      <c r="H377" s="117">
        <v>41675.681516203702</v>
      </c>
      <c r="I377" s="118" t="s">
        <v>304</v>
      </c>
      <c r="J377" s="106">
        <f t="shared" si="29"/>
        <v>0</v>
      </c>
    </row>
    <row r="378" spans="1:10" s="112" customFormat="1" x14ac:dyDescent="0.3">
      <c r="A378" s="105" t="str">
        <f t="shared" si="28"/>
        <v>f67t1</v>
      </c>
      <c r="B378" s="116">
        <v>198</v>
      </c>
      <c r="C378" s="116">
        <v>67</v>
      </c>
      <c r="D378" s="116">
        <v>3</v>
      </c>
      <c r="E378" s="116">
        <v>1</v>
      </c>
      <c r="F378" s="116">
        <v>8.3930000000000007</v>
      </c>
      <c r="G378" s="116">
        <v>1.11146915256757</v>
      </c>
      <c r="H378" s="117">
        <v>41675.681516203702</v>
      </c>
      <c r="I378" s="118" t="s">
        <v>304</v>
      </c>
      <c r="J378" s="106">
        <f t="shared" si="29"/>
        <v>0</v>
      </c>
    </row>
    <row r="379" spans="1:10" s="112" customFormat="1" x14ac:dyDescent="0.3">
      <c r="A379" s="105" t="str">
        <f t="shared" si="28"/>
        <v>f67t3</v>
      </c>
      <c r="B379" s="116">
        <v>198</v>
      </c>
      <c r="C379" s="116">
        <v>67</v>
      </c>
      <c r="D379" s="116">
        <v>3</v>
      </c>
      <c r="E379" s="116">
        <v>3</v>
      </c>
      <c r="F379" s="116">
        <v>1.474</v>
      </c>
      <c r="G379" s="116">
        <v>0.76467594246326398</v>
      </c>
      <c r="H379" s="117">
        <v>41675.681516203702</v>
      </c>
      <c r="I379" s="118" t="s">
        <v>304</v>
      </c>
      <c r="J379" s="106">
        <f t="shared" si="29"/>
        <v>0</v>
      </c>
    </row>
    <row r="380" spans="1:10" s="112" customFormat="1" x14ac:dyDescent="0.3">
      <c r="A380" s="105" t="str">
        <f t="shared" si="28"/>
        <v>f67t4</v>
      </c>
      <c r="B380" s="116">
        <v>198</v>
      </c>
      <c r="C380" s="116">
        <v>67</v>
      </c>
      <c r="D380" s="116">
        <v>3</v>
      </c>
      <c r="E380" s="116">
        <v>4</v>
      </c>
      <c r="F380" s="116">
        <v>8.3930000000000007</v>
      </c>
      <c r="G380" s="116">
        <v>1.66261407649937</v>
      </c>
      <c r="H380" s="117">
        <v>41675.681516203702</v>
      </c>
      <c r="I380" s="118" t="s">
        <v>304</v>
      </c>
      <c r="J380" s="106">
        <f t="shared" si="29"/>
        <v>0</v>
      </c>
    </row>
    <row r="381" spans="1:10" s="112" customFormat="1" x14ac:dyDescent="0.3">
      <c r="A381" s="105" t="str">
        <f t="shared" si="28"/>
        <v>f67t1</v>
      </c>
      <c r="B381" s="116">
        <v>198</v>
      </c>
      <c r="C381" s="116">
        <v>67</v>
      </c>
      <c r="D381" s="116">
        <v>4</v>
      </c>
      <c r="E381" s="116">
        <v>1</v>
      </c>
      <c r="F381" s="116">
        <v>8.3930000000000007</v>
      </c>
      <c r="G381" s="116">
        <v>1.11146915256757</v>
      </c>
      <c r="H381" s="117">
        <v>41675.681516203702</v>
      </c>
      <c r="I381" s="118" t="s">
        <v>304</v>
      </c>
      <c r="J381" s="106">
        <f t="shared" si="29"/>
        <v>0</v>
      </c>
    </row>
    <row r="382" spans="1:10" s="112" customFormat="1" x14ac:dyDescent="0.3">
      <c r="A382" s="105" t="str">
        <f t="shared" si="28"/>
        <v>f67t3</v>
      </c>
      <c r="B382" s="116">
        <v>198</v>
      </c>
      <c r="C382" s="116">
        <v>67</v>
      </c>
      <c r="D382" s="116">
        <v>4</v>
      </c>
      <c r="E382" s="116">
        <v>3</v>
      </c>
      <c r="F382" s="116">
        <v>1.474</v>
      </c>
      <c r="G382" s="116">
        <v>0.76467594246326398</v>
      </c>
      <c r="H382" s="117">
        <v>41675.681516203702</v>
      </c>
      <c r="I382" s="118" t="s">
        <v>304</v>
      </c>
      <c r="J382" s="106">
        <f t="shared" si="29"/>
        <v>0</v>
      </c>
    </row>
    <row r="383" spans="1:10" s="112" customFormat="1" x14ac:dyDescent="0.3">
      <c r="A383" s="105" t="str">
        <f t="shared" si="28"/>
        <v>f67t4</v>
      </c>
      <c r="B383" s="116">
        <v>198</v>
      </c>
      <c r="C383" s="116">
        <v>67</v>
      </c>
      <c r="D383" s="116">
        <v>4</v>
      </c>
      <c r="E383" s="116">
        <v>4</v>
      </c>
      <c r="F383" s="116">
        <v>8.3930000000000007</v>
      </c>
      <c r="G383" s="116">
        <v>1.66261407649937</v>
      </c>
      <c r="H383" s="117">
        <v>41675.681516203702</v>
      </c>
      <c r="I383" s="118" t="s">
        <v>304</v>
      </c>
      <c r="J383" s="106">
        <f t="shared" si="29"/>
        <v>0</v>
      </c>
    </row>
    <row r="384" spans="1:10" s="112" customFormat="1" x14ac:dyDescent="0.3">
      <c r="A384" s="105" t="str">
        <f t="shared" si="28"/>
        <v>f67t1</v>
      </c>
      <c r="B384" s="116">
        <v>198</v>
      </c>
      <c r="C384" s="116">
        <v>67</v>
      </c>
      <c r="D384" s="116">
        <v>5</v>
      </c>
      <c r="E384" s="116">
        <v>1</v>
      </c>
      <c r="F384" s="116">
        <v>8.3930000000000007</v>
      </c>
      <c r="G384" s="116">
        <v>1.11146915256757</v>
      </c>
      <c r="H384" s="117">
        <v>41675.681516203702</v>
      </c>
      <c r="I384" s="118" t="s">
        <v>304</v>
      </c>
      <c r="J384" s="106">
        <f t="shared" si="29"/>
        <v>0</v>
      </c>
    </row>
    <row r="385" spans="1:10" s="112" customFormat="1" x14ac:dyDescent="0.3">
      <c r="A385" s="105" t="str">
        <f t="shared" si="28"/>
        <v>f67t3</v>
      </c>
      <c r="B385" s="116">
        <v>198</v>
      </c>
      <c r="C385" s="116">
        <v>67</v>
      </c>
      <c r="D385" s="116">
        <v>5</v>
      </c>
      <c r="E385" s="116">
        <v>3</v>
      </c>
      <c r="F385" s="116">
        <v>1.474</v>
      </c>
      <c r="G385" s="116">
        <v>0.76467594246326398</v>
      </c>
      <c r="H385" s="117">
        <v>41675.681516203702</v>
      </c>
      <c r="I385" s="118" t="s">
        <v>304</v>
      </c>
      <c r="J385" s="106">
        <f t="shared" si="29"/>
        <v>0</v>
      </c>
    </row>
    <row r="386" spans="1:10" s="112" customFormat="1" x14ac:dyDescent="0.3">
      <c r="A386" s="105" t="str">
        <f t="shared" si="28"/>
        <v>f67t4</v>
      </c>
      <c r="B386" s="116">
        <v>198</v>
      </c>
      <c r="C386" s="116">
        <v>67</v>
      </c>
      <c r="D386" s="116">
        <v>5</v>
      </c>
      <c r="E386" s="116">
        <v>4</v>
      </c>
      <c r="F386" s="116">
        <v>8.3930000000000007</v>
      </c>
      <c r="G386" s="116">
        <v>1.66261407649937</v>
      </c>
      <c r="H386" s="117">
        <v>41675.681516203702</v>
      </c>
      <c r="I386" s="118" t="s">
        <v>304</v>
      </c>
      <c r="J386" s="106">
        <f t="shared" si="29"/>
        <v>0</v>
      </c>
    </row>
    <row r="387" spans="1:10" s="112" customFormat="1" x14ac:dyDescent="0.3">
      <c r="A387" s="105" t="str">
        <f t="shared" si="28"/>
        <v>ft</v>
      </c>
      <c r="B387" s="109"/>
      <c r="C387" s="109"/>
      <c r="D387" s="109"/>
      <c r="E387" s="109"/>
      <c r="F387" s="109"/>
      <c r="G387" s="109"/>
      <c r="H387" s="110"/>
      <c r="I387" s="111"/>
      <c r="J387" s="106" t="e">
        <f t="shared" si="29"/>
        <v>#N/A</v>
      </c>
    </row>
    <row r="388" spans="1:10" s="112" customFormat="1" x14ac:dyDescent="0.3">
      <c r="A388" s="105" t="str">
        <f t="shared" ref="A388:A394" si="30">"f"&amp;C388&amp;"t"&amp;E388</f>
        <v>ft</v>
      </c>
      <c r="B388" s="109"/>
      <c r="C388" s="109"/>
      <c r="D388" s="109"/>
      <c r="E388" s="109"/>
      <c r="F388" s="109"/>
      <c r="G388" s="109"/>
      <c r="H388" s="110"/>
      <c r="I388" s="111"/>
      <c r="J388" s="106" t="e">
        <f t="shared" si="29"/>
        <v>#N/A</v>
      </c>
    </row>
    <row r="389" spans="1:10" s="112" customFormat="1" x14ac:dyDescent="0.3">
      <c r="A389" s="105" t="str">
        <f t="shared" si="30"/>
        <v>ft</v>
      </c>
      <c r="B389" s="109"/>
      <c r="C389" s="109"/>
      <c r="D389" s="109"/>
      <c r="E389" s="109"/>
      <c r="F389" s="109"/>
      <c r="G389" s="109"/>
      <c r="H389" s="110"/>
      <c r="I389" s="111"/>
      <c r="J389" s="106" t="e">
        <f t="shared" si="29"/>
        <v>#N/A</v>
      </c>
    </row>
    <row r="390" spans="1:10" s="112" customFormat="1" x14ac:dyDescent="0.3">
      <c r="A390" s="105" t="str">
        <f t="shared" si="30"/>
        <v>ft</v>
      </c>
      <c r="B390" s="109"/>
      <c r="C390" s="109"/>
      <c r="D390" s="109"/>
      <c r="E390" s="109"/>
      <c r="F390" s="109"/>
      <c r="G390" s="109"/>
      <c r="H390" s="110"/>
      <c r="I390" s="111"/>
      <c r="J390" s="106" t="e">
        <f t="shared" si="29"/>
        <v>#N/A</v>
      </c>
    </row>
    <row r="391" spans="1:10" s="112" customFormat="1" x14ac:dyDescent="0.3">
      <c r="A391" s="105" t="str">
        <f t="shared" si="30"/>
        <v>ft</v>
      </c>
      <c r="B391" s="109"/>
      <c r="C391" s="109"/>
      <c r="D391" s="109"/>
      <c r="E391" s="109"/>
      <c r="F391" s="109"/>
      <c r="G391" s="109"/>
      <c r="H391" s="110"/>
      <c r="I391" s="111"/>
      <c r="J391" s="106" t="e">
        <f t="shared" si="29"/>
        <v>#N/A</v>
      </c>
    </row>
    <row r="392" spans="1:10" s="112" customFormat="1" x14ac:dyDescent="0.3">
      <c r="A392" s="105" t="str">
        <f t="shared" si="30"/>
        <v>ft</v>
      </c>
      <c r="B392" s="109"/>
      <c r="C392" s="109"/>
      <c r="D392" s="109"/>
      <c r="E392" s="109"/>
      <c r="F392" s="109"/>
      <c r="G392" s="109"/>
      <c r="H392" s="110"/>
      <c r="I392" s="111"/>
      <c r="J392" s="106" t="e">
        <f t="shared" si="29"/>
        <v>#N/A</v>
      </c>
    </row>
    <row r="393" spans="1:10" s="112" customFormat="1" x14ac:dyDescent="0.3">
      <c r="A393" s="105" t="str">
        <f t="shared" si="30"/>
        <v>ft</v>
      </c>
      <c r="B393" s="109"/>
      <c r="C393" s="109"/>
      <c r="D393" s="109"/>
      <c r="E393" s="109"/>
      <c r="F393" s="109"/>
      <c r="G393" s="109"/>
      <c r="H393" s="110"/>
      <c r="I393" s="111"/>
      <c r="J393" s="106" t="e">
        <f t="shared" si="29"/>
        <v>#N/A</v>
      </c>
    </row>
    <row r="394" spans="1:10" s="112" customFormat="1" x14ac:dyDescent="0.3">
      <c r="A394" s="105" t="str">
        <f t="shared" si="30"/>
        <v>ft</v>
      </c>
      <c r="B394" s="109"/>
      <c r="C394" s="109"/>
      <c r="D394" s="109"/>
      <c r="E394" s="109"/>
      <c r="F394" s="109"/>
      <c r="G394" s="109"/>
      <c r="H394" s="110"/>
      <c r="I394" s="111"/>
      <c r="J394" s="106" t="e">
        <f t="shared" si="29"/>
        <v>#N/A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M174"/>
  <sheetViews>
    <sheetView topLeftCell="A19" workbookViewId="0">
      <selection activeCell="J46" sqref="J46"/>
    </sheetView>
  </sheetViews>
  <sheetFormatPr defaultRowHeight="14.4" x14ac:dyDescent="0.3"/>
  <cols>
    <col min="1" max="1" width="4.33203125" customWidth="1"/>
    <col min="2" max="2" width="6.33203125" bestFit="1" customWidth="1"/>
    <col min="3" max="3" width="9.33203125" bestFit="1" customWidth="1"/>
    <col min="4" max="4" width="9.44140625" bestFit="1" customWidth="1"/>
    <col min="5" max="5" width="20" bestFit="1" customWidth="1"/>
    <col min="6" max="6" width="16.88671875" bestFit="1" customWidth="1"/>
    <col min="7" max="7" width="18.5546875" bestFit="1" customWidth="1"/>
    <col min="8" max="8" width="13.109375" bestFit="1" customWidth="1"/>
    <col min="9" max="9" width="15.44140625" bestFit="1" customWidth="1"/>
    <col min="10" max="10" width="16.6640625" bestFit="1" customWidth="1"/>
    <col min="12" max="12" width="9.109375" style="120"/>
    <col min="13" max="13" width="12" bestFit="1" customWidth="1"/>
  </cols>
  <sheetData>
    <row r="2" spans="2:13" x14ac:dyDescent="0.3">
      <c r="B2" s="122" t="s">
        <v>290</v>
      </c>
      <c r="C2" s="122" t="s">
        <v>7</v>
      </c>
      <c r="D2" s="122" t="s">
        <v>6</v>
      </c>
      <c r="E2" s="122" t="s">
        <v>291</v>
      </c>
      <c r="F2" s="122" t="s">
        <v>292</v>
      </c>
      <c r="G2" s="122" t="s">
        <v>293</v>
      </c>
      <c r="H2" s="122" t="s">
        <v>294</v>
      </c>
      <c r="I2" s="122" t="s">
        <v>303</v>
      </c>
      <c r="J2" s="122" t="s">
        <v>305</v>
      </c>
      <c r="L2" s="121" t="s">
        <v>306</v>
      </c>
      <c r="M2" s="119" t="s">
        <v>301</v>
      </c>
    </row>
    <row r="3" spans="2:13" x14ac:dyDescent="0.3">
      <c r="B3" s="123">
        <v>198</v>
      </c>
      <c r="C3" s="123">
        <v>1</v>
      </c>
      <c r="D3" s="123">
        <v>1</v>
      </c>
      <c r="E3" s="123">
        <v>0</v>
      </c>
      <c r="F3" s="123">
        <v>0</v>
      </c>
      <c r="G3" s="123">
        <v>29666.107251999991</v>
      </c>
      <c r="H3" s="123">
        <v>2375.3652000000002</v>
      </c>
      <c r="I3" s="123">
        <v>0.255</v>
      </c>
      <c r="J3" s="123">
        <v>0.31399999999999473</v>
      </c>
      <c r="L3" s="120">
        <f>((H3+F3)/I3)/(E3+G3)</f>
        <v>0.31399999898641329</v>
      </c>
      <c r="M3" s="120">
        <f>J3-L3</f>
        <v>1.0135814410006105E-9</v>
      </c>
    </row>
    <row r="4" spans="2:13" x14ac:dyDescent="0.3">
      <c r="B4" s="123">
        <v>198</v>
      </c>
      <c r="C4" s="123">
        <v>1</v>
      </c>
      <c r="D4" s="123">
        <v>2</v>
      </c>
      <c r="E4" s="123">
        <v>0</v>
      </c>
      <c r="F4" s="123">
        <v>0</v>
      </c>
      <c r="G4" s="123">
        <v>187897.99589600001</v>
      </c>
      <c r="H4" s="123">
        <v>15044.992543999993</v>
      </c>
      <c r="I4" s="123">
        <v>0.255</v>
      </c>
      <c r="J4" s="123">
        <v>0.31399999999999517</v>
      </c>
      <c r="L4" s="120">
        <f t="shared" ref="L4:L67" si="0">((H4+F4)/I4)/(E4+G4)</f>
        <v>0.31400000026312302</v>
      </c>
      <c r="M4" s="120">
        <f t="shared" ref="M4:M67" si="1">J4-L4</f>
        <v>-2.6312785283977291E-10</v>
      </c>
    </row>
    <row r="5" spans="2:13" x14ac:dyDescent="0.3">
      <c r="B5" s="123">
        <v>198</v>
      </c>
      <c r="C5" s="123">
        <v>1</v>
      </c>
      <c r="D5" s="123">
        <v>3</v>
      </c>
      <c r="E5" s="123">
        <v>0</v>
      </c>
      <c r="F5" s="123">
        <v>0</v>
      </c>
      <c r="G5" s="123">
        <v>256969.03922399998</v>
      </c>
      <c r="H5" s="123">
        <v>20575.510979999974</v>
      </c>
      <c r="I5" s="123">
        <v>0.255</v>
      </c>
      <c r="J5" s="123">
        <v>0.31399999999999489</v>
      </c>
      <c r="L5" s="120">
        <f t="shared" si="0"/>
        <v>0.31400000014244933</v>
      </c>
      <c r="M5" s="120">
        <f t="shared" si="1"/>
        <v>-1.42454437135342E-10</v>
      </c>
    </row>
    <row r="6" spans="2:13" x14ac:dyDescent="0.3">
      <c r="B6" s="123">
        <v>198</v>
      </c>
      <c r="C6" s="123">
        <v>1</v>
      </c>
      <c r="D6" s="123">
        <v>4</v>
      </c>
      <c r="E6" s="123">
        <v>0</v>
      </c>
      <c r="F6" s="123">
        <v>0</v>
      </c>
      <c r="G6" s="123">
        <v>29694.514567999995</v>
      </c>
      <c r="H6" s="123">
        <v>2377.6397719999991</v>
      </c>
      <c r="I6" s="123">
        <v>0.255</v>
      </c>
      <c r="J6" s="123">
        <v>0.31399999999999478</v>
      </c>
      <c r="L6" s="120">
        <f t="shared" si="0"/>
        <v>0.31399999875070861</v>
      </c>
      <c r="M6" s="120">
        <f t="shared" si="1"/>
        <v>1.2492861745094785E-9</v>
      </c>
    </row>
    <row r="7" spans="2:13" x14ac:dyDescent="0.3">
      <c r="B7" s="123">
        <v>198</v>
      </c>
      <c r="C7" s="123">
        <v>3</v>
      </c>
      <c r="D7" s="123">
        <v>1</v>
      </c>
      <c r="E7" s="123">
        <v>0</v>
      </c>
      <c r="F7" s="123">
        <v>0</v>
      </c>
      <c r="G7" s="123">
        <v>462.15894000000003</v>
      </c>
      <c r="H7" s="123">
        <v>32.856715999999984</v>
      </c>
      <c r="I7" s="123">
        <v>0.123</v>
      </c>
      <c r="J7" s="123">
        <v>0.57800000000000151</v>
      </c>
      <c r="L7" s="120">
        <f t="shared" si="0"/>
        <v>0.57799979452463579</v>
      </c>
      <c r="M7" s="120">
        <f t="shared" si="1"/>
        <v>2.0547536572212977E-7</v>
      </c>
    </row>
    <row r="8" spans="2:13" x14ac:dyDescent="0.3">
      <c r="B8" s="123">
        <v>198</v>
      </c>
      <c r="C8" s="123">
        <v>3</v>
      </c>
      <c r="D8" s="123">
        <v>2</v>
      </c>
      <c r="E8" s="123">
        <v>0</v>
      </c>
      <c r="F8" s="123">
        <v>0</v>
      </c>
      <c r="G8" s="123">
        <v>22105.476243999983</v>
      </c>
      <c r="H8" s="123">
        <v>1571.5667240000009</v>
      </c>
      <c r="I8" s="123">
        <v>0.123</v>
      </c>
      <c r="J8" s="123">
        <v>0.57800000000000051</v>
      </c>
      <c r="L8" s="120">
        <f t="shared" si="0"/>
        <v>0.5779999984954125</v>
      </c>
      <c r="M8" s="120">
        <f t="shared" si="1"/>
        <v>1.5045880097375175E-9</v>
      </c>
    </row>
    <row r="9" spans="2:13" x14ac:dyDescent="0.3">
      <c r="B9" s="123">
        <v>198</v>
      </c>
      <c r="C9" s="123">
        <v>3</v>
      </c>
      <c r="D9" s="123">
        <v>3</v>
      </c>
      <c r="E9" s="123">
        <v>0</v>
      </c>
      <c r="F9" s="123">
        <v>0</v>
      </c>
      <c r="G9" s="123">
        <v>28342.890572000008</v>
      </c>
      <c r="H9" s="123">
        <v>2015.0094879999988</v>
      </c>
      <c r="I9" s="123">
        <v>0.123</v>
      </c>
      <c r="J9" s="123">
        <v>0.57800000000000096</v>
      </c>
      <c r="L9" s="120">
        <f t="shared" si="0"/>
        <v>0.57800000736458335</v>
      </c>
      <c r="M9" s="120">
        <f t="shared" si="1"/>
        <v>-7.3645823883694561E-9</v>
      </c>
    </row>
    <row r="10" spans="2:13" x14ac:dyDescent="0.3">
      <c r="B10" s="123">
        <v>198</v>
      </c>
      <c r="C10" s="123">
        <v>3</v>
      </c>
      <c r="D10" s="123">
        <v>4</v>
      </c>
      <c r="E10" s="123">
        <v>0</v>
      </c>
      <c r="F10" s="123">
        <v>0</v>
      </c>
      <c r="G10" s="123">
        <v>463.43156000000005</v>
      </c>
      <c r="H10" s="123">
        <v>32.947195999999998</v>
      </c>
      <c r="I10" s="123">
        <v>0.123</v>
      </c>
      <c r="J10" s="123">
        <v>0.5780000000000024</v>
      </c>
      <c r="L10" s="120">
        <f t="shared" si="0"/>
        <v>0.57799987146715059</v>
      </c>
      <c r="M10" s="120">
        <f t="shared" si="1"/>
        <v>1.285328518063622E-7</v>
      </c>
    </row>
    <row r="11" spans="2:13" x14ac:dyDescent="0.3">
      <c r="B11" s="123">
        <v>198</v>
      </c>
      <c r="C11" s="123">
        <v>8</v>
      </c>
      <c r="D11" s="123">
        <v>2</v>
      </c>
      <c r="E11" s="123">
        <v>0</v>
      </c>
      <c r="F11" s="123">
        <v>0</v>
      </c>
      <c r="G11" s="123">
        <v>54101.171252000007</v>
      </c>
      <c r="H11" s="123">
        <v>6.654443999999998</v>
      </c>
      <c r="I11" s="123">
        <v>0.123</v>
      </c>
      <c r="J11" s="123">
        <v>1.0000000000000007E-3</v>
      </c>
      <c r="L11" s="120">
        <f t="shared" si="0"/>
        <v>9.9999999038296781E-4</v>
      </c>
      <c r="M11" s="120">
        <f t="shared" si="1"/>
        <v>9.6170328645062142E-12</v>
      </c>
    </row>
    <row r="12" spans="2:13" x14ac:dyDescent="0.3">
      <c r="B12" s="123">
        <v>198</v>
      </c>
      <c r="C12" s="123">
        <v>8</v>
      </c>
      <c r="D12" s="123">
        <v>3</v>
      </c>
      <c r="E12" s="123">
        <v>0</v>
      </c>
      <c r="F12" s="123">
        <v>0</v>
      </c>
      <c r="G12" s="123">
        <v>165120.35925599985</v>
      </c>
      <c r="H12" s="123">
        <v>20.309812000000001</v>
      </c>
      <c r="I12" s="123">
        <v>0.123</v>
      </c>
      <c r="J12" s="123">
        <v>1.0000000000000007E-3</v>
      </c>
      <c r="L12" s="120">
        <f t="shared" si="0"/>
        <v>1.0000003846177908E-3</v>
      </c>
      <c r="M12" s="120">
        <f t="shared" si="1"/>
        <v>-3.8461779009076047E-10</v>
      </c>
    </row>
    <row r="13" spans="2:13" x14ac:dyDescent="0.3">
      <c r="B13" s="123">
        <v>198</v>
      </c>
      <c r="C13" s="123">
        <v>9</v>
      </c>
      <c r="D13" s="123">
        <v>1</v>
      </c>
      <c r="E13" s="123">
        <v>0</v>
      </c>
      <c r="F13" s="123">
        <v>0</v>
      </c>
      <c r="G13" s="123">
        <v>542.99698000000001</v>
      </c>
      <c r="H13" s="123">
        <v>0</v>
      </c>
      <c r="I13" s="123">
        <v>0.255</v>
      </c>
      <c r="J13" s="123">
        <v>0.11100000000000068</v>
      </c>
      <c r="L13" s="120">
        <f t="shared" si="0"/>
        <v>0</v>
      </c>
      <c r="M13" s="120">
        <f t="shared" si="1"/>
        <v>0.11100000000000068</v>
      </c>
    </row>
    <row r="14" spans="2:13" x14ac:dyDescent="0.3">
      <c r="B14" s="123">
        <v>198</v>
      </c>
      <c r="C14" s="123">
        <v>9</v>
      </c>
      <c r="D14" s="123">
        <v>2</v>
      </c>
      <c r="E14" s="123">
        <v>0</v>
      </c>
      <c r="F14" s="123">
        <v>0</v>
      </c>
      <c r="G14" s="123">
        <v>88403.472567999954</v>
      </c>
      <c r="H14" s="123">
        <v>2502.2603000000008</v>
      </c>
      <c r="I14" s="123">
        <v>0.255</v>
      </c>
      <c r="J14" s="123">
        <v>0.11100000000000088</v>
      </c>
      <c r="L14" s="120">
        <f t="shared" si="0"/>
        <v>0.11100000039758717</v>
      </c>
      <c r="M14" s="120">
        <f t="shared" si="1"/>
        <v>-3.9758629721831085E-10</v>
      </c>
    </row>
    <row r="15" spans="2:13" x14ac:dyDescent="0.3">
      <c r="B15" s="123">
        <v>198</v>
      </c>
      <c r="C15" s="123">
        <v>9</v>
      </c>
      <c r="D15" s="123">
        <v>3</v>
      </c>
      <c r="E15" s="123">
        <v>0</v>
      </c>
      <c r="F15" s="123">
        <v>0</v>
      </c>
      <c r="G15" s="123">
        <v>183249.96439999994</v>
      </c>
      <c r="H15" s="123">
        <v>5186.8901840000017</v>
      </c>
      <c r="I15" s="123">
        <v>0.255</v>
      </c>
      <c r="J15" s="123">
        <v>0.11100000000000088</v>
      </c>
      <c r="L15" s="120">
        <f t="shared" si="0"/>
        <v>0.11099999875147509</v>
      </c>
      <c r="M15" s="120">
        <f t="shared" si="1"/>
        <v>1.2485257827599128E-9</v>
      </c>
    </row>
    <row r="16" spans="2:13" x14ac:dyDescent="0.3">
      <c r="B16" s="123">
        <v>198</v>
      </c>
      <c r="C16" s="123">
        <v>9</v>
      </c>
      <c r="D16" s="123">
        <v>4</v>
      </c>
      <c r="E16" s="123">
        <v>0</v>
      </c>
      <c r="F16" s="123">
        <v>0</v>
      </c>
      <c r="G16" s="123">
        <v>543.30265999999995</v>
      </c>
      <c r="H16" s="123">
        <v>0</v>
      </c>
      <c r="I16" s="123">
        <v>0.255</v>
      </c>
      <c r="J16" s="123">
        <v>0.11100000000000065</v>
      </c>
      <c r="L16" s="120">
        <f t="shared" si="0"/>
        <v>0</v>
      </c>
      <c r="M16" s="120">
        <f t="shared" si="1"/>
        <v>0.11100000000000065</v>
      </c>
    </row>
    <row r="17" spans="2:13" x14ac:dyDescent="0.3">
      <c r="B17" s="123">
        <v>198</v>
      </c>
      <c r="C17" s="123">
        <v>10</v>
      </c>
      <c r="D17" s="123">
        <v>1</v>
      </c>
      <c r="E17" s="123">
        <v>0</v>
      </c>
      <c r="F17" s="123">
        <v>0</v>
      </c>
      <c r="G17" s="123">
        <v>39115.606999999996</v>
      </c>
      <c r="H17" s="123">
        <v>1047.3203719999995</v>
      </c>
      <c r="I17" s="123">
        <v>0.255</v>
      </c>
      <c r="J17" s="123">
        <v>0.10500000000000038</v>
      </c>
      <c r="L17" s="120">
        <f t="shared" si="0"/>
        <v>0.10499999945611194</v>
      </c>
      <c r="M17" s="120">
        <f t="shared" si="1"/>
        <v>5.4388844816788406E-10</v>
      </c>
    </row>
    <row r="18" spans="2:13" x14ac:dyDescent="0.3">
      <c r="B18" s="123">
        <v>198</v>
      </c>
      <c r="C18" s="123">
        <v>10</v>
      </c>
      <c r="D18" s="123">
        <v>2</v>
      </c>
      <c r="E18" s="123">
        <v>0</v>
      </c>
      <c r="F18" s="123">
        <v>0</v>
      </c>
      <c r="G18" s="123">
        <v>78261.663144000006</v>
      </c>
      <c r="H18" s="123">
        <v>2095.4560280000028</v>
      </c>
      <c r="I18" s="123">
        <v>0.255</v>
      </c>
      <c r="J18" s="123">
        <v>0.10500000000000026</v>
      </c>
      <c r="L18" s="120">
        <f t="shared" si="0"/>
        <v>0.10499999986567948</v>
      </c>
      <c r="M18" s="120">
        <f t="shared" si="1"/>
        <v>1.3432077672348441E-10</v>
      </c>
    </row>
    <row r="19" spans="2:13" x14ac:dyDescent="0.3">
      <c r="B19" s="123">
        <v>198</v>
      </c>
      <c r="C19" s="123">
        <v>10</v>
      </c>
      <c r="D19" s="123">
        <v>3</v>
      </c>
      <c r="E19" s="123">
        <v>0</v>
      </c>
      <c r="F19" s="123">
        <v>0</v>
      </c>
      <c r="G19" s="123">
        <v>145452.41804800005</v>
      </c>
      <c r="H19" s="123">
        <v>3894.4885239999985</v>
      </c>
      <c r="I19" s="123">
        <v>0.255</v>
      </c>
      <c r="J19" s="123">
        <v>0.10500000000000047</v>
      </c>
      <c r="L19" s="120">
        <f t="shared" si="0"/>
        <v>0.1050000008294552</v>
      </c>
      <c r="M19" s="120">
        <f t="shared" si="1"/>
        <v>-8.2945472712481205E-10</v>
      </c>
    </row>
    <row r="20" spans="2:13" x14ac:dyDescent="0.3">
      <c r="B20" s="123">
        <v>198</v>
      </c>
      <c r="C20" s="123">
        <v>10</v>
      </c>
      <c r="D20" s="123">
        <v>4</v>
      </c>
      <c r="E20" s="123">
        <v>0</v>
      </c>
      <c r="F20" s="123">
        <v>0</v>
      </c>
      <c r="G20" s="123">
        <v>39126.932407999993</v>
      </c>
      <c r="H20" s="123">
        <v>1047.6235959999999</v>
      </c>
      <c r="I20" s="123">
        <v>0.255</v>
      </c>
      <c r="J20" s="123">
        <v>0.10500000000000032</v>
      </c>
      <c r="L20" s="120">
        <f t="shared" si="0"/>
        <v>0.10499999807321928</v>
      </c>
      <c r="M20" s="120">
        <f t="shared" si="1"/>
        <v>1.9267810402734398E-9</v>
      </c>
    </row>
    <row r="21" spans="2:13" x14ac:dyDescent="0.3">
      <c r="B21" s="123">
        <v>198</v>
      </c>
      <c r="C21" s="123">
        <v>11</v>
      </c>
      <c r="D21" s="123">
        <v>3</v>
      </c>
      <c r="E21" s="123">
        <v>0</v>
      </c>
      <c r="F21" s="123">
        <v>0</v>
      </c>
      <c r="G21" s="123">
        <v>261930.29375199968</v>
      </c>
      <c r="H21" s="123">
        <v>6443.4852160000037</v>
      </c>
      <c r="I21" s="123">
        <v>0.123</v>
      </c>
      <c r="J21" s="123">
        <v>0.19999999999999737</v>
      </c>
      <c r="L21" s="120">
        <f t="shared" si="0"/>
        <v>0.19999999968032245</v>
      </c>
      <c r="M21" s="120">
        <f t="shared" si="1"/>
        <v>3.1967492541973286E-10</v>
      </c>
    </row>
    <row r="22" spans="2:13" x14ac:dyDescent="0.3">
      <c r="B22" s="123">
        <v>198</v>
      </c>
      <c r="C22" s="123">
        <v>13</v>
      </c>
      <c r="D22" s="123">
        <v>1</v>
      </c>
      <c r="E22" s="123">
        <v>0</v>
      </c>
      <c r="F22" s="123">
        <v>0</v>
      </c>
      <c r="G22" s="123">
        <v>20.000004000000015</v>
      </c>
      <c r="H22" s="123">
        <v>0</v>
      </c>
      <c r="I22" s="123">
        <v>0.123</v>
      </c>
      <c r="J22" s="123">
        <v>0.61199999999999966</v>
      </c>
      <c r="L22" s="120">
        <f t="shared" si="0"/>
        <v>0</v>
      </c>
      <c r="M22" s="120">
        <f t="shared" si="1"/>
        <v>0.61199999999999966</v>
      </c>
    </row>
    <row r="23" spans="2:13" x14ac:dyDescent="0.3">
      <c r="B23" s="123">
        <v>198</v>
      </c>
      <c r="C23" s="123">
        <v>13</v>
      </c>
      <c r="D23" s="123">
        <v>2</v>
      </c>
      <c r="E23" s="123">
        <v>0</v>
      </c>
      <c r="F23" s="123">
        <v>0</v>
      </c>
      <c r="G23" s="123">
        <v>6308.0000120000041</v>
      </c>
      <c r="H23" s="123">
        <v>474.84100400000005</v>
      </c>
      <c r="I23" s="123">
        <v>0.123</v>
      </c>
      <c r="J23" s="123">
        <v>0.61200000000000176</v>
      </c>
      <c r="L23" s="120">
        <f t="shared" si="0"/>
        <v>0.61199999368035396</v>
      </c>
      <c r="M23" s="120">
        <f t="shared" si="1"/>
        <v>6.3196478050642213E-9</v>
      </c>
    </row>
    <row r="24" spans="2:13" x14ac:dyDescent="0.3">
      <c r="B24" s="123">
        <v>198</v>
      </c>
      <c r="C24" s="123">
        <v>13</v>
      </c>
      <c r="D24" s="123">
        <v>3</v>
      </c>
      <c r="E24" s="123">
        <v>0</v>
      </c>
      <c r="F24" s="123">
        <v>0</v>
      </c>
      <c r="G24" s="123">
        <v>66163.999991999997</v>
      </c>
      <c r="H24" s="123">
        <v>4980.5612680000031</v>
      </c>
      <c r="I24" s="123">
        <v>0.123</v>
      </c>
      <c r="J24" s="123">
        <v>0.61199999999999866</v>
      </c>
      <c r="L24" s="120">
        <f t="shared" si="0"/>
        <v>0.61200000056550929</v>
      </c>
      <c r="M24" s="120">
        <f t="shared" si="1"/>
        <v>-5.6551063831733472E-10</v>
      </c>
    </row>
    <row r="25" spans="2:13" x14ac:dyDescent="0.3">
      <c r="B25" s="123">
        <v>198</v>
      </c>
      <c r="C25" s="123">
        <v>13</v>
      </c>
      <c r="D25" s="123">
        <v>4</v>
      </c>
      <c r="E25" s="123">
        <v>0</v>
      </c>
      <c r="F25" s="123">
        <v>0</v>
      </c>
      <c r="G25" s="123">
        <v>7.9999960000000039</v>
      </c>
      <c r="H25" s="123">
        <v>0</v>
      </c>
      <c r="I25" s="123">
        <v>0.123</v>
      </c>
      <c r="J25" s="123">
        <v>0.61199999999999977</v>
      </c>
      <c r="L25" s="120">
        <f t="shared" si="0"/>
        <v>0</v>
      </c>
      <c r="M25" s="120">
        <f t="shared" si="1"/>
        <v>0.61199999999999977</v>
      </c>
    </row>
    <row r="26" spans="2:13" x14ac:dyDescent="0.3">
      <c r="B26" s="123">
        <v>198</v>
      </c>
      <c r="C26" s="123">
        <v>14</v>
      </c>
      <c r="D26" s="123">
        <v>1</v>
      </c>
      <c r="E26" s="123">
        <v>0</v>
      </c>
      <c r="F26" s="123">
        <v>0</v>
      </c>
      <c r="G26" s="123">
        <v>979.99999200000013</v>
      </c>
      <c r="H26" s="123">
        <v>0</v>
      </c>
      <c r="I26" s="123">
        <v>0.123</v>
      </c>
      <c r="J26" s="123">
        <v>1.077999999999987</v>
      </c>
      <c r="L26" s="120">
        <f t="shared" si="0"/>
        <v>0</v>
      </c>
      <c r="M26" s="120">
        <f t="shared" si="1"/>
        <v>1.077999999999987</v>
      </c>
    </row>
    <row r="27" spans="2:13" x14ac:dyDescent="0.3">
      <c r="B27" s="123">
        <v>198</v>
      </c>
      <c r="C27" s="123">
        <v>14</v>
      </c>
      <c r="D27" s="123">
        <v>2</v>
      </c>
      <c r="E27" s="123">
        <v>0</v>
      </c>
      <c r="F27" s="123">
        <v>0</v>
      </c>
      <c r="G27" s="123">
        <v>4507.9999879999996</v>
      </c>
      <c r="H27" s="123">
        <v>597.7337600000003</v>
      </c>
      <c r="I27" s="123">
        <v>0.123</v>
      </c>
      <c r="J27" s="123">
        <v>1.0779999999999876</v>
      </c>
      <c r="L27" s="120">
        <f t="shared" si="0"/>
        <v>1.0780000172973943</v>
      </c>
      <c r="M27" s="120">
        <f t="shared" si="1"/>
        <v>-1.7297406618155264E-8</v>
      </c>
    </row>
    <row r="28" spans="2:13" x14ac:dyDescent="0.3">
      <c r="B28" s="123">
        <v>198</v>
      </c>
      <c r="C28" s="123">
        <v>14</v>
      </c>
      <c r="D28" s="123">
        <v>3</v>
      </c>
      <c r="E28" s="123">
        <v>0</v>
      </c>
      <c r="F28" s="123">
        <v>0</v>
      </c>
      <c r="G28" s="123">
        <v>17648.000007999999</v>
      </c>
      <c r="H28" s="123">
        <v>2340.0189080000005</v>
      </c>
      <c r="I28" s="123">
        <v>0.123</v>
      </c>
      <c r="J28" s="123">
        <v>1.077999999999987</v>
      </c>
      <c r="L28" s="120">
        <f t="shared" si="0"/>
        <v>1.077999997668613</v>
      </c>
      <c r="M28" s="120">
        <f t="shared" si="1"/>
        <v>2.3313739827557356E-9</v>
      </c>
    </row>
    <row r="29" spans="2:13" x14ac:dyDescent="0.3">
      <c r="B29" s="123">
        <v>198</v>
      </c>
      <c r="C29" s="123">
        <v>14</v>
      </c>
      <c r="D29" s="123">
        <v>4</v>
      </c>
      <c r="E29" s="123">
        <v>0</v>
      </c>
      <c r="F29" s="123">
        <v>0</v>
      </c>
      <c r="G29" s="123">
        <v>268.00000800000004</v>
      </c>
      <c r="H29" s="123">
        <v>0</v>
      </c>
      <c r="I29" s="123">
        <v>0.123</v>
      </c>
      <c r="J29" s="123">
        <v>1.077999999999987</v>
      </c>
      <c r="L29" s="120">
        <f t="shared" si="0"/>
        <v>0</v>
      </c>
      <c r="M29" s="120">
        <f t="shared" si="1"/>
        <v>1.077999999999987</v>
      </c>
    </row>
    <row r="30" spans="2:13" x14ac:dyDescent="0.3">
      <c r="B30" s="123">
        <v>198</v>
      </c>
      <c r="C30" s="123">
        <v>15</v>
      </c>
      <c r="D30" s="123">
        <v>1</v>
      </c>
      <c r="E30" s="123">
        <v>0</v>
      </c>
      <c r="F30" s="123">
        <v>0</v>
      </c>
      <c r="G30" s="123">
        <v>7591.0440039999939</v>
      </c>
      <c r="H30" s="123">
        <v>0</v>
      </c>
      <c r="I30" s="123">
        <v>0.123</v>
      </c>
      <c r="J30" s="123">
        <v>0.44200000000000222</v>
      </c>
      <c r="L30" s="120">
        <f t="shared" si="0"/>
        <v>0</v>
      </c>
      <c r="M30" s="120">
        <f t="shared" si="1"/>
        <v>0.44200000000000222</v>
      </c>
    </row>
    <row r="31" spans="2:13" x14ac:dyDescent="0.3">
      <c r="B31" s="123">
        <v>198</v>
      </c>
      <c r="C31" s="123">
        <v>15</v>
      </c>
      <c r="D31" s="123">
        <v>2</v>
      </c>
      <c r="E31" s="123">
        <v>0</v>
      </c>
      <c r="F31" s="123">
        <v>0</v>
      </c>
      <c r="G31" s="123">
        <v>5658.4159999999974</v>
      </c>
      <c r="H31" s="123">
        <v>307.6254320000001</v>
      </c>
      <c r="I31" s="123">
        <v>0.123</v>
      </c>
      <c r="J31" s="123">
        <v>0.44200000000000167</v>
      </c>
      <c r="L31" s="120">
        <f t="shared" si="0"/>
        <v>0.44199998239042965</v>
      </c>
      <c r="M31" s="120">
        <f t="shared" si="1"/>
        <v>1.7609572022792008E-8</v>
      </c>
    </row>
    <row r="32" spans="2:13" x14ac:dyDescent="0.3">
      <c r="B32" s="123">
        <v>198</v>
      </c>
      <c r="C32" s="123">
        <v>15</v>
      </c>
      <c r="D32" s="123">
        <v>3</v>
      </c>
      <c r="E32" s="123">
        <v>0</v>
      </c>
      <c r="F32" s="123">
        <v>0</v>
      </c>
      <c r="G32" s="123">
        <v>44817.045600000034</v>
      </c>
      <c r="H32" s="123">
        <v>2436.5234960000003</v>
      </c>
      <c r="I32" s="123">
        <v>0.123</v>
      </c>
      <c r="J32" s="123">
        <v>0.44200000000000184</v>
      </c>
      <c r="L32" s="120">
        <f t="shared" si="0"/>
        <v>0.44199999907671567</v>
      </c>
      <c r="M32" s="120">
        <f t="shared" si="1"/>
        <v>9.2328616974057809E-10</v>
      </c>
    </row>
    <row r="33" spans="2:13" x14ac:dyDescent="0.3">
      <c r="B33" s="123">
        <v>198</v>
      </c>
      <c r="C33" s="123">
        <v>15</v>
      </c>
      <c r="D33" s="123">
        <v>4</v>
      </c>
      <c r="E33" s="123">
        <v>0</v>
      </c>
      <c r="F33" s="123">
        <v>0</v>
      </c>
      <c r="G33" s="123">
        <v>7591.0439999999981</v>
      </c>
      <c r="H33" s="123">
        <v>412.69469600000019</v>
      </c>
      <c r="I33" s="123">
        <v>0.123</v>
      </c>
      <c r="J33" s="123">
        <v>0.44200000000000222</v>
      </c>
      <c r="L33" s="120">
        <f t="shared" si="0"/>
        <v>0.44199999774659604</v>
      </c>
      <c r="M33" s="120">
        <f t="shared" si="1"/>
        <v>2.253406183871931E-9</v>
      </c>
    </row>
    <row r="34" spans="2:13" x14ac:dyDescent="0.3">
      <c r="B34" s="123">
        <v>198</v>
      </c>
      <c r="C34" s="123">
        <v>16</v>
      </c>
      <c r="D34" s="123">
        <v>2</v>
      </c>
      <c r="E34" s="123">
        <v>0</v>
      </c>
      <c r="F34" s="123">
        <v>0</v>
      </c>
      <c r="G34" s="123">
        <v>42788.803608000002</v>
      </c>
      <c r="H34" s="123">
        <v>10223.742807999997</v>
      </c>
      <c r="I34" s="123">
        <v>0.255</v>
      </c>
      <c r="J34" s="123">
        <v>0.93700000000000971</v>
      </c>
      <c r="L34" s="120">
        <f t="shared" si="0"/>
        <v>0.93700000164258812</v>
      </c>
      <c r="M34" s="120">
        <f t="shared" si="1"/>
        <v>-1.6425784066242954E-9</v>
      </c>
    </row>
    <row r="35" spans="2:13" x14ac:dyDescent="0.3">
      <c r="B35" s="123">
        <v>198</v>
      </c>
      <c r="C35" s="123">
        <v>16</v>
      </c>
      <c r="D35" s="123">
        <v>3</v>
      </c>
      <c r="E35" s="123">
        <v>0</v>
      </c>
      <c r="F35" s="123">
        <v>0</v>
      </c>
      <c r="G35" s="123">
        <v>33702.241184000028</v>
      </c>
      <c r="H35" s="123">
        <v>4142.3424599999971</v>
      </c>
      <c r="I35" s="123">
        <v>0.255</v>
      </c>
      <c r="J35" s="123">
        <v>0.48200000000001109</v>
      </c>
      <c r="L35" s="120">
        <f t="shared" si="0"/>
        <v>0.48199999954323786</v>
      </c>
      <c r="M35" s="120">
        <f t="shared" si="1"/>
        <v>4.5677323035064887E-10</v>
      </c>
    </row>
    <row r="36" spans="2:13" x14ac:dyDescent="0.3">
      <c r="B36" s="123">
        <v>198</v>
      </c>
      <c r="C36" s="123">
        <v>17</v>
      </c>
      <c r="D36" s="123">
        <v>1</v>
      </c>
      <c r="E36" s="123">
        <v>0</v>
      </c>
      <c r="F36" s="123">
        <v>0</v>
      </c>
      <c r="G36" s="123">
        <v>2353.9739960000024</v>
      </c>
      <c r="H36" s="123">
        <v>562.4467800000001</v>
      </c>
      <c r="I36" s="123">
        <v>0.255</v>
      </c>
      <c r="J36" s="123">
        <v>0.93700000000000949</v>
      </c>
      <c r="L36" s="120">
        <f t="shared" si="0"/>
        <v>0.9370000054405111</v>
      </c>
      <c r="M36" s="120">
        <f t="shared" si="1"/>
        <v>-5.440501604780934E-9</v>
      </c>
    </row>
    <row r="37" spans="2:13" x14ac:dyDescent="0.3">
      <c r="B37" s="123">
        <v>198</v>
      </c>
      <c r="C37" s="123">
        <v>17</v>
      </c>
      <c r="D37" s="123">
        <v>2</v>
      </c>
      <c r="E37" s="123">
        <v>0</v>
      </c>
      <c r="F37" s="123">
        <v>0</v>
      </c>
      <c r="G37" s="123">
        <v>101511.77961200009</v>
      </c>
      <c r="H37" s="123">
        <v>24254.717023999983</v>
      </c>
      <c r="I37" s="123">
        <v>0.255</v>
      </c>
      <c r="J37" s="123">
        <v>0.9370000000000096</v>
      </c>
      <c r="L37" s="120">
        <f t="shared" si="0"/>
        <v>0.93699999854770999</v>
      </c>
      <c r="M37" s="120">
        <f t="shared" si="1"/>
        <v>1.4522996139021416E-9</v>
      </c>
    </row>
    <row r="38" spans="2:13" x14ac:dyDescent="0.3">
      <c r="B38" s="123">
        <v>198</v>
      </c>
      <c r="C38" s="123">
        <v>17</v>
      </c>
      <c r="D38" s="123">
        <v>3</v>
      </c>
      <c r="E38" s="123">
        <v>0</v>
      </c>
      <c r="F38" s="123">
        <v>0</v>
      </c>
      <c r="G38" s="123">
        <v>100949.12240800005</v>
      </c>
      <c r="H38" s="123">
        <v>12407.65662</v>
      </c>
      <c r="I38" s="123">
        <v>0.255</v>
      </c>
      <c r="J38" s="123">
        <v>0.48200000000001053</v>
      </c>
      <c r="L38" s="120">
        <f t="shared" si="0"/>
        <v>0.48199999941079674</v>
      </c>
      <c r="M38" s="120">
        <f t="shared" si="1"/>
        <v>5.8921378887077935E-10</v>
      </c>
    </row>
    <row r="39" spans="2:13" x14ac:dyDescent="0.3">
      <c r="B39" s="123">
        <v>198</v>
      </c>
      <c r="C39" s="123">
        <v>17</v>
      </c>
      <c r="D39" s="123">
        <v>4</v>
      </c>
      <c r="E39" s="123">
        <v>0</v>
      </c>
      <c r="F39" s="123">
        <v>0</v>
      </c>
      <c r="G39" s="123">
        <v>28247.687999999991</v>
      </c>
      <c r="H39" s="123">
        <v>6749.3613160000095</v>
      </c>
      <c r="I39" s="123">
        <v>0.255</v>
      </c>
      <c r="J39" s="123">
        <v>0.93700000000000949</v>
      </c>
      <c r="L39" s="120">
        <f t="shared" si="0"/>
        <v>0.93699999773988263</v>
      </c>
      <c r="M39" s="120">
        <f t="shared" si="1"/>
        <v>2.2601268634403482E-9</v>
      </c>
    </row>
    <row r="40" spans="2:13" x14ac:dyDescent="0.3">
      <c r="B40" s="123">
        <v>198</v>
      </c>
      <c r="C40" s="123">
        <v>18</v>
      </c>
      <c r="D40" s="123">
        <v>2</v>
      </c>
      <c r="E40" s="123">
        <v>3760.8911439999997</v>
      </c>
      <c r="F40" s="123">
        <v>586.02207600000031</v>
      </c>
      <c r="G40" s="123">
        <v>0</v>
      </c>
      <c r="H40" s="123">
        <v>0</v>
      </c>
      <c r="I40" s="123">
        <v>0.14000000000000001</v>
      </c>
      <c r="J40" s="123">
        <v>1.1130000000000113</v>
      </c>
      <c r="L40" s="120">
        <f t="shared" si="0"/>
        <v>1.1130000340761188</v>
      </c>
      <c r="M40" s="120">
        <f t="shared" si="1"/>
        <v>-3.4076107491287644E-8</v>
      </c>
    </row>
    <row r="41" spans="2:13" x14ac:dyDescent="0.3">
      <c r="B41" s="123">
        <v>198</v>
      </c>
      <c r="C41" s="123">
        <v>18</v>
      </c>
      <c r="D41" s="123">
        <v>3</v>
      </c>
      <c r="E41" s="123">
        <v>0</v>
      </c>
      <c r="F41" s="123">
        <v>0</v>
      </c>
      <c r="G41" s="123">
        <v>27200.000007999999</v>
      </c>
      <c r="H41" s="123">
        <v>4238.3040080000046</v>
      </c>
      <c r="I41" s="123">
        <v>0.14000000000000001</v>
      </c>
      <c r="J41" s="123">
        <v>1.1130000000000113</v>
      </c>
      <c r="L41" s="120">
        <f t="shared" si="0"/>
        <v>1.1130000017734887</v>
      </c>
      <c r="M41" s="120">
        <f t="shared" si="1"/>
        <v>-1.7734773649635827E-9</v>
      </c>
    </row>
    <row r="42" spans="2:13" x14ac:dyDescent="0.3">
      <c r="B42" s="123">
        <v>198</v>
      </c>
      <c r="C42" s="123">
        <v>20</v>
      </c>
      <c r="D42" s="123">
        <v>2</v>
      </c>
      <c r="E42" s="123">
        <v>0</v>
      </c>
      <c r="F42" s="123">
        <v>0</v>
      </c>
      <c r="G42" s="123">
        <v>55288.21760399999</v>
      </c>
      <c r="H42" s="123">
        <v>16170.974328000002</v>
      </c>
      <c r="I42" s="123">
        <v>0.255</v>
      </c>
      <c r="J42" s="123">
        <v>1.147000000000012</v>
      </c>
      <c r="L42" s="120">
        <f t="shared" si="0"/>
        <v>1.147000000148531</v>
      </c>
      <c r="M42" s="120">
        <f t="shared" si="1"/>
        <v>-1.4851897489620569E-10</v>
      </c>
    </row>
    <row r="43" spans="2:13" x14ac:dyDescent="0.3">
      <c r="B43" s="123">
        <v>198</v>
      </c>
      <c r="C43" s="123">
        <v>20</v>
      </c>
      <c r="D43" s="123">
        <v>3</v>
      </c>
      <c r="E43" s="123">
        <v>0</v>
      </c>
      <c r="F43" s="123">
        <v>0</v>
      </c>
      <c r="G43" s="123">
        <v>21813.299203999988</v>
      </c>
      <c r="H43" s="123">
        <v>6674.8695479999897</v>
      </c>
      <c r="I43" s="123">
        <v>0.255</v>
      </c>
      <c r="J43" s="123">
        <v>1.2000000000000102</v>
      </c>
      <c r="L43" s="120">
        <f t="shared" si="0"/>
        <v>1.1999999984855423</v>
      </c>
      <c r="M43" s="120">
        <f t="shared" si="1"/>
        <v>1.5144678844336568E-9</v>
      </c>
    </row>
    <row r="44" spans="2:13" x14ac:dyDescent="0.3">
      <c r="B44" s="123">
        <v>198</v>
      </c>
      <c r="C44" s="123">
        <v>21</v>
      </c>
      <c r="D44" s="123">
        <v>2</v>
      </c>
      <c r="E44" s="123">
        <v>0</v>
      </c>
      <c r="F44" s="123">
        <v>0</v>
      </c>
      <c r="G44" s="123">
        <v>2262.6648040000005</v>
      </c>
      <c r="H44" s="123">
        <v>661.79552799999908</v>
      </c>
      <c r="I44" s="123">
        <v>0.255</v>
      </c>
      <c r="J44" s="123">
        <v>1.1470000000000078</v>
      </c>
      <c r="L44" s="120">
        <f t="shared" si="0"/>
        <v>1.1470000221880645</v>
      </c>
      <c r="M44" s="120">
        <f t="shared" si="1"/>
        <v>-2.2188056725269689E-8</v>
      </c>
    </row>
    <row r="45" spans="2:13" x14ac:dyDescent="0.3">
      <c r="B45" s="123">
        <v>198</v>
      </c>
      <c r="C45" s="123">
        <v>21</v>
      </c>
      <c r="D45" s="123">
        <v>3</v>
      </c>
      <c r="E45" s="123">
        <v>0</v>
      </c>
      <c r="F45" s="123">
        <v>0</v>
      </c>
      <c r="G45" s="123">
        <v>2602.4111960000009</v>
      </c>
      <c r="H45" s="123">
        <v>796.33782399999973</v>
      </c>
      <c r="I45" s="123">
        <v>0.255</v>
      </c>
      <c r="J45" s="123">
        <v>1.2000000000000068</v>
      </c>
      <c r="L45" s="120">
        <f t="shared" si="0"/>
        <v>1.1999999970223685</v>
      </c>
      <c r="M45" s="120">
        <f t="shared" si="1"/>
        <v>2.977638358103718E-9</v>
      </c>
    </row>
    <row r="46" spans="2:13" x14ac:dyDescent="0.3">
      <c r="B46" s="123">
        <v>198</v>
      </c>
      <c r="C46" s="123">
        <v>22</v>
      </c>
      <c r="D46" s="123">
        <v>2</v>
      </c>
      <c r="E46" s="123">
        <v>35201.130952000007</v>
      </c>
      <c r="F46" s="123">
        <v>3267.3689799999997</v>
      </c>
      <c r="G46" s="123">
        <v>5208.1727960000017</v>
      </c>
      <c r="H46" s="123">
        <v>483.4225759999992</v>
      </c>
      <c r="I46" s="123">
        <v>0.14000000000000001</v>
      </c>
      <c r="J46" s="123">
        <v>0.66300000000000636</v>
      </c>
      <c r="L46" s="120">
        <f t="shared" si="0"/>
        <v>0.66299999683782829</v>
      </c>
      <c r="M46" s="120">
        <f t="shared" si="1"/>
        <v>3.1621780749446771E-9</v>
      </c>
    </row>
    <row r="47" spans="2:13" x14ac:dyDescent="0.3">
      <c r="B47" s="123">
        <v>198</v>
      </c>
      <c r="C47" s="123">
        <v>22</v>
      </c>
      <c r="D47" s="123">
        <v>3</v>
      </c>
      <c r="E47" s="123">
        <v>0</v>
      </c>
      <c r="F47" s="123">
        <v>0</v>
      </c>
      <c r="G47" s="123">
        <v>74581.907187999997</v>
      </c>
      <c r="H47" s="123">
        <v>6922.6926240000048</v>
      </c>
      <c r="I47" s="123">
        <v>0.14000000000000001</v>
      </c>
      <c r="J47" s="123">
        <v>0.66300000000000647</v>
      </c>
      <c r="L47" s="120">
        <f t="shared" si="0"/>
        <v>0.66299999988601643</v>
      </c>
      <c r="M47" s="120">
        <f t="shared" si="1"/>
        <v>1.1399003962964116E-10</v>
      </c>
    </row>
    <row r="48" spans="2:13" x14ac:dyDescent="0.3">
      <c r="B48" s="123">
        <v>198</v>
      </c>
      <c r="C48" s="123">
        <v>26</v>
      </c>
      <c r="D48" s="123">
        <v>2</v>
      </c>
      <c r="E48" s="123">
        <v>0</v>
      </c>
      <c r="F48" s="123">
        <v>0</v>
      </c>
      <c r="G48" s="123">
        <v>27267.999992000005</v>
      </c>
      <c r="H48" s="123">
        <v>31116.19650799999</v>
      </c>
      <c r="I48" s="123">
        <v>0.255</v>
      </c>
      <c r="J48" s="123">
        <v>4.474999999999957</v>
      </c>
      <c r="L48" s="120">
        <f t="shared" si="0"/>
        <v>4.4750000024634184</v>
      </c>
      <c r="M48" s="120">
        <f t="shared" si="1"/>
        <v>-2.463461434842884E-9</v>
      </c>
    </row>
    <row r="49" spans="2:13" x14ac:dyDescent="0.3">
      <c r="B49" s="123">
        <v>198</v>
      </c>
      <c r="C49" s="123">
        <v>26</v>
      </c>
      <c r="D49" s="123">
        <v>3</v>
      </c>
      <c r="E49" s="123">
        <v>0</v>
      </c>
      <c r="F49" s="123">
        <v>0</v>
      </c>
      <c r="G49" s="123">
        <v>6859.999992</v>
      </c>
      <c r="H49" s="123">
        <v>8190.2226079999955</v>
      </c>
      <c r="I49" s="123">
        <v>0.255</v>
      </c>
      <c r="J49" s="123">
        <v>4.6819999999999888</v>
      </c>
      <c r="L49" s="120">
        <f t="shared" si="0"/>
        <v>4.6820000100333132</v>
      </c>
      <c r="M49" s="120">
        <f t="shared" si="1"/>
        <v>-1.0033324393532439E-8</v>
      </c>
    </row>
    <row r="50" spans="2:13" x14ac:dyDescent="0.3">
      <c r="B50" s="123">
        <v>198</v>
      </c>
      <c r="C50" s="123">
        <v>27</v>
      </c>
      <c r="D50" s="123">
        <v>2</v>
      </c>
      <c r="E50" s="123">
        <v>3259.403252000001</v>
      </c>
      <c r="F50" s="123">
        <v>1180.4906600000002</v>
      </c>
      <c r="G50" s="123">
        <v>627.73919999999987</v>
      </c>
      <c r="H50" s="123">
        <v>227.35459599999993</v>
      </c>
      <c r="I50" s="123">
        <v>0.14000000000000001</v>
      </c>
      <c r="J50" s="123">
        <v>2.5869999999999913</v>
      </c>
      <c r="L50" s="120">
        <f t="shared" si="0"/>
        <v>2.5870000050250641</v>
      </c>
      <c r="M50" s="120">
        <f t="shared" si="1"/>
        <v>-5.0250728023115698E-9</v>
      </c>
    </row>
    <row r="51" spans="2:13" x14ac:dyDescent="0.3">
      <c r="B51" s="123">
        <v>198</v>
      </c>
      <c r="C51" s="123">
        <v>27</v>
      </c>
      <c r="D51" s="123">
        <v>3</v>
      </c>
      <c r="E51" s="123">
        <v>0</v>
      </c>
      <c r="F51" s="123">
        <v>0</v>
      </c>
      <c r="G51" s="123">
        <v>34560.530403999983</v>
      </c>
      <c r="H51" s="123">
        <v>12517.132899999999</v>
      </c>
      <c r="I51" s="123">
        <v>0.14000000000000001</v>
      </c>
      <c r="J51" s="123">
        <v>2.5869999999999913</v>
      </c>
      <c r="L51" s="120">
        <f t="shared" si="0"/>
        <v>2.5869999996443682</v>
      </c>
      <c r="M51" s="120">
        <f t="shared" si="1"/>
        <v>3.5562308653425134E-10</v>
      </c>
    </row>
    <row r="52" spans="2:13" x14ac:dyDescent="0.3">
      <c r="B52" s="123">
        <v>198</v>
      </c>
      <c r="C52" s="123">
        <v>30</v>
      </c>
      <c r="D52" s="123">
        <v>1</v>
      </c>
      <c r="E52" s="123">
        <v>0</v>
      </c>
      <c r="F52" s="123">
        <v>0</v>
      </c>
      <c r="G52" s="123">
        <v>1010.8885720000001</v>
      </c>
      <c r="H52" s="123">
        <v>122.18609599999996</v>
      </c>
      <c r="I52" s="123">
        <v>0.255</v>
      </c>
      <c r="J52" s="123">
        <v>0.47399999999999565</v>
      </c>
      <c r="L52" s="120">
        <f t="shared" si="0"/>
        <v>0.47399997789698378</v>
      </c>
      <c r="M52" s="120">
        <f t="shared" si="1"/>
        <v>2.2103011865226563E-8</v>
      </c>
    </row>
    <row r="53" spans="2:13" x14ac:dyDescent="0.3">
      <c r="B53" s="123">
        <v>198</v>
      </c>
      <c r="C53" s="123">
        <v>30</v>
      </c>
      <c r="D53" s="123">
        <v>2</v>
      </c>
      <c r="E53" s="123">
        <v>0</v>
      </c>
      <c r="F53" s="123">
        <v>0</v>
      </c>
      <c r="G53" s="123">
        <v>29420.703120000009</v>
      </c>
      <c r="H53" s="123">
        <v>8147.4753040000087</v>
      </c>
      <c r="I53" s="123">
        <v>0.255</v>
      </c>
      <c r="J53" s="123">
        <v>1.0860000000000092</v>
      </c>
      <c r="L53" s="120">
        <f t="shared" si="0"/>
        <v>1.0859999985309006</v>
      </c>
      <c r="M53" s="120">
        <f t="shared" si="1"/>
        <v>1.4691086125395714E-9</v>
      </c>
    </row>
    <row r="54" spans="2:13" x14ac:dyDescent="0.3">
      <c r="B54" s="123">
        <v>198</v>
      </c>
      <c r="C54" s="123">
        <v>30</v>
      </c>
      <c r="D54" s="123">
        <v>3</v>
      </c>
      <c r="E54" s="123">
        <v>0</v>
      </c>
      <c r="F54" s="123">
        <v>0</v>
      </c>
      <c r="G54" s="123">
        <v>126558.22897200006</v>
      </c>
      <c r="H54" s="123">
        <v>35047.770356000045</v>
      </c>
      <c r="I54" s="123">
        <v>0.255</v>
      </c>
      <c r="J54" s="123">
        <v>1.0860000000000092</v>
      </c>
      <c r="L54" s="120">
        <f t="shared" si="0"/>
        <v>1.086000000210213</v>
      </c>
      <c r="M54" s="120">
        <f t="shared" si="1"/>
        <v>-2.1020385432279909E-10</v>
      </c>
    </row>
    <row r="55" spans="2:13" x14ac:dyDescent="0.3">
      <c r="B55" s="123">
        <v>198</v>
      </c>
      <c r="C55" s="123">
        <v>30</v>
      </c>
      <c r="D55" s="123">
        <v>4</v>
      </c>
      <c r="E55" s="123">
        <v>0</v>
      </c>
      <c r="F55" s="123">
        <v>0</v>
      </c>
      <c r="G55" s="123">
        <v>2355.0107440000002</v>
      </c>
      <c r="H55" s="123">
        <v>284.65012799999977</v>
      </c>
      <c r="I55" s="123">
        <v>0.255</v>
      </c>
      <c r="J55" s="123">
        <v>0.4739999999999957</v>
      </c>
      <c r="L55" s="120">
        <f t="shared" si="0"/>
        <v>0.47399996565141139</v>
      </c>
      <c r="M55" s="120">
        <f t="shared" si="1"/>
        <v>3.434858431017318E-8</v>
      </c>
    </row>
    <row r="56" spans="2:13" x14ac:dyDescent="0.3">
      <c r="B56" s="123">
        <v>198</v>
      </c>
      <c r="C56" s="123">
        <v>31</v>
      </c>
      <c r="D56" s="123">
        <v>2</v>
      </c>
      <c r="E56" s="123">
        <v>0</v>
      </c>
      <c r="F56" s="123">
        <v>0</v>
      </c>
      <c r="G56" s="123">
        <v>111.43912800000004</v>
      </c>
      <c r="H56" s="123">
        <v>9.0956639999999993</v>
      </c>
      <c r="I56" s="123">
        <v>0.14000000000000001</v>
      </c>
      <c r="J56" s="123">
        <v>0.58299999999999874</v>
      </c>
      <c r="L56" s="120">
        <f t="shared" si="0"/>
        <v>0.58300015207789979</v>
      </c>
      <c r="M56" s="120">
        <f t="shared" si="1"/>
        <v>-1.5207790104998509E-7</v>
      </c>
    </row>
    <row r="57" spans="2:13" x14ac:dyDescent="0.3">
      <c r="B57" s="123">
        <v>198</v>
      </c>
      <c r="C57" s="123">
        <v>31</v>
      </c>
      <c r="D57" s="123">
        <v>3</v>
      </c>
      <c r="E57" s="123">
        <v>0</v>
      </c>
      <c r="F57" s="123">
        <v>0</v>
      </c>
      <c r="G57" s="123">
        <v>6552.5790319999996</v>
      </c>
      <c r="H57" s="123">
        <v>632.06178</v>
      </c>
      <c r="I57" s="123">
        <v>0.14000000000000001</v>
      </c>
      <c r="J57" s="123">
        <v>0.68899999999999639</v>
      </c>
      <c r="L57" s="120">
        <f t="shared" si="0"/>
        <v>0.68900000716542298</v>
      </c>
      <c r="M57" s="120">
        <f t="shared" si="1"/>
        <v>-7.1654265854093069E-9</v>
      </c>
    </row>
    <row r="58" spans="2:13" x14ac:dyDescent="0.3">
      <c r="B58" s="123">
        <v>198</v>
      </c>
      <c r="C58" s="123">
        <v>32</v>
      </c>
      <c r="D58" s="123">
        <v>2</v>
      </c>
      <c r="E58" s="123">
        <v>0</v>
      </c>
      <c r="F58" s="123">
        <v>0</v>
      </c>
      <c r="G58" s="123">
        <v>3605.8547120000007</v>
      </c>
      <c r="H58" s="123">
        <v>998.56934399999977</v>
      </c>
      <c r="I58" s="123">
        <v>0.255</v>
      </c>
      <c r="J58" s="123">
        <v>1.0860000000000005</v>
      </c>
      <c r="L58" s="120">
        <f t="shared" si="0"/>
        <v>1.0859999984837725</v>
      </c>
      <c r="M58" s="120">
        <f t="shared" si="1"/>
        <v>1.5162280320168975E-9</v>
      </c>
    </row>
    <row r="59" spans="2:13" x14ac:dyDescent="0.3">
      <c r="B59" s="123">
        <v>198</v>
      </c>
      <c r="C59" s="123">
        <v>32</v>
      </c>
      <c r="D59" s="123">
        <v>3</v>
      </c>
      <c r="E59" s="123">
        <v>0</v>
      </c>
      <c r="F59" s="123">
        <v>0</v>
      </c>
      <c r="G59" s="123">
        <v>9126.9163879999996</v>
      </c>
      <c r="H59" s="123">
        <v>2527.516955999999</v>
      </c>
      <c r="I59" s="123">
        <v>0.255</v>
      </c>
      <c r="J59" s="123">
        <v>1.0860000000000003</v>
      </c>
      <c r="L59" s="120">
        <f t="shared" si="0"/>
        <v>1.0860000002883774</v>
      </c>
      <c r="M59" s="120">
        <f t="shared" si="1"/>
        <v>-2.8837709997731054E-10</v>
      </c>
    </row>
    <row r="60" spans="2:13" x14ac:dyDescent="0.3">
      <c r="B60" s="123">
        <v>198</v>
      </c>
      <c r="C60" s="123">
        <v>33</v>
      </c>
      <c r="D60" s="123">
        <v>2</v>
      </c>
      <c r="E60" s="123">
        <v>0</v>
      </c>
      <c r="F60" s="123">
        <v>0</v>
      </c>
      <c r="G60" s="123">
        <v>6105.9968280000012</v>
      </c>
      <c r="H60" s="123">
        <v>818.75312000000008</v>
      </c>
      <c r="I60" s="123">
        <v>0.23</v>
      </c>
      <c r="J60" s="123">
        <v>0.58299999999999885</v>
      </c>
      <c r="L60" s="120">
        <f t="shared" si="0"/>
        <v>0.58300000379774897</v>
      </c>
      <c r="M60" s="120">
        <f t="shared" si="1"/>
        <v>-3.7977501143870995E-9</v>
      </c>
    </row>
    <row r="61" spans="2:13" x14ac:dyDescent="0.3">
      <c r="B61" s="123">
        <v>198</v>
      </c>
      <c r="C61" s="123">
        <v>33</v>
      </c>
      <c r="D61" s="123">
        <v>3</v>
      </c>
      <c r="E61" s="123">
        <v>0</v>
      </c>
      <c r="F61" s="123">
        <v>0</v>
      </c>
      <c r="G61" s="123">
        <v>8309.7092039999989</v>
      </c>
      <c r="H61" s="123">
        <v>1316.8395960000003</v>
      </c>
      <c r="I61" s="123">
        <v>0.23</v>
      </c>
      <c r="J61" s="123">
        <v>0.68899999999999928</v>
      </c>
      <c r="L61" s="120">
        <f t="shared" si="0"/>
        <v>0.68899998872043422</v>
      </c>
      <c r="M61" s="120">
        <f t="shared" si="1"/>
        <v>1.1279565059751917E-8</v>
      </c>
    </row>
    <row r="62" spans="2:13" x14ac:dyDescent="0.3">
      <c r="B62" s="123">
        <v>198</v>
      </c>
      <c r="C62" s="123">
        <v>34</v>
      </c>
      <c r="D62" s="123">
        <v>2</v>
      </c>
      <c r="E62" s="123">
        <v>0</v>
      </c>
      <c r="F62" s="123">
        <v>0</v>
      </c>
      <c r="G62" s="123">
        <v>176016.18278000003</v>
      </c>
      <c r="H62" s="123">
        <v>0</v>
      </c>
      <c r="I62" s="123">
        <v>0.255</v>
      </c>
      <c r="J62" s="123">
        <v>0.36800000000000022</v>
      </c>
      <c r="L62" s="120">
        <f t="shared" si="0"/>
        <v>0</v>
      </c>
      <c r="M62" s="120">
        <f t="shared" si="1"/>
        <v>0.36800000000000022</v>
      </c>
    </row>
    <row r="63" spans="2:13" x14ac:dyDescent="0.3">
      <c r="B63" s="123">
        <v>198</v>
      </c>
      <c r="C63" s="123">
        <v>34</v>
      </c>
      <c r="D63" s="123">
        <v>3</v>
      </c>
      <c r="E63" s="123">
        <v>0</v>
      </c>
      <c r="F63" s="123">
        <v>0</v>
      </c>
      <c r="G63" s="123">
        <v>282926.4283439999</v>
      </c>
      <c r="H63" s="123">
        <v>43287.743536000009</v>
      </c>
      <c r="I63" s="123">
        <v>0.255</v>
      </c>
      <c r="J63" s="123">
        <v>0.60000000000000042</v>
      </c>
      <c r="L63" s="120">
        <f t="shared" si="0"/>
        <v>0.59999999999124043</v>
      </c>
      <c r="M63" s="120">
        <f t="shared" si="1"/>
        <v>8.7599927311998727E-12</v>
      </c>
    </row>
    <row r="64" spans="2:13" x14ac:dyDescent="0.3">
      <c r="B64" s="123">
        <v>198</v>
      </c>
      <c r="C64" s="123">
        <v>35</v>
      </c>
      <c r="D64" s="123">
        <v>1</v>
      </c>
      <c r="E64" s="123">
        <v>0</v>
      </c>
      <c r="F64" s="123">
        <v>0</v>
      </c>
      <c r="G64" s="123">
        <v>98739.361427999989</v>
      </c>
      <c r="H64" s="123">
        <v>20893.248879999999</v>
      </c>
      <c r="I64" s="123">
        <v>0.23</v>
      </c>
      <c r="J64" s="123">
        <v>0.92000000000000126</v>
      </c>
      <c r="L64" s="120">
        <f t="shared" si="0"/>
        <v>0.92000000008081007</v>
      </c>
      <c r="M64" s="120">
        <f t="shared" si="1"/>
        <v>-8.0808804092669106E-11</v>
      </c>
    </row>
    <row r="65" spans="2:13" x14ac:dyDescent="0.3">
      <c r="B65" s="123">
        <v>198</v>
      </c>
      <c r="C65" s="123">
        <v>35</v>
      </c>
      <c r="D65" s="123">
        <v>2</v>
      </c>
      <c r="E65" s="123">
        <v>0</v>
      </c>
      <c r="F65" s="123">
        <v>0</v>
      </c>
      <c r="G65" s="123">
        <v>94567.451299999986</v>
      </c>
      <c r="H65" s="123">
        <v>13267.813416000003</v>
      </c>
      <c r="I65" s="123">
        <v>0.23</v>
      </c>
      <c r="J65" s="123">
        <v>0.60999999999999965</v>
      </c>
      <c r="L65" s="120">
        <f t="shared" si="0"/>
        <v>0.60999999993609366</v>
      </c>
      <c r="M65" s="120">
        <f t="shared" si="1"/>
        <v>6.3905991609658486E-11</v>
      </c>
    </row>
    <row r="66" spans="2:13" x14ac:dyDescent="0.3">
      <c r="B66" s="123">
        <v>198</v>
      </c>
      <c r="C66" s="123">
        <v>35</v>
      </c>
      <c r="D66" s="123">
        <v>3</v>
      </c>
      <c r="E66" s="123">
        <v>0</v>
      </c>
      <c r="F66" s="123">
        <v>0</v>
      </c>
      <c r="G66" s="123">
        <v>221088.65996800002</v>
      </c>
      <c r="H66" s="123">
        <v>25170.943936000011</v>
      </c>
      <c r="I66" s="123">
        <v>0.23</v>
      </c>
      <c r="J66" s="123">
        <v>0.49500000000000011</v>
      </c>
      <c r="L66" s="120">
        <f t="shared" si="0"/>
        <v>0.49499999997331795</v>
      </c>
      <c r="M66" s="120">
        <f t="shared" si="1"/>
        <v>2.6682156484270081E-11</v>
      </c>
    </row>
    <row r="67" spans="2:13" x14ac:dyDescent="0.3">
      <c r="B67" s="123">
        <v>198</v>
      </c>
      <c r="C67" s="123">
        <v>35</v>
      </c>
      <c r="D67" s="123">
        <v>4</v>
      </c>
      <c r="E67" s="123">
        <v>0</v>
      </c>
      <c r="F67" s="123">
        <v>0</v>
      </c>
      <c r="G67" s="123">
        <v>78725.732671999998</v>
      </c>
      <c r="H67" s="123">
        <v>16658.364999999998</v>
      </c>
      <c r="I67" s="123">
        <v>0.23</v>
      </c>
      <c r="J67" s="123">
        <v>0.92000000000000126</v>
      </c>
      <c r="L67" s="120">
        <f t="shared" si="0"/>
        <v>0.91999999815566624</v>
      </c>
      <c r="M67" s="120">
        <f t="shared" si="1"/>
        <v>1.8443350180419316E-9</v>
      </c>
    </row>
    <row r="68" spans="2:13" x14ac:dyDescent="0.3">
      <c r="B68" s="123">
        <v>198</v>
      </c>
      <c r="C68" s="123">
        <v>36</v>
      </c>
      <c r="D68" s="123">
        <v>1</v>
      </c>
      <c r="E68" s="123">
        <v>10597.063528000002</v>
      </c>
      <c r="F68" s="123">
        <v>512.89792000000023</v>
      </c>
      <c r="G68" s="123">
        <v>515.77070000000026</v>
      </c>
      <c r="H68" s="123">
        <v>24.963280000000005</v>
      </c>
      <c r="I68" s="123">
        <v>0.2</v>
      </c>
      <c r="J68" s="123">
        <v>0.24200000000000163</v>
      </c>
      <c r="L68" s="120">
        <f t="shared" ref="L68:L93" si="2">((H68+F68)/I68)/(E68+G68)</f>
        <v>0.24200001051252976</v>
      </c>
      <c r="M68" s="120">
        <f t="shared" ref="M68:M93" si="3">J68-L68</f>
        <v>-1.0512528125783405E-8</v>
      </c>
    </row>
    <row r="69" spans="2:13" x14ac:dyDescent="0.3">
      <c r="B69" s="123">
        <v>198</v>
      </c>
      <c r="C69" s="123">
        <v>36</v>
      </c>
      <c r="D69" s="123">
        <v>3</v>
      </c>
      <c r="E69" s="123">
        <v>0</v>
      </c>
      <c r="F69" s="123">
        <v>0</v>
      </c>
      <c r="G69" s="123">
        <v>9215.9350400000003</v>
      </c>
      <c r="H69" s="123">
        <v>1105.9121960000004</v>
      </c>
      <c r="I69" s="123">
        <v>0.2</v>
      </c>
      <c r="J69" s="123">
        <v>0.59999999999999609</v>
      </c>
      <c r="L69" s="120">
        <f t="shared" si="2"/>
        <v>0.59999999522566094</v>
      </c>
      <c r="M69" s="120">
        <f t="shared" si="3"/>
        <v>4.7743351494489161E-9</v>
      </c>
    </row>
    <row r="70" spans="2:13" x14ac:dyDescent="0.3">
      <c r="B70" s="123">
        <v>198</v>
      </c>
      <c r="C70" s="123">
        <v>36</v>
      </c>
      <c r="D70" s="123">
        <v>4</v>
      </c>
      <c r="E70" s="123">
        <v>17161.612647999998</v>
      </c>
      <c r="F70" s="123">
        <v>830.62204000000065</v>
      </c>
      <c r="G70" s="123">
        <v>836.16182400000025</v>
      </c>
      <c r="H70" s="123">
        <v>40.470255999999978</v>
      </c>
      <c r="I70" s="123">
        <v>0.2</v>
      </c>
      <c r="J70" s="123">
        <v>0.2420000000000016</v>
      </c>
      <c r="L70" s="120">
        <f t="shared" si="2"/>
        <v>0.24200000321017487</v>
      </c>
      <c r="M70" s="120">
        <f t="shared" si="3"/>
        <v>-3.2101732660994031E-9</v>
      </c>
    </row>
    <row r="71" spans="2:13" x14ac:dyDescent="0.3">
      <c r="B71" s="123">
        <v>198</v>
      </c>
      <c r="C71" s="123">
        <v>42</v>
      </c>
      <c r="D71" s="123">
        <v>1</v>
      </c>
      <c r="E71" s="123">
        <v>0</v>
      </c>
      <c r="F71" s="123">
        <v>0</v>
      </c>
      <c r="G71" s="123">
        <v>1914.5734999999984</v>
      </c>
      <c r="H71" s="123">
        <v>735.19622399999969</v>
      </c>
      <c r="I71" s="123">
        <v>0.2</v>
      </c>
      <c r="J71" s="123">
        <v>1.9200000000000066</v>
      </c>
      <c r="L71" s="120">
        <f t="shared" si="2"/>
        <v>1.9200000000000006</v>
      </c>
      <c r="M71" s="120">
        <f t="shared" si="3"/>
        <v>5.9952043329758453E-15</v>
      </c>
    </row>
    <row r="72" spans="2:13" x14ac:dyDescent="0.3">
      <c r="B72" s="123">
        <v>198</v>
      </c>
      <c r="C72" s="123">
        <v>42</v>
      </c>
      <c r="D72" s="123">
        <v>3</v>
      </c>
      <c r="E72" s="123">
        <v>35772.333536000006</v>
      </c>
      <c r="F72" s="123">
        <v>5537.5572400000019</v>
      </c>
      <c r="G72" s="123">
        <v>0</v>
      </c>
      <c r="H72" s="123">
        <v>0</v>
      </c>
      <c r="I72" s="123">
        <v>0.2</v>
      </c>
      <c r="J72" s="123">
        <v>0.7740000000000008</v>
      </c>
      <c r="L72" s="120">
        <f t="shared" si="2"/>
        <v>0.77400000120584822</v>
      </c>
      <c r="M72" s="120">
        <f t="shared" si="3"/>
        <v>-1.205847421914541E-9</v>
      </c>
    </row>
    <row r="73" spans="2:13" x14ac:dyDescent="0.3">
      <c r="B73" s="123">
        <v>198</v>
      </c>
      <c r="C73" s="123">
        <v>42</v>
      </c>
      <c r="D73" s="123">
        <v>4</v>
      </c>
      <c r="E73" s="123">
        <v>0</v>
      </c>
      <c r="F73" s="123">
        <v>0</v>
      </c>
      <c r="G73" s="123">
        <v>2547.0911640000018</v>
      </c>
      <c r="H73" s="123">
        <v>978.08302000000174</v>
      </c>
      <c r="I73" s="123">
        <v>0.2</v>
      </c>
      <c r="J73" s="123">
        <v>1.9200000000000059</v>
      </c>
      <c r="L73" s="120">
        <f t="shared" si="2"/>
        <v>1.9200000255664209</v>
      </c>
      <c r="M73" s="120">
        <f t="shared" si="3"/>
        <v>-2.5566414985078723E-8</v>
      </c>
    </row>
    <row r="74" spans="2:13" x14ac:dyDescent="0.3">
      <c r="B74" s="123">
        <v>198</v>
      </c>
      <c r="C74" s="123">
        <v>45</v>
      </c>
      <c r="D74" s="123">
        <v>1</v>
      </c>
      <c r="E74" s="123">
        <v>9512.2009519999992</v>
      </c>
      <c r="F74" s="123">
        <v>6940.1018120000072</v>
      </c>
      <c r="G74" s="123">
        <v>0</v>
      </c>
      <c r="H74" s="123">
        <v>0</v>
      </c>
      <c r="I74" s="123">
        <v>0.2</v>
      </c>
      <c r="J74" s="123">
        <v>3.6479999999999899</v>
      </c>
      <c r="L74" s="120">
        <f t="shared" si="2"/>
        <v>3.6479999986442713</v>
      </c>
      <c r="M74" s="120">
        <f t="shared" si="3"/>
        <v>1.3557186484547401E-9</v>
      </c>
    </row>
    <row r="75" spans="2:13" x14ac:dyDescent="0.3">
      <c r="B75" s="123">
        <v>198</v>
      </c>
      <c r="C75" s="123">
        <v>45</v>
      </c>
      <c r="D75" s="123">
        <v>4</v>
      </c>
      <c r="E75" s="123">
        <v>11093.567980000003</v>
      </c>
      <c r="F75" s="123">
        <v>8093.8671640000011</v>
      </c>
      <c r="G75" s="123">
        <v>0</v>
      </c>
      <c r="H75" s="123">
        <v>0</v>
      </c>
      <c r="I75" s="123">
        <v>0.2</v>
      </c>
      <c r="J75" s="123">
        <v>3.6479999999999908</v>
      </c>
      <c r="L75" s="120">
        <f t="shared" si="2"/>
        <v>3.6479999845820559</v>
      </c>
      <c r="M75" s="120">
        <f t="shared" si="3"/>
        <v>1.5417934928763088E-8</v>
      </c>
    </row>
    <row r="76" spans="2:13" x14ac:dyDescent="0.3">
      <c r="B76" s="123">
        <v>198</v>
      </c>
      <c r="C76" s="123">
        <v>53</v>
      </c>
      <c r="D76" s="123">
        <v>1</v>
      </c>
      <c r="E76" s="123">
        <v>6717.6402560000033</v>
      </c>
      <c r="F76" s="123">
        <v>3381.660104</v>
      </c>
      <c r="G76" s="123">
        <v>0</v>
      </c>
      <c r="H76" s="123">
        <v>0</v>
      </c>
      <c r="I76" s="123">
        <v>0.2</v>
      </c>
      <c r="J76" s="123">
        <v>2.5170000000000288</v>
      </c>
      <c r="L76" s="120">
        <f t="shared" si="2"/>
        <v>2.5169999993521524</v>
      </c>
      <c r="M76" s="120">
        <f t="shared" si="3"/>
        <v>6.4787641917973815E-10</v>
      </c>
    </row>
    <row r="77" spans="2:13" x14ac:dyDescent="0.3">
      <c r="B77" s="123">
        <v>198</v>
      </c>
      <c r="C77" s="123">
        <v>53</v>
      </c>
      <c r="D77" s="123">
        <v>3</v>
      </c>
      <c r="E77" s="123">
        <v>24598.882664000004</v>
      </c>
      <c r="F77" s="123">
        <v>4654.1085959999991</v>
      </c>
      <c r="G77" s="123">
        <v>0</v>
      </c>
      <c r="H77" s="123">
        <v>0</v>
      </c>
      <c r="I77" s="123">
        <v>0.2</v>
      </c>
      <c r="J77" s="123">
        <v>0.94600000000000883</v>
      </c>
      <c r="L77" s="120">
        <f t="shared" si="2"/>
        <v>0.94599999918110067</v>
      </c>
      <c r="M77" s="120">
        <f t="shared" si="3"/>
        <v>8.1890816350238538E-10</v>
      </c>
    </row>
    <row r="78" spans="2:13" x14ac:dyDescent="0.3">
      <c r="B78" s="123">
        <v>198</v>
      </c>
      <c r="C78" s="123">
        <v>53</v>
      </c>
      <c r="D78" s="123">
        <v>4</v>
      </c>
      <c r="E78" s="123">
        <v>6474.1675159999959</v>
      </c>
      <c r="F78" s="123">
        <v>3259.0958880000021</v>
      </c>
      <c r="G78" s="123">
        <v>0</v>
      </c>
      <c r="H78" s="123">
        <v>0</v>
      </c>
      <c r="I78" s="123">
        <v>0.2</v>
      </c>
      <c r="J78" s="123">
        <v>2.5170000000000283</v>
      </c>
      <c r="L78" s="120">
        <f t="shared" si="2"/>
        <v>2.5169999694521374</v>
      </c>
      <c r="M78" s="120">
        <f t="shared" si="3"/>
        <v>3.0547890883525497E-8</v>
      </c>
    </row>
    <row r="79" spans="2:13" x14ac:dyDescent="0.3">
      <c r="B79" s="123">
        <v>198</v>
      </c>
      <c r="C79" s="123">
        <v>54</v>
      </c>
      <c r="D79" s="123">
        <v>1</v>
      </c>
      <c r="E79" s="123">
        <v>0</v>
      </c>
      <c r="F79" s="123">
        <v>0</v>
      </c>
      <c r="G79" s="123">
        <v>4843.7827319999951</v>
      </c>
      <c r="H79" s="123">
        <v>1024.94442</v>
      </c>
      <c r="I79" s="123">
        <v>0.2</v>
      </c>
      <c r="J79" s="123">
        <v>1.0579999999999945</v>
      </c>
      <c r="L79" s="120">
        <f t="shared" si="2"/>
        <v>1.0579999937123532</v>
      </c>
      <c r="M79" s="120">
        <f t="shared" si="3"/>
        <v>6.2876412965096051E-9</v>
      </c>
    </row>
    <row r="80" spans="2:13" x14ac:dyDescent="0.3">
      <c r="B80" s="123">
        <v>198</v>
      </c>
      <c r="C80" s="123">
        <v>54</v>
      </c>
      <c r="D80" s="123">
        <v>3</v>
      </c>
      <c r="E80" s="123">
        <v>8885.0721839999933</v>
      </c>
      <c r="F80" s="123">
        <v>0</v>
      </c>
      <c r="G80" s="123">
        <v>0</v>
      </c>
      <c r="H80" s="123">
        <v>0</v>
      </c>
      <c r="I80" s="123">
        <v>0.2</v>
      </c>
      <c r="J80" s="123">
        <v>3.3999999999999794E-2</v>
      </c>
      <c r="L80" s="120">
        <f t="shared" si="2"/>
        <v>0</v>
      </c>
      <c r="M80" s="120">
        <f t="shared" si="3"/>
        <v>3.3999999999999794E-2</v>
      </c>
    </row>
    <row r="81" spans="2:13" x14ac:dyDescent="0.3">
      <c r="B81" s="123">
        <v>198</v>
      </c>
      <c r="C81" s="123">
        <v>54</v>
      </c>
      <c r="D81" s="123">
        <v>4</v>
      </c>
      <c r="E81" s="123">
        <v>7829.5798400000022</v>
      </c>
      <c r="F81" s="123">
        <v>1656.7390999999991</v>
      </c>
      <c r="G81" s="123">
        <v>594.6516359999996</v>
      </c>
      <c r="H81" s="123">
        <v>125.82828799999984</v>
      </c>
      <c r="I81" s="123">
        <v>0.2</v>
      </c>
      <c r="J81" s="123">
        <v>1.0579999999999945</v>
      </c>
      <c r="L81" s="120">
        <f t="shared" si="2"/>
        <v>1.0580000045573288</v>
      </c>
      <c r="M81" s="120">
        <f t="shared" si="3"/>
        <v>-4.5573342877247569E-9</v>
      </c>
    </row>
    <row r="82" spans="2:13" x14ac:dyDescent="0.3">
      <c r="B82" s="123">
        <v>198</v>
      </c>
      <c r="C82" s="123">
        <v>56</v>
      </c>
      <c r="D82" s="123">
        <v>1</v>
      </c>
      <c r="E82" s="123">
        <v>11467.049335999987</v>
      </c>
      <c r="F82" s="123">
        <v>13998.97383599999</v>
      </c>
      <c r="G82" s="123">
        <v>0</v>
      </c>
      <c r="H82" s="123">
        <v>0</v>
      </c>
      <c r="I82" s="123">
        <v>0.2</v>
      </c>
      <c r="J82" s="123">
        <v>6.1039999999999957</v>
      </c>
      <c r="L82" s="120">
        <f t="shared" si="2"/>
        <v>6.1040000028826968</v>
      </c>
      <c r="M82" s="120">
        <f t="shared" si="3"/>
        <v>-2.8827011888665766E-9</v>
      </c>
    </row>
    <row r="83" spans="2:13" x14ac:dyDescent="0.3">
      <c r="B83" s="123">
        <v>198</v>
      </c>
      <c r="C83" s="123">
        <v>56</v>
      </c>
      <c r="D83" s="123">
        <v>3</v>
      </c>
      <c r="E83" s="123">
        <v>15851.048923999997</v>
      </c>
      <c r="F83" s="123">
        <v>3877.1665760000001</v>
      </c>
      <c r="G83" s="123">
        <v>0</v>
      </c>
      <c r="H83" s="123">
        <v>0</v>
      </c>
      <c r="I83" s="123">
        <v>0.2</v>
      </c>
      <c r="J83" s="123">
        <v>1.2230000000000087</v>
      </c>
      <c r="L83" s="120">
        <f t="shared" si="2"/>
        <v>1.2230000028987358</v>
      </c>
      <c r="M83" s="120">
        <f t="shared" si="3"/>
        <v>-2.8987270361824358E-9</v>
      </c>
    </row>
    <row r="84" spans="2:13" x14ac:dyDescent="0.3">
      <c r="B84" s="123">
        <v>198</v>
      </c>
      <c r="C84" s="123">
        <v>56</v>
      </c>
      <c r="D84" s="123">
        <v>4</v>
      </c>
      <c r="E84" s="123">
        <v>11727.332492000003</v>
      </c>
      <c r="F84" s="123">
        <v>14316.727360000001</v>
      </c>
      <c r="G84" s="123">
        <v>0</v>
      </c>
      <c r="H84" s="123">
        <v>0</v>
      </c>
      <c r="I84" s="123">
        <v>0.2</v>
      </c>
      <c r="J84" s="123">
        <v>6.1039999999999992</v>
      </c>
      <c r="L84" s="120">
        <f t="shared" si="2"/>
        <v>6.1039999376526568</v>
      </c>
      <c r="M84" s="120">
        <f t="shared" si="3"/>
        <v>6.2347342399959871E-8</v>
      </c>
    </row>
    <row r="85" spans="2:13" x14ac:dyDescent="0.3">
      <c r="B85" s="123">
        <v>198</v>
      </c>
      <c r="C85" s="123">
        <v>57</v>
      </c>
      <c r="D85" s="123">
        <v>1</v>
      </c>
      <c r="E85" s="123">
        <v>2655.8819159999994</v>
      </c>
      <c r="F85" s="123">
        <v>1042.6992320000008</v>
      </c>
      <c r="G85" s="123">
        <v>3413.1816119999989</v>
      </c>
      <c r="H85" s="123">
        <v>1340.0150999999996</v>
      </c>
      <c r="I85" s="123">
        <v>0.2</v>
      </c>
      <c r="J85" s="123">
        <v>1.9629999999999945</v>
      </c>
      <c r="L85" s="120">
        <f t="shared" si="2"/>
        <v>1.9629999925088943</v>
      </c>
      <c r="M85" s="120">
        <f t="shared" si="3"/>
        <v>7.4911001846089675E-9</v>
      </c>
    </row>
    <row r="86" spans="2:13" x14ac:dyDescent="0.3">
      <c r="B86" s="123">
        <v>198</v>
      </c>
      <c r="C86" s="123">
        <v>57</v>
      </c>
      <c r="D86" s="123">
        <v>3</v>
      </c>
      <c r="E86" s="123">
        <v>36763.47644800003</v>
      </c>
      <c r="F86" s="123">
        <v>4705.7249759999995</v>
      </c>
      <c r="G86" s="123">
        <v>0</v>
      </c>
      <c r="H86" s="123">
        <v>0</v>
      </c>
      <c r="I86" s="123">
        <v>0.2</v>
      </c>
      <c r="J86" s="123">
        <v>0.63999999999999513</v>
      </c>
      <c r="L86" s="120">
        <f t="shared" si="2"/>
        <v>0.6399999987291729</v>
      </c>
      <c r="M86" s="120">
        <f t="shared" si="3"/>
        <v>1.2708222252300061E-9</v>
      </c>
    </row>
    <row r="87" spans="2:13" x14ac:dyDescent="0.3">
      <c r="B87" s="123">
        <v>198</v>
      </c>
      <c r="C87" s="123">
        <v>57</v>
      </c>
      <c r="D87" s="123">
        <v>4</v>
      </c>
      <c r="E87" s="123">
        <v>1957.6651560000005</v>
      </c>
      <c r="F87" s="123">
        <v>768.57935200000031</v>
      </c>
      <c r="G87" s="123">
        <v>2514.7243359999993</v>
      </c>
      <c r="H87" s="123">
        <v>987.2807679999994</v>
      </c>
      <c r="I87" s="123">
        <v>0.2</v>
      </c>
      <c r="J87" s="123">
        <v>1.9629999999999947</v>
      </c>
      <c r="L87" s="120">
        <f t="shared" si="2"/>
        <v>1.963000006082654</v>
      </c>
      <c r="M87" s="120">
        <f t="shared" si="3"/>
        <v>-6.082659265160828E-9</v>
      </c>
    </row>
    <row r="88" spans="2:13" x14ac:dyDescent="0.3">
      <c r="B88" s="123">
        <v>198</v>
      </c>
      <c r="C88" s="123">
        <v>64</v>
      </c>
      <c r="D88" s="123">
        <v>1</v>
      </c>
      <c r="E88" s="123">
        <v>2076.2697959999991</v>
      </c>
      <c r="F88" s="123">
        <v>1375.7363519999999</v>
      </c>
      <c r="G88" s="123">
        <v>3585.7179279999991</v>
      </c>
      <c r="H88" s="123">
        <v>2375.8967119999988</v>
      </c>
      <c r="I88" s="123">
        <v>0.2</v>
      </c>
      <c r="J88" s="123">
        <v>3.31299999999999</v>
      </c>
      <c r="L88" s="120">
        <f t="shared" si="2"/>
        <v>3.3129999983023626</v>
      </c>
      <c r="M88" s="120">
        <f t="shared" si="3"/>
        <v>1.6976273720104018E-9</v>
      </c>
    </row>
    <row r="89" spans="2:13" x14ac:dyDescent="0.3">
      <c r="B89" s="123">
        <v>198</v>
      </c>
      <c r="C89" s="123">
        <v>64</v>
      </c>
      <c r="D89" s="123">
        <v>3</v>
      </c>
      <c r="E89" s="123">
        <v>2515.9353959999999</v>
      </c>
      <c r="F89" s="123">
        <v>853.40528799999981</v>
      </c>
      <c r="G89" s="123">
        <v>0</v>
      </c>
      <c r="H89" s="123">
        <v>0</v>
      </c>
      <c r="I89" s="123">
        <v>0.2</v>
      </c>
      <c r="J89" s="123">
        <v>1.6960000000000091</v>
      </c>
      <c r="L89" s="120">
        <f t="shared" si="2"/>
        <v>1.6960000033323586</v>
      </c>
      <c r="M89" s="120">
        <f t="shared" si="3"/>
        <v>-3.3323495074455423E-9</v>
      </c>
    </row>
    <row r="90" spans="2:13" x14ac:dyDescent="0.3">
      <c r="B90" s="123">
        <v>198</v>
      </c>
      <c r="C90" s="123">
        <v>64</v>
      </c>
      <c r="D90" s="123">
        <v>4</v>
      </c>
      <c r="E90" s="123">
        <v>5842.3905999999988</v>
      </c>
      <c r="F90" s="123">
        <v>3871.1680200000005</v>
      </c>
      <c r="G90" s="123">
        <v>0</v>
      </c>
      <c r="H90" s="123">
        <v>0</v>
      </c>
      <c r="I90" s="123">
        <v>0.2</v>
      </c>
      <c r="J90" s="123">
        <v>3.31299999999999</v>
      </c>
      <c r="L90" s="120">
        <f t="shared" si="2"/>
        <v>3.3130000072230716</v>
      </c>
      <c r="M90" s="120">
        <f t="shared" si="3"/>
        <v>-7.2230816883234183E-9</v>
      </c>
    </row>
    <row r="91" spans="2:13" x14ac:dyDescent="0.3">
      <c r="B91" s="123">
        <v>198</v>
      </c>
      <c r="C91" s="123">
        <v>67</v>
      </c>
      <c r="D91" s="123">
        <v>1</v>
      </c>
      <c r="E91" s="123">
        <v>0</v>
      </c>
      <c r="F91" s="123">
        <v>0</v>
      </c>
      <c r="G91" s="123">
        <v>711.99507599999959</v>
      </c>
      <c r="H91" s="123">
        <v>1195.154932000002</v>
      </c>
      <c r="I91" s="123">
        <v>0.2</v>
      </c>
      <c r="J91" s="123">
        <v>8.3930000000000273</v>
      </c>
      <c r="L91" s="120">
        <f t="shared" si="2"/>
        <v>8.3929999819268595</v>
      </c>
      <c r="M91" s="120">
        <f t="shared" si="3"/>
        <v>1.8073167851184735E-8</v>
      </c>
    </row>
    <row r="92" spans="2:13" x14ac:dyDescent="0.3">
      <c r="B92" s="123">
        <v>198</v>
      </c>
      <c r="C92" s="123">
        <v>67</v>
      </c>
      <c r="D92" s="123">
        <v>3</v>
      </c>
      <c r="E92" s="123">
        <v>5633.863832</v>
      </c>
      <c r="F92" s="123">
        <v>1660.8630400000002</v>
      </c>
      <c r="G92" s="123">
        <v>0</v>
      </c>
      <c r="H92" s="123">
        <v>0</v>
      </c>
      <c r="I92" s="123">
        <v>0.2</v>
      </c>
      <c r="J92" s="123">
        <v>1.4739999999999931</v>
      </c>
      <c r="L92" s="120">
        <f t="shared" si="2"/>
        <v>1.4739999843148501</v>
      </c>
      <c r="M92" s="120">
        <f t="shared" si="3"/>
        <v>1.5685142962240661E-8</v>
      </c>
    </row>
    <row r="93" spans="2:13" x14ac:dyDescent="0.3">
      <c r="B93" s="123">
        <v>198</v>
      </c>
      <c r="C93" s="123">
        <v>67</v>
      </c>
      <c r="D93" s="123">
        <v>4</v>
      </c>
      <c r="E93" s="123">
        <v>0</v>
      </c>
      <c r="F93" s="123">
        <v>0</v>
      </c>
      <c r="G93" s="123">
        <v>821.21170000000029</v>
      </c>
      <c r="H93" s="123">
        <v>1378.4859319999994</v>
      </c>
      <c r="I93" s="123">
        <v>0.2</v>
      </c>
      <c r="J93" s="123">
        <v>8.3930000000000273</v>
      </c>
      <c r="L93" s="120">
        <f t="shared" si="2"/>
        <v>8.3929998318338548</v>
      </c>
      <c r="M93" s="120">
        <f t="shared" si="3"/>
        <v>1.6816617254278299E-7</v>
      </c>
    </row>
    <row r="94" spans="2:13" x14ac:dyDescent="0.3">
      <c r="L94" s="120" t="e">
        <f t="shared" ref="L94:L157" si="4">((H94+F94)/I94)/(E94+G94)</f>
        <v>#DIV/0!</v>
      </c>
      <c r="M94" s="120" t="e">
        <f t="shared" ref="M94:M157" si="5">J94-L94</f>
        <v>#DIV/0!</v>
      </c>
    </row>
    <row r="95" spans="2:13" x14ac:dyDescent="0.3">
      <c r="L95" s="120" t="e">
        <f t="shared" si="4"/>
        <v>#DIV/0!</v>
      </c>
      <c r="M95" s="120" t="e">
        <f t="shared" si="5"/>
        <v>#DIV/0!</v>
      </c>
    </row>
    <row r="96" spans="2:13" x14ac:dyDescent="0.3">
      <c r="L96" s="120" t="e">
        <f t="shared" si="4"/>
        <v>#DIV/0!</v>
      </c>
      <c r="M96" s="120" t="e">
        <f t="shared" si="5"/>
        <v>#DIV/0!</v>
      </c>
    </row>
    <row r="97" spans="12:13" x14ac:dyDescent="0.3">
      <c r="L97" s="120" t="e">
        <f t="shared" si="4"/>
        <v>#DIV/0!</v>
      </c>
      <c r="M97" s="120" t="e">
        <f t="shared" si="5"/>
        <v>#DIV/0!</v>
      </c>
    </row>
    <row r="98" spans="12:13" x14ac:dyDescent="0.3">
      <c r="L98" s="120" t="e">
        <f t="shared" si="4"/>
        <v>#DIV/0!</v>
      </c>
      <c r="M98" s="120" t="e">
        <f t="shared" si="5"/>
        <v>#DIV/0!</v>
      </c>
    </row>
    <row r="99" spans="12:13" x14ac:dyDescent="0.3">
      <c r="L99" s="120" t="e">
        <f t="shared" si="4"/>
        <v>#DIV/0!</v>
      </c>
      <c r="M99" s="120" t="e">
        <f t="shared" si="5"/>
        <v>#DIV/0!</v>
      </c>
    </row>
    <row r="100" spans="12:13" x14ac:dyDescent="0.3">
      <c r="L100" s="120" t="e">
        <f t="shared" si="4"/>
        <v>#DIV/0!</v>
      </c>
      <c r="M100" s="120" t="e">
        <f t="shared" si="5"/>
        <v>#DIV/0!</v>
      </c>
    </row>
    <row r="101" spans="12:13" x14ac:dyDescent="0.3">
      <c r="L101" s="120" t="e">
        <f t="shared" si="4"/>
        <v>#DIV/0!</v>
      </c>
      <c r="M101" s="120" t="e">
        <f t="shared" si="5"/>
        <v>#DIV/0!</v>
      </c>
    </row>
    <row r="102" spans="12:13" x14ac:dyDescent="0.3">
      <c r="L102" s="120" t="e">
        <f t="shared" si="4"/>
        <v>#DIV/0!</v>
      </c>
      <c r="M102" s="120" t="e">
        <f t="shared" si="5"/>
        <v>#DIV/0!</v>
      </c>
    </row>
    <row r="103" spans="12:13" x14ac:dyDescent="0.3">
      <c r="L103" s="120" t="e">
        <f t="shared" si="4"/>
        <v>#DIV/0!</v>
      </c>
      <c r="M103" s="120" t="e">
        <f t="shared" si="5"/>
        <v>#DIV/0!</v>
      </c>
    </row>
    <row r="104" spans="12:13" x14ac:dyDescent="0.3">
      <c r="L104" s="120" t="e">
        <f t="shared" si="4"/>
        <v>#DIV/0!</v>
      </c>
      <c r="M104" s="120" t="e">
        <f t="shared" si="5"/>
        <v>#DIV/0!</v>
      </c>
    </row>
    <row r="105" spans="12:13" x14ac:dyDescent="0.3">
      <c r="L105" s="120" t="e">
        <f t="shared" si="4"/>
        <v>#DIV/0!</v>
      </c>
      <c r="M105" s="120" t="e">
        <f t="shared" si="5"/>
        <v>#DIV/0!</v>
      </c>
    </row>
    <row r="106" spans="12:13" x14ac:dyDescent="0.3">
      <c r="L106" s="120" t="e">
        <f t="shared" si="4"/>
        <v>#DIV/0!</v>
      </c>
      <c r="M106" s="120" t="e">
        <f t="shared" si="5"/>
        <v>#DIV/0!</v>
      </c>
    </row>
    <row r="107" spans="12:13" x14ac:dyDescent="0.3">
      <c r="L107" s="120" t="e">
        <f t="shared" si="4"/>
        <v>#DIV/0!</v>
      </c>
      <c r="M107" s="120" t="e">
        <f t="shared" si="5"/>
        <v>#DIV/0!</v>
      </c>
    </row>
    <row r="108" spans="12:13" x14ac:dyDescent="0.3">
      <c r="L108" s="120" t="e">
        <f t="shared" si="4"/>
        <v>#DIV/0!</v>
      </c>
      <c r="M108" s="120" t="e">
        <f t="shared" si="5"/>
        <v>#DIV/0!</v>
      </c>
    </row>
    <row r="109" spans="12:13" x14ac:dyDescent="0.3">
      <c r="L109" s="120" t="e">
        <f t="shared" si="4"/>
        <v>#DIV/0!</v>
      </c>
      <c r="M109" s="120" t="e">
        <f t="shared" si="5"/>
        <v>#DIV/0!</v>
      </c>
    </row>
    <row r="110" spans="12:13" x14ac:dyDescent="0.3">
      <c r="L110" s="120" t="e">
        <f t="shared" si="4"/>
        <v>#DIV/0!</v>
      </c>
      <c r="M110" s="120" t="e">
        <f t="shared" si="5"/>
        <v>#DIV/0!</v>
      </c>
    </row>
    <row r="111" spans="12:13" x14ac:dyDescent="0.3">
      <c r="L111" s="120" t="e">
        <f t="shared" si="4"/>
        <v>#DIV/0!</v>
      </c>
      <c r="M111" s="120" t="e">
        <f t="shared" si="5"/>
        <v>#DIV/0!</v>
      </c>
    </row>
    <row r="112" spans="12:13" x14ac:dyDescent="0.3">
      <c r="L112" s="120" t="e">
        <f t="shared" si="4"/>
        <v>#DIV/0!</v>
      </c>
      <c r="M112" s="120" t="e">
        <f t="shared" si="5"/>
        <v>#DIV/0!</v>
      </c>
    </row>
    <row r="113" spans="12:13" x14ac:dyDescent="0.3">
      <c r="L113" s="120" t="e">
        <f t="shared" si="4"/>
        <v>#DIV/0!</v>
      </c>
      <c r="M113" s="120" t="e">
        <f t="shared" si="5"/>
        <v>#DIV/0!</v>
      </c>
    </row>
    <row r="114" spans="12:13" x14ac:dyDescent="0.3">
      <c r="L114" s="120" t="e">
        <f t="shared" si="4"/>
        <v>#DIV/0!</v>
      </c>
      <c r="M114" s="120" t="e">
        <f t="shared" si="5"/>
        <v>#DIV/0!</v>
      </c>
    </row>
    <row r="115" spans="12:13" x14ac:dyDescent="0.3">
      <c r="L115" s="120" t="e">
        <f t="shared" si="4"/>
        <v>#DIV/0!</v>
      </c>
      <c r="M115" s="120" t="e">
        <f t="shared" si="5"/>
        <v>#DIV/0!</v>
      </c>
    </row>
    <row r="116" spans="12:13" x14ac:dyDescent="0.3">
      <c r="L116" s="120" t="e">
        <f t="shared" si="4"/>
        <v>#DIV/0!</v>
      </c>
      <c r="M116" s="120" t="e">
        <f t="shared" si="5"/>
        <v>#DIV/0!</v>
      </c>
    </row>
    <row r="117" spans="12:13" x14ac:dyDescent="0.3">
      <c r="L117" s="120" t="e">
        <f t="shared" si="4"/>
        <v>#DIV/0!</v>
      </c>
      <c r="M117" s="120" t="e">
        <f t="shared" si="5"/>
        <v>#DIV/0!</v>
      </c>
    </row>
    <row r="118" spans="12:13" x14ac:dyDescent="0.3">
      <c r="L118" s="120" t="e">
        <f t="shared" si="4"/>
        <v>#DIV/0!</v>
      </c>
      <c r="M118" s="120" t="e">
        <f t="shared" si="5"/>
        <v>#DIV/0!</v>
      </c>
    </row>
    <row r="119" spans="12:13" x14ac:dyDescent="0.3">
      <c r="L119" s="120" t="e">
        <f t="shared" si="4"/>
        <v>#DIV/0!</v>
      </c>
      <c r="M119" s="120" t="e">
        <f t="shared" si="5"/>
        <v>#DIV/0!</v>
      </c>
    </row>
    <row r="120" spans="12:13" x14ac:dyDescent="0.3">
      <c r="L120" s="120" t="e">
        <f t="shared" si="4"/>
        <v>#DIV/0!</v>
      </c>
      <c r="M120" s="120" t="e">
        <f t="shared" si="5"/>
        <v>#DIV/0!</v>
      </c>
    </row>
    <row r="121" spans="12:13" x14ac:dyDescent="0.3">
      <c r="L121" s="120" t="e">
        <f t="shared" si="4"/>
        <v>#DIV/0!</v>
      </c>
      <c r="M121" s="120" t="e">
        <f t="shared" si="5"/>
        <v>#DIV/0!</v>
      </c>
    </row>
    <row r="122" spans="12:13" x14ac:dyDescent="0.3">
      <c r="L122" s="120" t="e">
        <f t="shared" si="4"/>
        <v>#DIV/0!</v>
      </c>
      <c r="M122" s="120" t="e">
        <f t="shared" si="5"/>
        <v>#DIV/0!</v>
      </c>
    </row>
    <row r="123" spans="12:13" x14ac:dyDescent="0.3">
      <c r="L123" s="120" t="e">
        <f t="shared" si="4"/>
        <v>#DIV/0!</v>
      </c>
      <c r="M123" s="120" t="e">
        <f t="shared" si="5"/>
        <v>#DIV/0!</v>
      </c>
    </row>
    <row r="124" spans="12:13" x14ac:dyDescent="0.3">
      <c r="L124" s="120" t="e">
        <f t="shared" si="4"/>
        <v>#DIV/0!</v>
      </c>
      <c r="M124" s="120" t="e">
        <f t="shared" si="5"/>
        <v>#DIV/0!</v>
      </c>
    </row>
    <row r="125" spans="12:13" x14ac:dyDescent="0.3">
      <c r="L125" s="120" t="e">
        <f t="shared" si="4"/>
        <v>#DIV/0!</v>
      </c>
      <c r="M125" s="120" t="e">
        <f t="shared" si="5"/>
        <v>#DIV/0!</v>
      </c>
    </row>
    <row r="126" spans="12:13" x14ac:dyDescent="0.3">
      <c r="L126" s="120" t="e">
        <f t="shared" si="4"/>
        <v>#DIV/0!</v>
      </c>
      <c r="M126" s="120" t="e">
        <f t="shared" si="5"/>
        <v>#DIV/0!</v>
      </c>
    </row>
    <row r="127" spans="12:13" x14ac:dyDescent="0.3">
      <c r="L127" s="120" t="e">
        <f t="shared" si="4"/>
        <v>#DIV/0!</v>
      </c>
      <c r="M127" s="120" t="e">
        <f t="shared" si="5"/>
        <v>#DIV/0!</v>
      </c>
    </row>
    <row r="128" spans="12:13" x14ac:dyDescent="0.3">
      <c r="L128" s="120" t="e">
        <f t="shared" si="4"/>
        <v>#DIV/0!</v>
      </c>
      <c r="M128" s="120" t="e">
        <f t="shared" si="5"/>
        <v>#DIV/0!</v>
      </c>
    </row>
    <row r="129" spans="12:13" x14ac:dyDescent="0.3">
      <c r="L129" s="120" t="e">
        <f t="shared" si="4"/>
        <v>#DIV/0!</v>
      </c>
      <c r="M129" s="120" t="e">
        <f t="shared" si="5"/>
        <v>#DIV/0!</v>
      </c>
    </row>
    <row r="130" spans="12:13" x14ac:dyDescent="0.3">
      <c r="L130" s="120" t="e">
        <f t="shared" si="4"/>
        <v>#DIV/0!</v>
      </c>
      <c r="M130" s="120" t="e">
        <f t="shared" si="5"/>
        <v>#DIV/0!</v>
      </c>
    </row>
    <row r="131" spans="12:13" x14ac:dyDescent="0.3">
      <c r="L131" s="120" t="e">
        <f t="shared" si="4"/>
        <v>#DIV/0!</v>
      </c>
      <c r="M131" s="120" t="e">
        <f t="shared" si="5"/>
        <v>#DIV/0!</v>
      </c>
    </row>
    <row r="132" spans="12:13" x14ac:dyDescent="0.3">
      <c r="L132" s="120" t="e">
        <f t="shared" si="4"/>
        <v>#DIV/0!</v>
      </c>
      <c r="M132" s="120" t="e">
        <f t="shared" si="5"/>
        <v>#DIV/0!</v>
      </c>
    </row>
    <row r="133" spans="12:13" x14ac:dyDescent="0.3">
      <c r="L133" s="120" t="e">
        <f t="shared" si="4"/>
        <v>#DIV/0!</v>
      </c>
      <c r="M133" s="120" t="e">
        <f t="shared" si="5"/>
        <v>#DIV/0!</v>
      </c>
    </row>
    <row r="134" spans="12:13" x14ac:dyDescent="0.3">
      <c r="L134" s="120" t="e">
        <f t="shared" si="4"/>
        <v>#DIV/0!</v>
      </c>
      <c r="M134" s="120" t="e">
        <f t="shared" si="5"/>
        <v>#DIV/0!</v>
      </c>
    </row>
    <row r="135" spans="12:13" x14ac:dyDescent="0.3">
      <c r="L135" s="120" t="e">
        <f t="shared" si="4"/>
        <v>#DIV/0!</v>
      </c>
      <c r="M135" s="120" t="e">
        <f t="shared" si="5"/>
        <v>#DIV/0!</v>
      </c>
    </row>
    <row r="136" spans="12:13" x14ac:dyDescent="0.3">
      <c r="L136" s="120" t="e">
        <f t="shared" si="4"/>
        <v>#DIV/0!</v>
      </c>
      <c r="M136" s="120" t="e">
        <f t="shared" si="5"/>
        <v>#DIV/0!</v>
      </c>
    </row>
    <row r="137" spans="12:13" x14ac:dyDescent="0.3">
      <c r="L137" s="120" t="e">
        <f t="shared" si="4"/>
        <v>#DIV/0!</v>
      </c>
      <c r="M137" s="120" t="e">
        <f t="shared" si="5"/>
        <v>#DIV/0!</v>
      </c>
    </row>
    <row r="138" spans="12:13" x14ac:dyDescent="0.3">
      <c r="L138" s="120" t="e">
        <f t="shared" si="4"/>
        <v>#DIV/0!</v>
      </c>
      <c r="M138" s="120" t="e">
        <f t="shared" si="5"/>
        <v>#DIV/0!</v>
      </c>
    </row>
    <row r="139" spans="12:13" x14ac:dyDescent="0.3">
      <c r="L139" s="120" t="e">
        <f t="shared" si="4"/>
        <v>#DIV/0!</v>
      </c>
      <c r="M139" s="120" t="e">
        <f t="shared" si="5"/>
        <v>#DIV/0!</v>
      </c>
    </row>
    <row r="140" spans="12:13" x14ac:dyDescent="0.3">
      <c r="L140" s="120" t="e">
        <f t="shared" si="4"/>
        <v>#DIV/0!</v>
      </c>
      <c r="M140" s="120" t="e">
        <f t="shared" si="5"/>
        <v>#DIV/0!</v>
      </c>
    </row>
    <row r="141" spans="12:13" x14ac:dyDescent="0.3">
      <c r="L141" s="120" t="e">
        <f t="shared" si="4"/>
        <v>#DIV/0!</v>
      </c>
      <c r="M141" s="120" t="e">
        <f t="shared" si="5"/>
        <v>#DIV/0!</v>
      </c>
    </row>
    <row r="142" spans="12:13" x14ac:dyDescent="0.3">
      <c r="L142" s="120" t="e">
        <f t="shared" si="4"/>
        <v>#DIV/0!</v>
      </c>
      <c r="M142" s="120" t="e">
        <f t="shared" si="5"/>
        <v>#DIV/0!</v>
      </c>
    </row>
    <row r="143" spans="12:13" x14ac:dyDescent="0.3">
      <c r="L143" s="120" t="e">
        <f t="shared" si="4"/>
        <v>#DIV/0!</v>
      </c>
      <c r="M143" s="120" t="e">
        <f t="shared" si="5"/>
        <v>#DIV/0!</v>
      </c>
    </row>
    <row r="144" spans="12:13" x14ac:dyDescent="0.3">
      <c r="L144" s="120" t="e">
        <f t="shared" si="4"/>
        <v>#DIV/0!</v>
      </c>
      <c r="M144" s="120" t="e">
        <f t="shared" si="5"/>
        <v>#DIV/0!</v>
      </c>
    </row>
    <row r="145" spans="12:13" x14ac:dyDescent="0.3">
      <c r="L145" s="120" t="e">
        <f t="shared" si="4"/>
        <v>#DIV/0!</v>
      </c>
      <c r="M145" s="120" t="e">
        <f t="shared" si="5"/>
        <v>#DIV/0!</v>
      </c>
    </row>
    <row r="146" spans="12:13" x14ac:dyDescent="0.3">
      <c r="L146" s="120" t="e">
        <f t="shared" si="4"/>
        <v>#DIV/0!</v>
      </c>
      <c r="M146" s="120" t="e">
        <f t="shared" si="5"/>
        <v>#DIV/0!</v>
      </c>
    </row>
    <row r="147" spans="12:13" x14ac:dyDescent="0.3">
      <c r="L147" s="120" t="e">
        <f t="shared" si="4"/>
        <v>#DIV/0!</v>
      </c>
      <c r="M147" s="120" t="e">
        <f t="shared" si="5"/>
        <v>#DIV/0!</v>
      </c>
    </row>
    <row r="148" spans="12:13" x14ac:dyDescent="0.3">
      <c r="L148" s="120" t="e">
        <f t="shared" si="4"/>
        <v>#DIV/0!</v>
      </c>
      <c r="M148" s="120" t="e">
        <f t="shared" si="5"/>
        <v>#DIV/0!</v>
      </c>
    </row>
    <row r="149" spans="12:13" x14ac:dyDescent="0.3">
      <c r="L149" s="120" t="e">
        <f t="shared" si="4"/>
        <v>#DIV/0!</v>
      </c>
      <c r="M149" s="120" t="e">
        <f t="shared" si="5"/>
        <v>#DIV/0!</v>
      </c>
    </row>
    <row r="150" spans="12:13" x14ac:dyDescent="0.3">
      <c r="L150" s="120" t="e">
        <f t="shared" si="4"/>
        <v>#DIV/0!</v>
      </c>
      <c r="M150" s="120" t="e">
        <f t="shared" si="5"/>
        <v>#DIV/0!</v>
      </c>
    </row>
    <row r="151" spans="12:13" x14ac:dyDescent="0.3">
      <c r="L151" s="120" t="e">
        <f t="shared" si="4"/>
        <v>#DIV/0!</v>
      </c>
      <c r="M151" s="120" t="e">
        <f t="shared" si="5"/>
        <v>#DIV/0!</v>
      </c>
    </row>
    <row r="152" spans="12:13" x14ac:dyDescent="0.3">
      <c r="L152" s="120" t="e">
        <f t="shared" si="4"/>
        <v>#DIV/0!</v>
      </c>
      <c r="M152" s="120" t="e">
        <f t="shared" si="5"/>
        <v>#DIV/0!</v>
      </c>
    </row>
    <row r="153" spans="12:13" x14ac:dyDescent="0.3">
      <c r="L153" s="120" t="e">
        <f t="shared" si="4"/>
        <v>#DIV/0!</v>
      </c>
      <c r="M153" s="120" t="e">
        <f t="shared" si="5"/>
        <v>#DIV/0!</v>
      </c>
    </row>
    <row r="154" spans="12:13" x14ac:dyDescent="0.3">
      <c r="L154" s="120" t="e">
        <f t="shared" si="4"/>
        <v>#DIV/0!</v>
      </c>
      <c r="M154" s="120" t="e">
        <f t="shared" si="5"/>
        <v>#DIV/0!</v>
      </c>
    </row>
    <row r="155" spans="12:13" x14ac:dyDescent="0.3">
      <c r="L155" s="120" t="e">
        <f t="shared" si="4"/>
        <v>#DIV/0!</v>
      </c>
      <c r="M155" s="120" t="e">
        <f t="shared" si="5"/>
        <v>#DIV/0!</v>
      </c>
    </row>
    <row r="156" spans="12:13" x14ac:dyDescent="0.3">
      <c r="L156" s="120" t="e">
        <f t="shared" si="4"/>
        <v>#DIV/0!</v>
      </c>
      <c r="M156" s="120" t="e">
        <f t="shared" si="5"/>
        <v>#DIV/0!</v>
      </c>
    </row>
    <row r="157" spans="12:13" x14ac:dyDescent="0.3">
      <c r="L157" s="120" t="e">
        <f t="shared" si="4"/>
        <v>#DIV/0!</v>
      </c>
      <c r="M157" s="120" t="e">
        <f t="shared" si="5"/>
        <v>#DIV/0!</v>
      </c>
    </row>
    <row r="158" spans="12:13" x14ac:dyDescent="0.3">
      <c r="L158" s="120" t="e">
        <f t="shared" ref="L158:L174" si="6">((H158+F158)/I158)/(E158+G158)</f>
        <v>#DIV/0!</v>
      </c>
      <c r="M158" s="120" t="e">
        <f t="shared" ref="M158:M174" si="7">J158-L158</f>
        <v>#DIV/0!</v>
      </c>
    </row>
    <row r="159" spans="12:13" x14ac:dyDescent="0.3">
      <c r="L159" s="120" t="e">
        <f t="shared" si="6"/>
        <v>#DIV/0!</v>
      </c>
      <c r="M159" s="120" t="e">
        <f t="shared" si="7"/>
        <v>#DIV/0!</v>
      </c>
    </row>
    <row r="160" spans="12:13" x14ac:dyDescent="0.3">
      <c r="L160" s="120" t="e">
        <f t="shared" si="6"/>
        <v>#DIV/0!</v>
      </c>
      <c r="M160" s="120" t="e">
        <f t="shared" si="7"/>
        <v>#DIV/0!</v>
      </c>
    </row>
    <row r="161" spans="12:13" x14ac:dyDescent="0.3">
      <c r="L161" s="120" t="e">
        <f t="shared" si="6"/>
        <v>#DIV/0!</v>
      </c>
      <c r="M161" s="120" t="e">
        <f t="shared" si="7"/>
        <v>#DIV/0!</v>
      </c>
    </row>
    <row r="162" spans="12:13" x14ac:dyDescent="0.3">
      <c r="L162" s="120" t="e">
        <f t="shared" si="6"/>
        <v>#DIV/0!</v>
      </c>
      <c r="M162" s="120" t="e">
        <f t="shared" si="7"/>
        <v>#DIV/0!</v>
      </c>
    </row>
    <row r="163" spans="12:13" x14ac:dyDescent="0.3">
      <c r="L163" s="120" t="e">
        <f t="shared" si="6"/>
        <v>#DIV/0!</v>
      </c>
      <c r="M163" s="120" t="e">
        <f t="shared" si="7"/>
        <v>#DIV/0!</v>
      </c>
    </row>
    <row r="164" spans="12:13" x14ac:dyDescent="0.3">
      <c r="L164" s="120" t="e">
        <f t="shared" si="6"/>
        <v>#DIV/0!</v>
      </c>
      <c r="M164" s="120" t="e">
        <f t="shared" si="7"/>
        <v>#DIV/0!</v>
      </c>
    </row>
    <row r="165" spans="12:13" x14ac:dyDescent="0.3">
      <c r="L165" s="120" t="e">
        <f t="shared" si="6"/>
        <v>#DIV/0!</v>
      </c>
      <c r="M165" s="120" t="e">
        <f t="shared" si="7"/>
        <v>#DIV/0!</v>
      </c>
    </row>
    <row r="166" spans="12:13" x14ac:dyDescent="0.3">
      <c r="L166" s="120" t="e">
        <f t="shared" si="6"/>
        <v>#DIV/0!</v>
      </c>
      <c r="M166" s="120" t="e">
        <f t="shared" si="7"/>
        <v>#DIV/0!</v>
      </c>
    </row>
    <row r="167" spans="12:13" x14ac:dyDescent="0.3">
      <c r="L167" s="120" t="e">
        <f t="shared" si="6"/>
        <v>#DIV/0!</v>
      </c>
      <c r="M167" s="120" t="e">
        <f t="shared" si="7"/>
        <v>#DIV/0!</v>
      </c>
    </row>
    <row r="168" spans="12:13" x14ac:dyDescent="0.3">
      <c r="L168" s="120" t="e">
        <f t="shared" si="6"/>
        <v>#DIV/0!</v>
      </c>
      <c r="M168" s="120" t="e">
        <f t="shared" si="7"/>
        <v>#DIV/0!</v>
      </c>
    </row>
    <row r="169" spans="12:13" x14ac:dyDescent="0.3">
      <c r="L169" s="120" t="e">
        <f t="shared" si="6"/>
        <v>#DIV/0!</v>
      </c>
      <c r="M169" s="120" t="e">
        <f t="shared" si="7"/>
        <v>#DIV/0!</v>
      </c>
    </row>
    <row r="170" spans="12:13" x14ac:dyDescent="0.3">
      <c r="L170" s="120" t="e">
        <f t="shared" si="6"/>
        <v>#DIV/0!</v>
      </c>
      <c r="M170" s="120" t="e">
        <f t="shared" si="7"/>
        <v>#DIV/0!</v>
      </c>
    </row>
    <row r="171" spans="12:13" x14ac:dyDescent="0.3">
      <c r="L171" s="120" t="e">
        <f t="shared" si="6"/>
        <v>#DIV/0!</v>
      </c>
      <c r="M171" s="120" t="e">
        <f t="shared" si="7"/>
        <v>#DIV/0!</v>
      </c>
    </row>
    <row r="172" spans="12:13" x14ac:dyDescent="0.3">
      <c r="L172" s="120" t="e">
        <f t="shared" si="6"/>
        <v>#DIV/0!</v>
      </c>
      <c r="M172" s="120" t="e">
        <f t="shared" si="7"/>
        <v>#DIV/0!</v>
      </c>
    </row>
    <row r="173" spans="12:13" x14ac:dyDescent="0.3">
      <c r="L173" s="120" t="e">
        <f t="shared" si="6"/>
        <v>#DIV/0!</v>
      </c>
      <c r="M173" s="120" t="e">
        <f t="shared" si="7"/>
        <v>#DIV/0!</v>
      </c>
    </row>
    <row r="174" spans="12:13" x14ac:dyDescent="0.3">
      <c r="L174" s="120" t="e">
        <f t="shared" si="6"/>
        <v>#DIV/0!</v>
      </c>
      <c r="M174" s="120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386"/>
  <sheetViews>
    <sheetView tabSelected="1" zoomScale="120" zoomScaleNormal="120" workbookViewId="0">
      <selection activeCell="D102" sqref="D102"/>
    </sheetView>
  </sheetViews>
  <sheetFormatPr defaultColWidth="9.109375" defaultRowHeight="14.4" x14ac:dyDescent="0.3"/>
  <cols>
    <col min="1" max="1" width="12.44140625" style="18" customWidth="1"/>
    <col min="2" max="2" width="10.5546875" style="18" customWidth="1"/>
    <col min="3" max="3" width="14.109375" style="19" customWidth="1"/>
    <col min="4" max="4" width="28.44140625" style="18" bestFit="1" customWidth="1"/>
    <col min="5" max="5" width="21.5546875" style="18" customWidth="1"/>
    <col min="6" max="6" width="16.33203125" style="28" bestFit="1" customWidth="1"/>
    <col min="7" max="9" width="5.5546875" style="28" customWidth="1"/>
    <col min="10" max="10" width="12" style="18" bestFit="1" customWidth="1"/>
    <col min="11" max="16384" width="9.109375" style="18"/>
  </cols>
  <sheetData>
    <row r="1" spans="1:10" ht="15" thickBot="1" x14ac:dyDescent="0.35">
      <c r="A1" s="5" t="s">
        <v>40</v>
      </c>
    </row>
    <row r="2" spans="1:10" ht="15" thickBot="1" x14ac:dyDescent="0.35">
      <c r="A2" s="20" t="s">
        <v>41</v>
      </c>
      <c r="C2" s="21" t="s">
        <v>42</v>
      </c>
      <c r="D2" s="18" t="s">
        <v>43</v>
      </c>
    </row>
    <row r="3" spans="1:10" ht="15" thickBot="1" x14ac:dyDescent="0.35">
      <c r="A3" s="22" t="s">
        <v>44</v>
      </c>
    </row>
    <row r="4" spans="1:10" ht="15" thickBot="1" x14ac:dyDescent="0.35">
      <c r="A4" s="23" t="s">
        <v>7</v>
      </c>
      <c r="B4" s="23" t="s">
        <v>6</v>
      </c>
      <c r="C4" s="24" t="s">
        <v>46</v>
      </c>
    </row>
    <row r="5" spans="1:10" x14ac:dyDescent="0.3">
      <c r="A5" s="25">
        <v>1</v>
      </c>
      <c r="B5" s="25">
        <v>1</v>
      </c>
      <c r="C5" s="458">
        <f ca="1">ROUND(OFFSET('Report &amp; Lookup Table'!$C$5,MATCH(SLRatioImport!A5,'Report &amp; Lookup Table'!$C$6:$C$42,0),MATCH(SLRatioImport!B5,'Report &amp; Lookup Table'!$D$5:$G$5,0)),4)</f>
        <v>0.28539999999999999</v>
      </c>
      <c r="E5" s="18" t="s">
        <v>47</v>
      </c>
    </row>
    <row r="6" spans="1:10" x14ac:dyDescent="0.3">
      <c r="A6" s="25">
        <v>1</v>
      </c>
      <c r="B6" s="25">
        <v>2</v>
      </c>
      <c r="C6" s="458">
        <f ca="1">ROUND(OFFSET('Report &amp; Lookup Table'!$C$5,MATCH(SLRatioImport!A6,'Report &amp; Lookup Table'!$C$6:$C$42,0),MATCH(SLRatioImport!B6,'Report &amp; Lookup Table'!$D$5:$G$5,0)),4)</f>
        <v>0.28539999999999999</v>
      </c>
    </row>
    <row r="7" spans="1:10" x14ac:dyDescent="0.3">
      <c r="A7" s="25">
        <v>1</v>
      </c>
      <c r="B7" s="25">
        <v>3</v>
      </c>
      <c r="C7" s="458">
        <f ca="1">ROUND(OFFSET('Report &amp; Lookup Table'!$C$5,MATCH(SLRatioImport!A7,'Report &amp; Lookup Table'!$C$6:$C$42,0),MATCH(SLRatioImport!B7,'Report &amp; Lookup Table'!$D$5:$G$5,0)),4)</f>
        <v>0.28539999999999999</v>
      </c>
      <c r="E7" s="12" t="s">
        <v>48</v>
      </c>
      <c r="F7" s="29" t="s">
        <v>23</v>
      </c>
      <c r="G7" s="113"/>
      <c r="H7" s="113"/>
      <c r="I7" s="113"/>
      <c r="J7" s="113"/>
    </row>
    <row r="8" spans="1:10" x14ac:dyDescent="0.3">
      <c r="A8" s="25">
        <v>3</v>
      </c>
      <c r="B8" s="25">
        <v>1</v>
      </c>
      <c r="C8" s="458">
        <f ca="1">ROUND(OFFSET('Report &amp; Lookup Table'!$C$5,MATCH(SLRatioImport!A8,'Report &amp; Lookup Table'!$C$6:$C$42,0),MATCH(SLRatioImport!B8,'Report &amp; Lookup Table'!$D$5:$G$5,0)),4)</f>
        <v>0.50790000000000002</v>
      </c>
      <c r="E8" s="12" t="s">
        <v>11</v>
      </c>
      <c r="F8" s="8">
        <v>1</v>
      </c>
      <c r="G8" s="8">
        <v>2</v>
      </c>
      <c r="H8" s="8">
        <v>3</v>
      </c>
      <c r="I8" s="8">
        <v>4</v>
      </c>
      <c r="J8" s="283" t="s">
        <v>12</v>
      </c>
    </row>
    <row r="9" spans="1:10" x14ac:dyDescent="0.3">
      <c r="A9" s="25">
        <v>3</v>
      </c>
      <c r="B9" s="25">
        <v>2</v>
      </c>
      <c r="C9" s="458">
        <f ca="1">ROUND(OFFSET('Report &amp; Lookup Table'!$C$5,MATCH(SLRatioImport!A9,'Report &amp; Lookup Table'!$C$6:$C$42,0),MATCH(SLRatioImport!B9,'Report &amp; Lookup Table'!$D$5:$G$5,0)),4)</f>
        <v>0.50790000000000002</v>
      </c>
      <c r="E9" s="368">
        <v>1</v>
      </c>
      <c r="F9" s="113">
        <v>0.27568448565459253</v>
      </c>
      <c r="G9" s="113">
        <v>0.27568448565459253</v>
      </c>
      <c r="H9" s="113">
        <v>0.27568448565459253</v>
      </c>
      <c r="I9" s="113">
        <v>0.27568448565459253</v>
      </c>
      <c r="J9" s="4">
        <v>0.27568448565459253</v>
      </c>
    </row>
    <row r="10" spans="1:10" x14ac:dyDescent="0.3">
      <c r="A10" s="25">
        <v>3</v>
      </c>
      <c r="B10" s="25">
        <v>3</v>
      </c>
      <c r="C10" s="458">
        <f ca="1">ROUND(OFFSET('Report &amp; Lookup Table'!$C$5,MATCH(SLRatioImport!A10,'Report &amp; Lookup Table'!$C$6:$C$42,0),MATCH(SLRatioImport!B10,'Report &amp; Lookup Table'!$D$5:$G$5,0)),4)</f>
        <v>0.50790000000000002</v>
      </c>
      <c r="E10" s="368">
        <v>3</v>
      </c>
      <c r="F10" s="113">
        <v>0.60859784199230704</v>
      </c>
      <c r="G10" s="113">
        <v>0.60859784199230704</v>
      </c>
      <c r="H10" s="113">
        <v>0.60859784199230704</v>
      </c>
      <c r="I10" s="113">
        <v>0.60859784199230704</v>
      </c>
      <c r="J10" s="4">
        <v>0.60859784199230704</v>
      </c>
    </row>
    <row r="11" spans="1:10" x14ac:dyDescent="0.3">
      <c r="A11" s="25">
        <v>8</v>
      </c>
      <c r="B11" s="25">
        <v>1</v>
      </c>
      <c r="C11" s="458">
        <f ca="1">ROUND(OFFSET('Report &amp; Lookup Table'!$C$5,MATCH(SLRatioImport!A11,'Report &amp; Lookup Table'!$C$6:$C$42,0),MATCH(SLRatioImport!B11,'Report &amp; Lookup Table'!$D$5:$G$5,0)),4)</f>
        <v>4.4000000000000003E-3</v>
      </c>
      <c r="E11" s="368">
        <v>8</v>
      </c>
      <c r="F11" s="113">
        <v>1E-3</v>
      </c>
      <c r="G11" s="113">
        <v>1E-3</v>
      </c>
      <c r="H11" s="113">
        <v>1E-3</v>
      </c>
      <c r="I11" s="113">
        <v>1E-3</v>
      </c>
      <c r="J11" s="4">
        <v>1E-3</v>
      </c>
    </row>
    <row r="12" spans="1:10" x14ac:dyDescent="0.3">
      <c r="A12" s="25">
        <v>8</v>
      </c>
      <c r="B12" s="25">
        <v>2</v>
      </c>
      <c r="C12" s="458">
        <f ca="1">ROUND(OFFSET('Report &amp; Lookup Table'!$C$5,MATCH(SLRatioImport!A12,'Report &amp; Lookup Table'!$C$6:$C$42,0),MATCH(SLRatioImport!B12,'Report &amp; Lookup Table'!$D$5:$G$5,0)),4)</f>
        <v>4.4000000000000003E-3</v>
      </c>
      <c r="E12" s="368">
        <v>9</v>
      </c>
      <c r="F12" s="113">
        <v>0.10976288192934991</v>
      </c>
      <c r="G12" s="113">
        <v>0.10976288192934991</v>
      </c>
      <c r="H12" s="113">
        <v>0.10976288192934991</v>
      </c>
      <c r="I12" s="113">
        <v>0.10976288192934991</v>
      </c>
      <c r="J12" s="4">
        <v>0.10976288192934991</v>
      </c>
    </row>
    <row r="13" spans="1:10" x14ac:dyDescent="0.3">
      <c r="A13" s="25">
        <v>8</v>
      </c>
      <c r="B13" s="25">
        <v>3</v>
      </c>
      <c r="C13" s="458">
        <f ca="1">ROUND(OFFSET('Report &amp; Lookup Table'!$C$5,MATCH(SLRatioImport!A13,'Report &amp; Lookup Table'!$C$6:$C$42,0),MATCH(SLRatioImport!B13,'Report &amp; Lookup Table'!$D$5:$G$5,0)),4)</f>
        <v>4.4000000000000003E-3</v>
      </c>
      <c r="E13" s="368">
        <v>10</v>
      </c>
      <c r="F13" s="113">
        <v>8.7142118307523761E-2</v>
      </c>
      <c r="G13" s="113">
        <v>8.7142118307523761E-2</v>
      </c>
      <c r="H13" s="113">
        <v>8.7142118307523761E-2</v>
      </c>
      <c r="I13" s="113">
        <v>8.7142118307523761E-2</v>
      </c>
      <c r="J13" s="4">
        <v>8.7142118307523761E-2</v>
      </c>
    </row>
    <row r="14" spans="1:10" x14ac:dyDescent="0.3">
      <c r="A14" s="25">
        <v>9</v>
      </c>
      <c r="B14" s="25">
        <v>1</v>
      </c>
      <c r="C14" s="458">
        <f ca="1">ROUND(OFFSET('Report &amp; Lookup Table'!$C$5,MATCH(SLRatioImport!A14,'Report &amp; Lookup Table'!$C$6:$C$42,0),MATCH(SLRatioImport!B14,'Report &amp; Lookup Table'!$D$5:$G$5,0)),4)</f>
        <v>0.10340000000000001</v>
      </c>
      <c r="E14" s="368">
        <v>11</v>
      </c>
      <c r="F14" s="113">
        <v>0.19403614509850112</v>
      </c>
      <c r="G14" s="113">
        <v>0.19403614509850112</v>
      </c>
      <c r="H14" s="113">
        <v>0.19403614509850112</v>
      </c>
      <c r="I14" s="113">
        <v>0.19403614509850112</v>
      </c>
      <c r="J14" s="4">
        <v>0.19403614509850112</v>
      </c>
    </row>
    <row r="15" spans="1:10" x14ac:dyDescent="0.3">
      <c r="A15" s="25">
        <v>9</v>
      </c>
      <c r="B15" s="25">
        <v>2</v>
      </c>
      <c r="C15" s="458">
        <f ca="1">ROUND(OFFSET('Report &amp; Lookup Table'!$C$5,MATCH(SLRatioImport!A15,'Report &amp; Lookup Table'!$C$6:$C$42,0),MATCH(SLRatioImport!B15,'Report &amp; Lookup Table'!$D$5:$G$5,0)),4)</f>
        <v>0.10340000000000001</v>
      </c>
      <c r="E15" s="368">
        <v>13</v>
      </c>
      <c r="F15" s="113">
        <v>0.54496072150226993</v>
      </c>
      <c r="G15" s="113">
        <v>0.54496072150226993</v>
      </c>
      <c r="H15" s="113">
        <v>0.54496072150226993</v>
      </c>
      <c r="I15" s="113">
        <v>0.54496072150226993</v>
      </c>
      <c r="J15" s="4">
        <v>0.54496072150226993</v>
      </c>
    </row>
    <row r="16" spans="1:10" x14ac:dyDescent="0.3">
      <c r="A16" s="25">
        <v>9</v>
      </c>
      <c r="B16" s="25">
        <v>3</v>
      </c>
      <c r="C16" s="458">
        <f ca="1">ROUND(OFFSET('Report &amp; Lookup Table'!$C$5,MATCH(SLRatioImport!A16,'Report &amp; Lookup Table'!$C$6:$C$42,0),MATCH(SLRatioImport!B16,'Report &amp; Lookup Table'!$D$5:$G$5,0)),4)</f>
        <v>0.10340000000000001</v>
      </c>
      <c r="E16" s="368">
        <v>14</v>
      </c>
      <c r="F16" s="113">
        <v>1.1812941443549432</v>
      </c>
      <c r="G16" s="113">
        <v>1.1812941443549432</v>
      </c>
      <c r="H16" s="113">
        <v>1.1812941443549432</v>
      </c>
      <c r="I16" s="113">
        <v>1.1812941443549432</v>
      </c>
      <c r="J16" s="4">
        <v>1.1812941443549432</v>
      </c>
    </row>
    <row r="17" spans="1:10" x14ac:dyDescent="0.3">
      <c r="A17" s="25">
        <v>10</v>
      </c>
      <c r="B17" s="25">
        <v>1</v>
      </c>
      <c r="C17" s="458">
        <f ca="1">ROUND(OFFSET('Report &amp; Lookup Table'!$C$5,MATCH(SLRatioImport!A17,'Report &amp; Lookup Table'!$C$6:$C$42,0),MATCH(SLRatioImport!B17,'Report &amp; Lookup Table'!$D$5:$G$5,0)),4)</f>
        <v>7.8600000000000003E-2</v>
      </c>
      <c r="E17" s="368">
        <v>15</v>
      </c>
      <c r="F17" s="113">
        <v>0.48769473889009962</v>
      </c>
      <c r="G17" s="113">
        <v>0.48769473889009962</v>
      </c>
      <c r="H17" s="113">
        <v>0.48769473889009962</v>
      </c>
      <c r="I17" s="113">
        <v>0.48769473889009962</v>
      </c>
      <c r="J17" s="4">
        <v>0.48769473889009962</v>
      </c>
    </row>
    <row r="18" spans="1:10" x14ac:dyDescent="0.3">
      <c r="A18" s="25">
        <v>10</v>
      </c>
      <c r="B18" s="25">
        <v>2</v>
      </c>
      <c r="C18" s="458">
        <f ca="1">ROUND(OFFSET('Report &amp; Lookup Table'!$C$5,MATCH(SLRatioImport!A18,'Report &amp; Lookup Table'!$C$6:$C$42,0),MATCH(SLRatioImport!B18,'Report &amp; Lookup Table'!$D$5:$G$5,0)),4)</f>
        <v>7.8600000000000003E-2</v>
      </c>
      <c r="E18" s="368">
        <v>16</v>
      </c>
      <c r="F18" s="113"/>
      <c r="G18" s="113">
        <v>1.0642345522078578</v>
      </c>
      <c r="H18" s="113">
        <v>0.57226205993731771</v>
      </c>
      <c r="I18" s="113"/>
      <c r="J18" s="4">
        <v>0.81824830607258781</v>
      </c>
    </row>
    <row r="19" spans="1:10" x14ac:dyDescent="0.3">
      <c r="A19" s="25">
        <v>10</v>
      </c>
      <c r="B19" s="25">
        <v>3</v>
      </c>
      <c r="C19" s="458">
        <f ca="1">ROUND(OFFSET('Report &amp; Lookup Table'!$C$5,MATCH(SLRatioImport!A19,'Report &amp; Lookup Table'!$C$6:$C$42,0),MATCH(SLRatioImport!B19,'Report &amp; Lookup Table'!$D$5:$G$5,0)),4)</f>
        <v>7.8600000000000003E-2</v>
      </c>
      <c r="E19" s="368">
        <v>17</v>
      </c>
      <c r="F19" s="113">
        <v>2.2573138377198969</v>
      </c>
      <c r="G19" s="113">
        <v>0.17380358372775417</v>
      </c>
      <c r="H19" s="113">
        <v>0.22898059720909528</v>
      </c>
      <c r="I19" s="113">
        <v>2.2573138377198969</v>
      </c>
      <c r="J19" s="4">
        <v>1.2293529640941609</v>
      </c>
    </row>
    <row r="20" spans="1:10" x14ac:dyDescent="0.3">
      <c r="A20" s="25">
        <v>11</v>
      </c>
      <c r="B20" s="25">
        <v>1</v>
      </c>
      <c r="C20" s="458">
        <f ca="1">ROUND(OFFSET('Report &amp; Lookup Table'!$C$5,MATCH(SLRatioImport!A20,'Report &amp; Lookup Table'!$C$6:$C$42,0),MATCH(SLRatioImport!B20,'Report &amp; Lookup Table'!$D$5:$G$5,0)),4)</f>
        <v>0.2069</v>
      </c>
      <c r="E20" s="368">
        <v>18</v>
      </c>
      <c r="F20" s="113"/>
      <c r="G20" s="113">
        <v>0.5544065089121516</v>
      </c>
      <c r="H20" s="113">
        <v>0.54446925496751697</v>
      </c>
      <c r="I20" s="113"/>
      <c r="J20" s="4">
        <v>0.54943788193983423</v>
      </c>
    </row>
    <row r="21" spans="1:10" x14ac:dyDescent="0.3">
      <c r="A21" s="25">
        <v>11</v>
      </c>
      <c r="B21" s="25">
        <v>2</v>
      </c>
      <c r="C21" s="458">
        <f ca="1">ROUND(OFFSET('Report &amp; Lookup Table'!$C$5,MATCH(SLRatioImport!A21,'Report &amp; Lookup Table'!$C$6:$C$42,0),MATCH(SLRatioImport!B21,'Report &amp; Lookup Table'!$D$5:$G$5,0)),4)</f>
        <v>0.2069</v>
      </c>
      <c r="E21" s="368">
        <v>20</v>
      </c>
      <c r="F21" s="113"/>
      <c r="G21" s="113">
        <v>1.0539072308689836</v>
      </c>
      <c r="H21" s="113">
        <v>1.1880722082413424</v>
      </c>
      <c r="I21" s="113"/>
      <c r="J21" s="4">
        <v>1.120989719555163</v>
      </c>
    </row>
    <row r="22" spans="1:10" x14ac:dyDescent="0.3">
      <c r="A22" s="25">
        <v>11</v>
      </c>
      <c r="B22" s="25">
        <v>3</v>
      </c>
      <c r="C22" s="458">
        <f ca="1">ROUND(OFFSET('Report &amp; Lookup Table'!$C$5,MATCH(SLRatioImport!A22,'Report &amp; Lookup Table'!$C$6:$C$42,0),MATCH(SLRatioImport!B22,'Report &amp; Lookup Table'!$D$5:$G$5,0)),4)</f>
        <v>0.2069</v>
      </c>
      <c r="E22" s="368">
        <v>21</v>
      </c>
      <c r="F22" s="113"/>
      <c r="G22" s="113">
        <v>0.17211699550781648</v>
      </c>
      <c r="H22" s="113">
        <v>0.47538619596838116</v>
      </c>
      <c r="I22" s="113"/>
      <c r="J22" s="4">
        <v>0.32375159573809881</v>
      </c>
    </row>
    <row r="23" spans="1:10" x14ac:dyDescent="0.3">
      <c r="A23" s="25">
        <v>13</v>
      </c>
      <c r="B23" s="25">
        <v>1</v>
      </c>
      <c r="C23" s="458">
        <f ca="1">ROUND(OFFSET('Report &amp; Lookup Table'!$C$5,MATCH(SLRatioImport!A23,'Report &amp; Lookup Table'!$C$6:$C$42,0),MATCH(SLRatioImport!B23,'Report &amp; Lookup Table'!$D$5:$G$5,0)),4)</f>
        <v>0.59150000000000003</v>
      </c>
      <c r="E23" s="368">
        <v>22</v>
      </c>
      <c r="F23" s="113"/>
      <c r="G23" s="113">
        <v>0.35129510652655571</v>
      </c>
      <c r="H23" s="113">
        <v>0.49830391910276345</v>
      </c>
      <c r="I23" s="113"/>
      <c r="J23" s="4">
        <v>0.42479951281465955</v>
      </c>
    </row>
    <row r="24" spans="1:10" x14ac:dyDescent="0.3">
      <c r="A24" s="25">
        <v>13</v>
      </c>
      <c r="B24" s="25">
        <v>2</v>
      </c>
      <c r="C24" s="458">
        <f ca="1">ROUND(OFFSET('Report &amp; Lookup Table'!$C$5,MATCH(SLRatioImport!A24,'Report &amp; Lookup Table'!$C$6:$C$42,0),MATCH(SLRatioImport!B24,'Report &amp; Lookup Table'!$D$5:$G$5,0)),4)</f>
        <v>0.59150000000000003</v>
      </c>
      <c r="E24" s="368">
        <v>26</v>
      </c>
      <c r="F24" s="113"/>
      <c r="G24" s="113">
        <v>4.4749999999999996</v>
      </c>
      <c r="H24" s="113">
        <v>4.6820000000000004</v>
      </c>
      <c r="I24" s="113"/>
      <c r="J24" s="4">
        <v>4.5785</v>
      </c>
    </row>
    <row r="25" spans="1:10" x14ac:dyDescent="0.3">
      <c r="A25" s="25">
        <v>13</v>
      </c>
      <c r="B25" s="25">
        <v>3</v>
      </c>
      <c r="C25" s="458">
        <f ca="1">ROUND(OFFSET('Report &amp; Lookup Table'!$C$5,MATCH(SLRatioImport!A25,'Report &amp; Lookup Table'!$C$6:$C$42,0),MATCH(SLRatioImport!B25,'Report &amp; Lookup Table'!$D$5:$G$5,0)),4)</f>
        <v>0.59150000000000003</v>
      </c>
      <c r="E25" s="368">
        <v>27</v>
      </c>
      <c r="F25" s="113"/>
      <c r="G25" s="113">
        <v>1.5768598598990335</v>
      </c>
      <c r="H25" s="113">
        <v>2.1059430128285266</v>
      </c>
      <c r="I25" s="113"/>
      <c r="J25" s="4">
        <v>1.8414014363637801</v>
      </c>
    </row>
    <row r="26" spans="1:10" x14ac:dyDescent="0.3">
      <c r="A26" s="25">
        <v>14</v>
      </c>
      <c r="B26" s="25">
        <v>1</v>
      </c>
      <c r="C26" s="458">
        <f ca="1">ROUND(OFFSET('Report &amp; Lookup Table'!$C$5,MATCH(SLRatioImport!A26,'Report &amp; Lookup Table'!$C$6:$C$42,0),MATCH(SLRatioImport!B26,'Report &amp; Lookup Table'!$D$5:$G$5,0)),4)</f>
        <v>1.0841000000000001</v>
      </c>
      <c r="E26" s="368">
        <v>30</v>
      </c>
      <c r="F26" s="113">
        <v>0.47399999999999998</v>
      </c>
      <c r="G26" s="113">
        <v>1.0860000000000001</v>
      </c>
      <c r="H26" s="113">
        <v>1.0860000000000001</v>
      </c>
      <c r="I26" s="113">
        <v>0.47399999999999998</v>
      </c>
      <c r="J26" s="4">
        <v>0.78</v>
      </c>
    </row>
    <row r="27" spans="1:10" x14ac:dyDescent="0.3">
      <c r="A27" s="25">
        <v>14</v>
      </c>
      <c r="B27" s="25">
        <v>2</v>
      </c>
      <c r="C27" s="458">
        <f ca="1">ROUND(OFFSET('Report &amp; Lookup Table'!$C$5,MATCH(SLRatioImport!A27,'Report &amp; Lookup Table'!$C$6:$C$42,0),MATCH(SLRatioImport!B27,'Report &amp; Lookup Table'!$D$5:$G$5,0)),4)</f>
        <v>1.0841000000000001</v>
      </c>
      <c r="E27" s="368">
        <v>31</v>
      </c>
      <c r="F27" s="113"/>
      <c r="G27" s="113">
        <v>0.58299999999999996</v>
      </c>
      <c r="H27" s="113">
        <v>0.68899999999999995</v>
      </c>
      <c r="I27" s="113"/>
      <c r="J27" s="4">
        <v>0.6359999999999999</v>
      </c>
    </row>
    <row r="28" spans="1:10" x14ac:dyDescent="0.3">
      <c r="A28" s="25">
        <v>14</v>
      </c>
      <c r="B28" s="25">
        <v>3</v>
      </c>
      <c r="C28" s="458">
        <f ca="1">ROUND(OFFSET('Report &amp; Lookup Table'!$C$5,MATCH(SLRatioImport!A28,'Report &amp; Lookup Table'!$C$6:$C$42,0),MATCH(SLRatioImport!B28,'Report &amp; Lookup Table'!$D$5:$G$5,0)),4)</f>
        <v>1.0841000000000001</v>
      </c>
      <c r="E28" s="368">
        <v>32</v>
      </c>
      <c r="F28" s="113"/>
      <c r="G28" s="113">
        <v>1.0860000000000001</v>
      </c>
      <c r="H28" s="113">
        <v>1.0860000000000001</v>
      </c>
      <c r="I28" s="113"/>
      <c r="J28" s="4">
        <v>1.0860000000000001</v>
      </c>
    </row>
    <row r="29" spans="1:10" x14ac:dyDescent="0.3">
      <c r="A29" s="25">
        <v>15</v>
      </c>
      <c r="B29" s="25">
        <v>1</v>
      </c>
      <c r="C29" s="458">
        <f ca="1">ROUND(OFFSET('Report &amp; Lookup Table'!$C$5,MATCH(SLRatioImport!A29,'Report &amp; Lookup Table'!$C$6:$C$42,0),MATCH(SLRatioImport!B29,'Report &amp; Lookup Table'!$D$5:$G$5,0)),4)</f>
        <v>0.42820000000000003</v>
      </c>
      <c r="E29" s="368">
        <v>33</v>
      </c>
      <c r="F29" s="113"/>
      <c r="G29" s="113">
        <v>0.58299999999999996</v>
      </c>
      <c r="H29" s="113">
        <v>0.68899999999999995</v>
      </c>
      <c r="I29" s="113"/>
      <c r="J29" s="4">
        <v>0.6359999999999999</v>
      </c>
    </row>
    <row r="30" spans="1:10" x14ac:dyDescent="0.3">
      <c r="A30" s="25">
        <v>15</v>
      </c>
      <c r="B30" s="25">
        <v>2</v>
      </c>
      <c r="C30" s="458">
        <f ca="1">ROUND(OFFSET('Report &amp; Lookup Table'!$C$5,MATCH(SLRatioImport!A30,'Report &amp; Lookup Table'!$C$6:$C$42,0),MATCH(SLRatioImport!B30,'Report &amp; Lookup Table'!$D$5:$G$5,0)),4)</f>
        <v>0.42820000000000003</v>
      </c>
      <c r="E30" s="368">
        <v>34</v>
      </c>
      <c r="F30" s="113"/>
      <c r="G30" s="113">
        <v>0.36799999999999999</v>
      </c>
      <c r="H30" s="113">
        <v>0.6</v>
      </c>
      <c r="I30" s="113"/>
      <c r="J30" s="4">
        <v>0.48399999999999999</v>
      </c>
    </row>
    <row r="31" spans="1:10" x14ac:dyDescent="0.3">
      <c r="A31" s="25">
        <v>15</v>
      </c>
      <c r="B31" s="25">
        <v>3</v>
      </c>
      <c r="C31" s="458">
        <f ca="1">ROUND(OFFSET('Report &amp; Lookup Table'!$C$5,MATCH(SLRatioImport!A31,'Report &amp; Lookup Table'!$C$6:$C$42,0),MATCH(SLRatioImport!B31,'Report &amp; Lookup Table'!$D$5:$G$5,0)),4)</f>
        <v>0.42820000000000003</v>
      </c>
      <c r="E31" s="368">
        <v>35</v>
      </c>
      <c r="F31" s="113">
        <v>0.92</v>
      </c>
      <c r="G31" s="113">
        <v>0.61</v>
      </c>
      <c r="H31" s="113">
        <v>0.495</v>
      </c>
      <c r="I31" s="113">
        <v>0.92</v>
      </c>
      <c r="J31" s="4">
        <v>0.73624999999999996</v>
      </c>
    </row>
    <row r="32" spans="1:10" x14ac:dyDescent="0.3">
      <c r="A32" s="25">
        <v>16</v>
      </c>
      <c r="B32" s="25">
        <v>2</v>
      </c>
      <c r="C32" s="458">
        <f ca="1">ROUND(OFFSET('Report &amp; Lookup Table'!$C$5,MATCH(SLRatioImport!A32,'Report &amp; Lookup Table'!$C$6:$C$42,0),MATCH(SLRatioImport!B32,'Report &amp; Lookup Table'!$D$5:$G$5,0)),4)</f>
        <v>1.0642</v>
      </c>
      <c r="E32" s="368">
        <v>36</v>
      </c>
      <c r="F32" s="113">
        <v>0.76059101173570864</v>
      </c>
      <c r="G32" s="113"/>
      <c r="H32" s="113">
        <v>0.74431430254278075</v>
      </c>
      <c r="I32" s="113">
        <v>0.76059101173570864</v>
      </c>
      <c r="J32" s="4">
        <v>0.75516544200473268</v>
      </c>
    </row>
    <row r="33" spans="1:10" x14ac:dyDescent="0.3">
      <c r="A33" s="25">
        <v>16</v>
      </c>
      <c r="B33" s="25">
        <v>3</v>
      </c>
      <c r="C33" s="458">
        <f ca="1">ROUND(OFFSET('Report &amp; Lookup Table'!$C$5,MATCH(SLRatioImport!A33,'Report &amp; Lookup Table'!$C$6:$C$42,0),MATCH(SLRatioImport!B33,'Report &amp; Lookup Table'!$D$5:$G$5,0)),4)</f>
        <v>0.57230000000000003</v>
      </c>
      <c r="E33" s="368">
        <v>42</v>
      </c>
      <c r="F33" s="113">
        <v>2.2573138377198969</v>
      </c>
      <c r="G33" s="113"/>
      <c r="H33" s="113">
        <v>1.038544401976178</v>
      </c>
      <c r="I33" s="113">
        <v>2.2573138377198969</v>
      </c>
      <c r="J33" s="4">
        <v>1.8510573591386574</v>
      </c>
    </row>
    <row r="34" spans="1:10" x14ac:dyDescent="0.3">
      <c r="A34" s="25">
        <v>17</v>
      </c>
      <c r="B34" s="25">
        <v>1</v>
      </c>
      <c r="C34" s="458">
        <f ca="1">ROUND(OFFSET('Report &amp; Lookup Table'!$C$5,MATCH(SLRatioImport!A34,'Report &amp; Lookup Table'!$C$6:$C$42,0),MATCH(SLRatioImport!B34,'Report &amp; Lookup Table'!$D$5:$G$5,0)),4)</f>
        <v>2.1848000000000001</v>
      </c>
      <c r="E34" s="368">
        <v>45</v>
      </c>
      <c r="F34" s="113">
        <v>3.8671592834551625</v>
      </c>
      <c r="G34" s="113"/>
      <c r="H34" s="113"/>
      <c r="I34" s="113">
        <v>3.8671592834551625</v>
      </c>
      <c r="J34" s="4">
        <v>3.8671592834551625</v>
      </c>
    </row>
    <row r="35" spans="1:10" x14ac:dyDescent="0.3">
      <c r="A35" s="25">
        <v>17</v>
      </c>
      <c r="B35" s="25">
        <v>2</v>
      </c>
      <c r="C35" s="458">
        <f ca="1">ROUND(OFFSET('Report &amp; Lookup Table'!$C$5,MATCH(SLRatioImport!A35,'Report &amp; Lookup Table'!$C$6:$C$42,0),MATCH(SLRatioImport!B35,'Report &amp; Lookup Table'!$D$5:$G$5,0)),4)</f>
        <v>0.17380000000000001</v>
      </c>
      <c r="E35" s="368">
        <v>53</v>
      </c>
      <c r="F35" s="113">
        <v>2.9579309448705011</v>
      </c>
      <c r="G35" s="113"/>
      <c r="H35" s="113">
        <v>0.64247253727987885</v>
      </c>
      <c r="I35" s="113">
        <v>2.9579309448705011</v>
      </c>
      <c r="J35" s="4">
        <v>2.1861114756736271</v>
      </c>
    </row>
    <row r="36" spans="1:10" x14ac:dyDescent="0.3">
      <c r="A36" s="25">
        <v>17</v>
      </c>
      <c r="B36" s="25">
        <v>3</v>
      </c>
      <c r="C36" s="458">
        <f ca="1">ROUND(OFFSET('Report &amp; Lookup Table'!$C$5,MATCH(SLRatioImport!A36,'Report &amp; Lookup Table'!$C$6:$C$42,0),MATCH(SLRatioImport!B36,'Report &amp; Lookup Table'!$D$5:$G$5,0)),4)</f>
        <v>0.22900000000000001</v>
      </c>
      <c r="E36" s="368">
        <v>54</v>
      </c>
      <c r="F36" s="113">
        <v>1.3618894728725106</v>
      </c>
      <c r="G36" s="113"/>
      <c r="H36" s="113">
        <v>0.33962412988943758</v>
      </c>
      <c r="I36" s="113">
        <v>1.3618894728725106</v>
      </c>
      <c r="J36" s="4">
        <v>1.0211343585448196</v>
      </c>
    </row>
    <row r="37" spans="1:10" x14ac:dyDescent="0.3">
      <c r="A37" s="25">
        <v>18</v>
      </c>
      <c r="B37" s="25">
        <v>2</v>
      </c>
      <c r="C37" s="458">
        <f ca="1">ROUND(OFFSET('Report &amp; Lookup Table'!$C$5,MATCH(SLRatioImport!A37,'Report &amp; Lookup Table'!$C$6:$C$42,0),MATCH(SLRatioImport!B37,'Report &amp; Lookup Table'!$D$5:$G$5,0)),4)</f>
        <v>0.32079999999999997</v>
      </c>
      <c r="E37" s="368">
        <v>56</v>
      </c>
      <c r="F37" s="113">
        <v>8.4984472214301707</v>
      </c>
      <c r="G37" s="113"/>
      <c r="H37" s="113">
        <v>1.0718828401659546</v>
      </c>
      <c r="I37" s="113">
        <v>8.4984472214301707</v>
      </c>
      <c r="J37" s="4">
        <v>6.0229257610087652</v>
      </c>
    </row>
    <row r="38" spans="1:10" x14ac:dyDescent="0.3">
      <c r="A38" s="25">
        <v>18</v>
      </c>
      <c r="B38" s="25">
        <v>3</v>
      </c>
      <c r="C38" s="458">
        <f ca="1">ROUND(OFFSET('Report &amp; Lookup Table'!$C$5,MATCH(SLRatioImport!A38,'Report &amp; Lookup Table'!$C$6:$C$42,0),MATCH(SLRatioImport!B38,'Report &amp; Lookup Table'!$D$5:$G$5,0)),4)</f>
        <v>1.1667000000000001</v>
      </c>
      <c r="E38" s="368">
        <v>57</v>
      </c>
      <c r="F38" s="113">
        <v>3.0216036504219996</v>
      </c>
      <c r="G38" s="113">
        <v>0.68818907742398128</v>
      </c>
      <c r="H38" s="113">
        <v>0.68818907742398128</v>
      </c>
      <c r="I38" s="113">
        <v>3.0216036504219996</v>
      </c>
      <c r="J38" s="4">
        <v>1.8548963639229905</v>
      </c>
    </row>
    <row r="39" spans="1:10" x14ac:dyDescent="0.3">
      <c r="A39" s="25">
        <v>20</v>
      </c>
      <c r="B39" s="25">
        <v>2</v>
      </c>
      <c r="C39" s="458">
        <f ca="1">ROUND(OFFSET('Report &amp; Lookup Table'!$C$5,MATCH(SLRatioImport!A39,'Report &amp; Lookup Table'!$C$6:$C$42,0),MATCH(SLRatioImport!B39,'Report &amp; Lookup Table'!$D$5:$G$5,0)),4)</f>
        <v>1.0539000000000001</v>
      </c>
      <c r="E39" s="368">
        <v>64</v>
      </c>
      <c r="F39" s="113">
        <v>1.0864594992891357</v>
      </c>
      <c r="G39" s="113"/>
      <c r="H39" s="113">
        <v>1.7110805925469492</v>
      </c>
      <c r="I39" s="113">
        <v>1.0864594992891357</v>
      </c>
      <c r="J39" s="4">
        <v>1.2946665303750737</v>
      </c>
    </row>
    <row r="40" spans="1:10" x14ac:dyDescent="0.3">
      <c r="A40" s="25">
        <v>20</v>
      </c>
      <c r="B40" s="25">
        <v>3</v>
      </c>
      <c r="C40" s="458">
        <f ca="1">ROUND(OFFSET('Report &amp; Lookup Table'!$C$5,MATCH(SLRatioImport!A40,'Report &amp; Lookup Table'!$C$6:$C$42,0),MATCH(SLRatioImport!B40,'Report &amp; Lookup Table'!$D$5:$G$5,0)),4)</f>
        <v>1.1880999999999999</v>
      </c>
      <c r="E40" s="368">
        <v>67</v>
      </c>
      <c r="F40" s="113">
        <v>8.2866666666666653</v>
      </c>
      <c r="G40" s="113">
        <v>0.32916640681085885</v>
      </c>
      <c r="H40" s="113">
        <v>0.32916640681085885</v>
      </c>
      <c r="I40" s="113">
        <v>8.2866666666666653</v>
      </c>
      <c r="J40" s="4">
        <v>4.3079165367387624</v>
      </c>
    </row>
    <row r="41" spans="1:10" x14ac:dyDescent="0.3">
      <c r="A41" s="25">
        <v>21</v>
      </c>
      <c r="B41" s="25">
        <v>2</v>
      </c>
      <c r="C41" s="458">
        <f ca="1">ROUND(OFFSET('Report &amp; Lookup Table'!$C$5,MATCH(SLRatioImport!A41,'Report &amp; Lookup Table'!$C$6:$C$42,0),MATCH(SLRatioImport!B41,'Report &amp; Lookup Table'!$D$5:$G$5,0)),4)</f>
        <v>0.1721</v>
      </c>
      <c r="E41" s="368" t="s">
        <v>12</v>
      </c>
      <c r="F41" s="113">
        <v>1.8685499287576779</v>
      </c>
      <c r="G41" s="113">
        <v>0.72980609598458313</v>
      </c>
      <c r="H41" s="113">
        <v>0.80631821337485643</v>
      </c>
      <c r="I41" s="113">
        <v>1.8685499287576779</v>
      </c>
      <c r="J41" s="4">
        <v>1.242041979816914</v>
      </c>
    </row>
    <row r="42" spans="1:10" x14ac:dyDescent="0.3">
      <c r="A42" s="25">
        <v>21</v>
      </c>
      <c r="B42" s="25">
        <v>3</v>
      </c>
      <c r="C42" s="458">
        <f ca="1">ROUND(OFFSET('Report &amp; Lookup Table'!$C$5,MATCH(SLRatioImport!A42,'Report &amp; Lookup Table'!$C$6:$C$42,0),MATCH(SLRatioImport!B42,'Report &amp; Lookup Table'!$D$5:$G$5,0)),4)</f>
        <v>0.47539999999999999</v>
      </c>
    </row>
    <row r="43" spans="1:10" x14ac:dyDescent="0.3">
      <c r="A43" s="25">
        <v>22</v>
      </c>
      <c r="B43" s="25">
        <v>2</v>
      </c>
      <c r="C43" s="458">
        <f ca="1">ROUND(OFFSET('Report &amp; Lookup Table'!$C$5,MATCH(SLRatioImport!A43,'Report &amp; Lookup Table'!$C$6:$C$42,0),MATCH(SLRatioImport!B43,'Report &amp; Lookup Table'!$D$5:$G$5,0)),4)</f>
        <v>0.31590000000000001</v>
      </c>
    </row>
    <row r="44" spans="1:10" x14ac:dyDescent="0.3">
      <c r="A44" s="25">
        <v>22</v>
      </c>
      <c r="B44" s="25">
        <v>3</v>
      </c>
      <c r="C44" s="458">
        <f ca="1">ROUND(OFFSET('Report &amp; Lookup Table'!$C$5,MATCH(SLRatioImport!A44,'Report &amp; Lookup Table'!$C$6:$C$42,0),MATCH(SLRatioImport!B44,'Report &amp; Lookup Table'!$D$5:$G$5,0)),4)</f>
        <v>0.74009999999999998</v>
      </c>
    </row>
    <row r="45" spans="1:10" x14ac:dyDescent="0.3">
      <c r="A45" s="25">
        <v>26</v>
      </c>
      <c r="B45" s="25">
        <v>2</v>
      </c>
      <c r="C45" s="458">
        <f ca="1">ROUND(OFFSET('Report &amp; Lookup Table'!$C$5,MATCH(SLRatioImport!A45,'Report &amp; Lookup Table'!$C$6:$C$42,0),MATCH(SLRatioImport!B45,'Report &amp; Lookup Table'!$D$5:$G$5,0)),4)</f>
        <v>4.4749999999999996</v>
      </c>
    </row>
    <row r="46" spans="1:10" x14ac:dyDescent="0.3">
      <c r="A46" s="25">
        <v>26</v>
      </c>
      <c r="B46" s="25">
        <v>3</v>
      </c>
      <c r="C46" s="458">
        <f ca="1">ROUND(OFFSET('Report &amp; Lookup Table'!$C$5,MATCH(SLRatioImport!A46,'Report &amp; Lookup Table'!$C$6:$C$42,0),MATCH(SLRatioImport!B46,'Report &amp; Lookup Table'!$D$5:$G$5,0)),4)</f>
        <v>4.6820000000000004</v>
      </c>
    </row>
    <row r="47" spans="1:10" x14ac:dyDescent="0.3">
      <c r="A47" s="25">
        <v>27</v>
      </c>
      <c r="B47" s="25">
        <v>2</v>
      </c>
      <c r="C47" s="458">
        <f ca="1">ROUND(OFFSET('Report &amp; Lookup Table'!$C$5,MATCH(SLRatioImport!A47,'Report &amp; Lookup Table'!$C$6:$C$42,0),MATCH(SLRatioImport!B47,'Report &amp; Lookup Table'!$D$5:$G$5,0)),4)</f>
        <v>1.8152999999999999</v>
      </c>
    </row>
    <row r="48" spans="1:10" x14ac:dyDescent="0.3">
      <c r="A48" s="25">
        <v>27</v>
      </c>
      <c r="B48" s="25">
        <v>3</v>
      </c>
      <c r="C48" s="458">
        <f ca="1">ROUND(OFFSET('Report &amp; Lookup Table'!$C$5,MATCH(SLRatioImport!A48,'Report &amp; Lookup Table'!$C$6:$C$42,0),MATCH(SLRatioImport!B48,'Report &amp; Lookup Table'!$D$5:$G$5,0)),4)</f>
        <v>2.3555000000000001</v>
      </c>
    </row>
    <row r="49" spans="1:3" x14ac:dyDescent="0.3">
      <c r="A49" s="25">
        <v>30</v>
      </c>
      <c r="B49" s="25">
        <v>1</v>
      </c>
      <c r="C49" s="458">
        <f ca="1">ROUND(OFFSET('Report &amp; Lookup Table'!$C$5,MATCH(SLRatioImport!A49,'Report &amp; Lookup Table'!$C$6:$C$42,0),MATCH(SLRatioImport!B49,'Report &amp; Lookup Table'!$D$5:$G$5,0)),4)</f>
        <v>0.47399999999999998</v>
      </c>
    </row>
    <row r="50" spans="1:3" x14ac:dyDescent="0.3">
      <c r="A50" s="25">
        <v>30</v>
      </c>
      <c r="B50" s="25">
        <v>2</v>
      </c>
      <c r="C50" s="458">
        <f ca="1">ROUND(OFFSET('Report &amp; Lookup Table'!$C$5,MATCH(SLRatioImport!A50,'Report &amp; Lookup Table'!$C$6:$C$42,0),MATCH(SLRatioImport!B50,'Report &amp; Lookup Table'!$D$5:$G$5,0)),4)</f>
        <v>1.0860000000000001</v>
      </c>
    </row>
    <row r="51" spans="1:3" x14ac:dyDescent="0.3">
      <c r="A51" s="25">
        <v>30</v>
      </c>
      <c r="B51" s="25">
        <v>3</v>
      </c>
      <c r="C51" s="458">
        <f ca="1">ROUND(OFFSET('Report &amp; Lookup Table'!$C$5,MATCH(SLRatioImport!A51,'Report &amp; Lookup Table'!$C$6:$C$42,0),MATCH(SLRatioImport!B51,'Report &amp; Lookup Table'!$D$5:$G$5,0)),4)</f>
        <v>1.0860000000000001</v>
      </c>
    </row>
    <row r="52" spans="1:3" x14ac:dyDescent="0.3">
      <c r="A52" s="25">
        <v>31</v>
      </c>
      <c r="B52" s="25">
        <v>1</v>
      </c>
      <c r="C52" s="458">
        <f ca="1">ROUND(OFFSET('Report &amp; Lookup Table'!$C$5,MATCH(SLRatioImport!A52,'Report &amp; Lookup Table'!$C$6:$C$42,0),MATCH(SLRatioImport!B52,'Report &amp; Lookup Table'!$D$5:$G$5,0)),4)</f>
        <v>0.92</v>
      </c>
    </row>
    <row r="53" spans="1:3" x14ac:dyDescent="0.3">
      <c r="A53" s="25">
        <v>31</v>
      </c>
      <c r="B53" s="25">
        <v>2</v>
      </c>
      <c r="C53" s="458">
        <f ca="1">ROUND(OFFSET('Report &amp; Lookup Table'!$C$5,MATCH(SLRatioImport!A53,'Report &amp; Lookup Table'!$C$6:$C$42,0),MATCH(SLRatioImport!B53,'Report &amp; Lookup Table'!$D$5:$G$5,0)),4)</f>
        <v>0.58299999999999996</v>
      </c>
    </row>
    <row r="54" spans="1:3" x14ac:dyDescent="0.3">
      <c r="A54" s="25">
        <v>31</v>
      </c>
      <c r="B54" s="25">
        <v>3</v>
      </c>
      <c r="C54" s="458">
        <f ca="1">ROUND(OFFSET('Report &amp; Lookup Table'!$C$5,MATCH(SLRatioImport!A54,'Report &amp; Lookup Table'!$C$6:$C$42,0),MATCH(SLRatioImport!B54,'Report &amp; Lookup Table'!$D$5:$G$5,0)),4)</f>
        <v>0.68899999999999995</v>
      </c>
    </row>
    <row r="55" spans="1:3" x14ac:dyDescent="0.3">
      <c r="A55" s="25">
        <v>32</v>
      </c>
      <c r="B55" s="25">
        <v>1</v>
      </c>
      <c r="C55" s="458">
        <f ca="1">ROUND(OFFSET('Report &amp; Lookup Table'!$C$5,MATCH(SLRatioImport!A55,'Report &amp; Lookup Table'!$C$6:$C$42,0),MATCH(SLRatioImport!B55,'Report &amp; Lookup Table'!$D$5:$G$5,0)),4)</f>
        <v>0.47399999999999998</v>
      </c>
    </row>
    <row r="56" spans="1:3" x14ac:dyDescent="0.3">
      <c r="A56" s="25">
        <v>32</v>
      </c>
      <c r="B56" s="25">
        <v>2</v>
      </c>
      <c r="C56" s="458">
        <f ca="1">ROUND(OFFSET('Report &amp; Lookup Table'!$C$5,MATCH(SLRatioImport!A56,'Report &amp; Lookup Table'!$C$6:$C$42,0),MATCH(SLRatioImport!B56,'Report &amp; Lookup Table'!$D$5:$G$5,0)),4)</f>
        <v>1.0860000000000001</v>
      </c>
    </row>
    <row r="57" spans="1:3" x14ac:dyDescent="0.3">
      <c r="A57" s="25">
        <v>32</v>
      </c>
      <c r="B57" s="25">
        <v>3</v>
      </c>
      <c r="C57" s="458">
        <f ca="1">ROUND(OFFSET('Report &amp; Lookup Table'!$C$5,MATCH(SLRatioImport!A57,'Report &amp; Lookup Table'!$C$6:$C$42,0),MATCH(SLRatioImport!B57,'Report &amp; Lookup Table'!$D$5:$G$5,0)),4)</f>
        <v>1.0860000000000001</v>
      </c>
    </row>
    <row r="58" spans="1:3" x14ac:dyDescent="0.3">
      <c r="A58" s="25">
        <v>33</v>
      </c>
      <c r="B58" s="25">
        <v>1</v>
      </c>
      <c r="C58" s="458">
        <f ca="1">ROUND(OFFSET('Report &amp; Lookup Table'!$C$5,MATCH(SLRatioImport!A58,'Report &amp; Lookup Table'!$C$6:$C$42,0),MATCH(SLRatioImport!B58,'Report &amp; Lookup Table'!$D$5:$G$5,0)),4)</f>
        <v>0.92</v>
      </c>
    </row>
    <row r="59" spans="1:3" x14ac:dyDescent="0.3">
      <c r="A59" s="25">
        <v>33</v>
      </c>
      <c r="B59" s="25">
        <v>2</v>
      </c>
      <c r="C59" s="458">
        <f ca="1">ROUND(OFFSET('Report &amp; Lookup Table'!$C$5,MATCH(SLRatioImport!A59,'Report &amp; Lookup Table'!$C$6:$C$42,0),MATCH(SLRatioImport!B59,'Report &amp; Lookup Table'!$D$5:$G$5,0)),4)</f>
        <v>0.58299999999999996</v>
      </c>
    </row>
    <row r="60" spans="1:3" x14ac:dyDescent="0.3">
      <c r="A60" s="25">
        <v>33</v>
      </c>
      <c r="B60" s="25">
        <v>3</v>
      </c>
      <c r="C60" s="458">
        <f ca="1">ROUND(OFFSET('Report &amp; Lookup Table'!$C$5,MATCH(SLRatioImport!A60,'Report &amp; Lookup Table'!$C$6:$C$42,0),MATCH(SLRatioImport!B60,'Report &amp; Lookup Table'!$D$5:$G$5,0)),4)</f>
        <v>0.68899999999999995</v>
      </c>
    </row>
    <row r="61" spans="1:3" x14ac:dyDescent="0.3">
      <c r="A61" s="25">
        <v>34</v>
      </c>
      <c r="B61" s="25">
        <v>1</v>
      </c>
      <c r="C61" s="458">
        <f ca="1">ROUND(OFFSET('Report &amp; Lookup Table'!$C$5,MATCH(SLRatioImport!A61,'Report &amp; Lookup Table'!$C$6:$C$42,0),MATCH(SLRatioImport!B61,'Report &amp; Lookup Table'!$D$5:$G$5,0)),4)</f>
        <v>0.47399999999999998</v>
      </c>
    </row>
    <row r="62" spans="1:3" x14ac:dyDescent="0.3">
      <c r="A62" s="25">
        <v>34</v>
      </c>
      <c r="B62" s="25">
        <v>2</v>
      </c>
      <c r="C62" s="458">
        <f ca="1">ROUND(OFFSET('Report &amp; Lookup Table'!$C$5,MATCH(SLRatioImport!A62,'Report &amp; Lookup Table'!$C$6:$C$42,0),MATCH(SLRatioImport!B62,'Report &amp; Lookup Table'!$D$5:$G$5,0)),4)</f>
        <v>0.36799999999999999</v>
      </c>
    </row>
    <row r="63" spans="1:3" x14ac:dyDescent="0.3">
      <c r="A63" s="25">
        <v>34</v>
      </c>
      <c r="B63" s="25">
        <v>3</v>
      </c>
      <c r="C63" s="458">
        <f ca="1">ROUND(OFFSET('Report &amp; Lookup Table'!$C$5,MATCH(SLRatioImport!A63,'Report &amp; Lookup Table'!$C$6:$C$42,0),MATCH(SLRatioImport!B63,'Report &amp; Lookup Table'!$D$5:$G$5,0)),4)</f>
        <v>0.6</v>
      </c>
    </row>
    <row r="64" spans="1:3" x14ac:dyDescent="0.3">
      <c r="A64" s="25">
        <v>35</v>
      </c>
      <c r="B64" s="25">
        <v>1</v>
      </c>
      <c r="C64" s="458">
        <f ca="1">ROUND(OFFSET('Report &amp; Lookup Table'!$C$5,MATCH(SLRatioImport!A64,'Report &amp; Lookup Table'!$C$6:$C$42,0),MATCH(SLRatioImport!B64,'Report &amp; Lookup Table'!$D$5:$G$5,0)),4)</f>
        <v>0.92</v>
      </c>
    </row>
    <row r="65" spans="1:3" x14ac:dyDescent="0.3">
      <c r="A65" s="25">
        <v>35</v>
      </c>
      <c r="B65" s="25">
        <v>2</v>
      </c>
      <c r="C65" s="458">
        <f ca="1">ROUND(OFFSET('Report &amp; Lookup Table'!$C$5,MATCH(SLRatioImport!A65,'Report &amp; Lookup Table'!$C$6:$C$42,0),MATCH(SLRatioImport!B65,'Report &amp; Lookup Table'!$D$5:$G$5,0)),4)</f>
        <v>0.61</v>
      </c>
    </row>
    <row r="66" spans="1:3" x14ac:dyDescent="0.3">
      <c r="A66" s="25">
        <v>35</v>
      </c>
      <c r="B66" s="25">
        <v>3</v>
      </c>
      <c r="C66" s="458">
        <f ca="1">ROUND(OFFSET('Report &amp; Lookup Table'!$C$5,MATCH(SLRatioImport!A66,'Report &amp; Lookup Table'!$C$6:$C$42,0),MATCH(SLRatioImport!B66,'Report &amp; Lookup Table'!$D$5:$G$5,0)),4)</f>
        <v>0.495</v>
      </c>
    </row>
    <row r="67" spans="1:3" x14ac:dyDescent="0.3">
      <c r="A67" s="25">
        <v>36</v>
      </c>
      <c r="B67" s="25">
        <v>1</v>
      </c>
      <c r="C67" s="458">
        <f ca="1">ROUND(OFFSET('Report &amp; Lookup Table'!$C$5,MATCH(SLRatioImport!A67,'Report &amp; Lookup Table'!$C$6:$C$42,0),MATCH(SLRatioImport!B67,'Report &amp; Lookup Table'!$D$5:$G$5,0)),4)</f>
        <v>0.24640000000000001</v>
      </c>
    </row>
    <row r="68" spans="1:3" x14ac:dyDescent="0.3">
      <c r="A68" s="25">
        <v>36</v>
      </c>
      <c r="B68" s="25">
        <v>2</v>
      </c>
      <c r="C68" s="458">
        <f ca="1">ROUND(OFFSET('Report &amp; Lookup Table'!$C$5,MATCH(SLRatioImport!A68,'Report &amp; Lookup Table'!$C$6:$C$42,0),MATCH(SLRatioImport!B68,'Report &amp; Lookup Table'!$D$5:$G$5,0)),4)</f>
        <v>0.6855</v>
      </c>
    </row>
    <row r="69" spans="1:3" x14ac:dyDescent="0.3">
      <c r="A69" s="25">
        <v>36</v>
      </c>
      <c r="B69" s="25">
        <v>3</v>
      </c>
      <c r="C69" s="458">
        <f ca="1">ROUND(OFFSET('Report &amp; Lookup Table'!$C$5,MATCH(SLRatioImport!A69,'Report &amp; Lookup Table'!$C$6:$C$42,0),MATCH(SLRatioImport!B69,'Report &amp; Lookup Table'!$D$5:$G$5,0)),4)</f>
        <v>0.6855</v>
      </c>
    </row>
    <row r="70" spans="1:3" x14ac:dyDescent="0.3">
      <c r="A70" s="25">
        <v>41</v>
      </c>
      <c r="B70" s="25">
        <v>1</v>
      </c>
      <c r="C70" s="458">
        <f ca="1">ROUND(OFFSET('Report &amp; Lookup Table'!$C$5,MATCH(SLRatioImport!A70,'Report &amp; Lookup Table'!$C$6:$C$42,0),MATCH(SLRatioImport!B70,'Report &amp; Lookup Table'!$D$5:$G$5,0)),4)</f>
        <v>2.1848000000000001</v>
      </c>
    </row>
    <row r="71" spans="1:3" x14ac:dyDescent="0.3">
      <c r="A71" s="25">
        <v>41</v>
      </c>
      <c r="B71" s="25">
        <v>2</v>
      </c>
      <c r="C71" s="458">
        <f ca="1">ROUND(OFFSET('Report &amp; Lookup Table'!$C$5,MATCH(SLRatioImport!A71,'Report &amp; Lookup Table'!$C$6:$C$42,0),MATCH(SLRatioImport!B71,'Report &amp; Lookup Table'!$D$5:$G$5,0)),4)</f>
        <v>0.82579999999999998</v>
      </c>
    </row>
    <row r="72" spans="1:3" x14ac:dyDescent="0.3">
      <c r="A72" s="25">
        <v>41</v>
      </c>
      <c r="B72" s="25">
        <v>3</v>
      </c>
      <c r="C72" s="458">
        <f ca="1">ROUND(OFFSET('Report &amp; Lookup Table'!$C$5,MATCH(SLRatioImport!A72,'Report &amp; Lookup Table'!$C$6:$C$42,0),MATCH(SLRatioImport!B72,'Report &amp; Lookup Table'!$D$5:$G$5,0)),4)</f>
        <v>0.82579999999999998</v>
      </c>
    </row>
    <row r="73" spans="1:3" x14ac:dyDescent="0.3">
      <c r="A73" s="25">
        <v>42</v>
      </c>
      <c r="B73" s="25">
        <v>1</v>
      </c>
      <c r="C73" s="458">
        <f ca="1">ROUND(OFFSET('Report &amp; Lookup Table'!$C$5,MATCH(SLRatioImport!A73,'Report &amp; Lookup Table'!$C$6:$C$42,0),MATCH(SLRatioImport!B73,'Report &amp; Lookup Table'!$D$5:$G$5,0)),4)</f>
        <v>2.1848000000000001</v>
      </c>
    </row>
    <row r="74" spans="1:3" x14ac:dyDescent="0.3">
      <c r="A74" s="25">
        <v>42</v>
      </c>
      <c r="B74" s="25">
        <v>2</v>
      </c>
      <c r="C74" s="458">
        <f ca="1">ROUND(OFFSET('Report &amp; Lookup Table'!$C$5,MATCH(SLRatioImport!A74,'Report &amp; Lookup Table'!$C$6:$C$42,0),MATCH(SLRatioImport!B74,'Report &amp; Lookup Table'!$D$5:$G$5,0)),4)</f>
        <v>0.82579999999999998</v>
      </c>
    </row>
    <row r="75" spans="1:3" x14ac:dyDescent="0.3">
      <c r="A75" s="25">
        <v>42</v>
      </c>
      <c r="B75" s="25">
        <v>3</v>
      </c>
      <c r="C75" s="458">
        <f ca="1">ROUND(OFFSET('Report &amp; Lookup Table'!$C$5,MATCH(SLRatioImport!A75,'Report &amp; Lookup Table'!$C$6:$C$42,0),MATCH(SLRatioImport!B75,'Report &amp; Lookup Table'!$D$5:$G$5,0)),4)</f>
        <v>0.82579999999999998</v>
      </c>
    </row>
    <row r="76" spans="1:3" x14ac:dyDescent="0.3">
      <c r="A76" s="25">
        <v>45</v>
      </c>
      <c r="B76" s="25">
        <v>1</v>
      </c>
      <c r="C76" s="458">
        <f ca="1">ROUND(OFFSET('Report &amp; Lookup Table'!$C$5,MATCH(SLRatioImport!A76,'Report &amp; Lookup Table'!$C$6:$C$42,0),MATCH(SLRatioImport!B76,'Report &amp; Lookup Table'!$D$5:$G$5,0)),4)</f>
        <v>2.3938999999999999</v>
      </c>
    </row>
    <row r="77" spans="1:3" x14ac:dyDescent="0.3">
      <c r="A77" s="25">
        <v>45</v>
      </c>
      <c r="B77" s="25">
        <v>2</v>
      </c>
      <c r="C77" s="458">
        <f ca="1">ROUND(OFFSET('Report &amp; Lookup Table'!$C$5,MATCH(SLRatioImport!A77,'Report &amp; Lookup Table'!$C$6:$C$42,0),MATCH(SLRatioImport!B77,'Report &amp; Lookup Table'!$D$5:$G$5,0)),4)</f>
        <v>0.5212</v>
      </c>
    </row>
    <row r="78" spans="1:3" x14ac:dyDescent="0.3">
      <c r="A78" s="25">
        <v>45</v>
      </c>
      <c r="B78" s="25">
        <v>3</v>
      </c>
      <c r="C78" s="458">
        <f ca="1">ROUND(OFFSET('Report &amp; Lookup Table'!$C$5,MATCH(SLRatioImport!A78,'Report &amp; Lookup Table'!$C$6:$C$42,0),MATCH(SLRatioImport!B78,'Report &amp; Lookup Table'!$D$5:$G$5,0)),4)</f>
        <v>0.5212</v>
      </c>
    </row>
    <row r="79" spans="1:3" x14ac:dyDescent="0.3">
      <c r="A79" s="25">
        <v>48</v>
      </c>
      <c r="B79" s="25">
        <v>2</v>
      </c>
      <c r="C79" s="458">
        <f ca="1">ROUND(OFFSET('Report &amp; Lookup Table'!$C$5,MATCH(SLRatioImport!A79,'Report &amp; Lookup Table'!$C$6:$C$42,0),MATCH(SLRatioImport!B79,'Report &amp; Lookup Table'!$D$5:$G$5,0)),4)</f>
        <v>1.0128999999999999</v>
      </c>
    </row>
    <row r="80" spans="1:3" x14ac:dyDescent="0.3">
      <c r="A80" s="25">
        <v>48</v>
      </c>
      <c r="B80" s="25">
        <v>3</v>
      </c>
      <c r="C80" s="458">
        <f ca="1">ROUND(OFFSET('Report &amp; Lookup Table'!$C$5,MATCH(SLRatioImport!A80,'Report &amp; Lookup Table'!$C$6:$C$42,0),MATCH(SLRatioImport!B80,'Report &amp; Lookup Table'!$D$5:$G$5,0)),4)</f>
        <v>1.0128999999999999</v>
      </c>
    </row>
    <row r="81" spans="1:3" x14ac:dyDescent="0.3">
      <c r="A81" s="25">
        <v>53</v>
      </c>
      <c r="B81" s="25">
        <v>1</v>
      </c>
      <c r="C81" s="458">
        <f ca="1">ROUND(OFFSET('Report &amp; Lookup Table'!$C$5,MATCH(SLRatioImport!A81,'Report &amp; Lookup Table'!$C$6:$C$42,0),MATCH(SLRatioImport!B81,'Report &amp; Lookup Table'!$D$5:$G$5,0)),4)</f>
        <v>2.1821000000000002</v>
      </c>
    </row>
    <row r="82" spans="1:3" x14ac:dyDescent="0.3">
      <c r="A82" s="25">
        <v>53</v>
      </c>
      <c r="B82" s="25">
        <v>2</v>
      </c>
      <c r="C82" s="458">
        <f ca="1">ROUND(OFFSET('Report &amp; Lookup Table'!$C$5,MATCH(SLRatioImport!A82,'Report &amp; Lookup Table'!$C$6:$C$42,0),MATCH(SLRatioImport!B82,'Report &amp; Lookup Table'!$D$5:$G$5,0)),4)</f>
        <v>0.85870000000000002</v>
      </c>
    </row>
    <row r="83" spans="1:3" x14ac:dyDescent="0.3">
      <c r="A83" s="25">
        <v>53</v>
      </c>
      <c r="B83" s="25">
        <v>3</v>
      </c>
      <c r="C83" s="458">
        <f ca="1">ROUND(OFFSET('Report &amp; Lookup Table'!$C$5,MATCH(SLRatioImport!A83,'Report &amp; Lookup Table'!$C$6:$C$42,0),MATCH(SLRatioImport!B83,'Report &amp; Lookup Table'!$D$5:$G$5,0)),4)</f>
        <v>0.85870000000000002</v>
      </c>
    </row>
    <row r="84" spans="1:3" x14ac:dyDescent="0.3">
      <c r="A84" s="25">
        <v>54</v>
      </c>
      <c r="B84" s="25">
        <v>1</v>
      </c>
      <c r="C84" s="458">
        <f ca="1">ROUND(OFFSET('Report &amp; Lookup Table'!$C$5,MATCH(SLRatioImport!A84,'Report &amp; Lookup Table'!$C$6:$C$42,0),MATCH(SLRatioImport!B84,'Report &amp; Lookup Table'!$D$5:$G$5,0)),4)</f>
        <v>0.61399999999999999</v>
      </c>
    </row>
    <row r="85" spans="1:3" x14ac:dyDescent="0.3">
      <c r="A85" s="25">
        <v>54</v>
      </c>
      <c r="B85" s="25">
        <v>2</v>
      </c>
      <c r="C85" s="458">
        <f ca="1">ROUND(OFFSET('Report &amp; Lookup Table'!$C$5,MATCH(SLRatioImport!A85,'Report &amp; Lookup Table'!$C$6:$C$42,0),MATCH(SLRatioImport!B85,'Report &amp; Lookup Table'!$D$5:$G$5,0)),4)</f>
        <v>0.18360000000000001</v>
      </c>
    </row>
    <row r="86" spans="1:3" x14ac:dyDescent="0.3">
      <c r="A86" s="25">
        <v>54</v>
      </c>
      <c r="B86" s="25">
        <v>3</v>
      </c>
      <c r="C86" s="458">
        <f ca="1">ROUND(OFFSET('Report &amp; Lookup Table'!$C$5,MATCH(SLRatioImport!A86,'Report &amp; Lookup Table'!$C$6:$C$42,0),MATCH(SLRatioImport!B86,'Report &amp; Lookup Table'!$D$5:$G$5,0)),4)</f>
        <v>0.18360000000000001</v>
      </c>
    </row>
    <row r="87" spans="1:3" x14ac:dyDescent="0.3">
      <c r="A87" s="25">
        <v>56</v>
      </c>
      <c r="B87" s="25">
        <v>1</v>
      </c>
      <c r="C87" s="458">
        <f ca="1">ROUND(OFFSET('Report &amp; Lookup Table'!$C$5,MATCH(SLRatioImport!A87,'Report &amp; Lookup Table'!$C$6:$C$42,0),MATCH(SLRatioImport!B87,'Report &amp; Lookup Table'!$D$5:$G$5,0)),4)</f>
        <v>6.5561999999999996</v>
      </c>
    </row>
    <row r="88" spans="1:3" x14ac:dyDescent="0.3">
      <c r="A88" s="25">
        <v>56</v>
      </c>
      <c r="B88" s="25">
        <v>2</v>
      </c>
      <c r="C88" s="458">
        <f ca="1">ROUND(OFFSET('Report &amp; Lookup Table'!$C$5,MATCH(SLRatioImport!A88,'Report &amp; Lookup Table'!$C$6:$C$42,0),MATCH(SLRatioImport!B88,'Report &amp; Lookup Table'!$D$5:$G$5,0)),4)</f>
        <v>1.1722999999999999</v>
      </c>
    </row>
    <row r="89" spans="1:3" x14ac:dyDescent="0.3">
      <c r="A89" s="25">
        <v>56</v>
      </c>
      <c r="B89" s="25">
        <v>3</v>
      </c>
      <c r="C89" s="458">
        <f ca="1">ROUND(OFFSET('Report &amp; Lookup Table'!$C$5,MATCH(SLRatioImport!A89,'Report &amp; Lookup Table'!$C$6:$C$42,0),MATCH(SLRatioImport!B89,'Report &amp; Lookup Table'!$D$5:$G$5,0)),4)</f>
        <v>1.1722999999999999</v>
      </c>
    </row>
    <row r="90" spans="1:3" x14ac:dyDescent="0.3">
      <c r="A90" s="25">
        <v>57</v>
      </c>
      <c r="B90" s="25">
        <v>1</v>
      </c>
      <c r="C90" s="458">
        <f ca="1">ROUND(OFFSET('Report &amp; Lookup Table'!$C$5,MATCH(SLRatioImport!A90,'Report &amp; Lookup Table'!$C$6:$C$42,0),MATCH(SLRatioImport!B90,'Report &amp; Lookup Table'!$D$5:$G$5,0)),4)</f>
        <v>1.5309999999999999</v>
      </c>
    </row>
    <row r="91" spans="1:3" x14ac:dyDescent="0.3">
      <c r="A91" s="25">
        <v>57</v>
      </c>
      <c r="B91" s="25">
        <v>2</v>
      </c>
      <c r="C91" s="458">
        <f ca="1">ROUND(OFFSET('Report &amp; Lookup Table'!$C$5,MATCH(SLRatioImport!A91,'Report &amp; Lookup Table'!$C$6:$C$42,0),MATCH(SLRatioImport!B91,'Report &amp; Lookup Table'!$D$5:$G$5,0)),4)</f>
        <v>0.60609999999999997</v>
      </c>
    </row>
    <row r="92" spans="1:3" x14ac:dyDescent="0.3">
      <c r="A92" s="25">
        <v>57</v>
      </c>
      <c r="B92" s="25">
        <v>3</v>
      </c>
      <c r="C92" s="458">
        <f ca="1">ROUND(OFFSET('Report &amp; Lookup Table'!$C$5,MATCH(SLRatioImport!A92,'Report &amp; Lookup Table'!$C$6:$C$42,0),MATCH(SLRatioImport!B92,'Report &amp; Lookup Table'!$D$5:$G$5,0)),4)</f>
        <v>0.60609999999999997</v>
      </c>
    </row>
    <row r="93" spans="1:3" x14ac:dyDescent="0.3">
      <c r="A93" s="25">
        <v>60</v>
      </c>
      <c r="B93" s="25">
        <v>1</v>
      </c>
      <c r="C93" s="458">
        <f ca="1">ROUND(OFFSET('Report &amp; Lookup Table'!$C$5,MATCH(SLRatioImport!A93,'Report &amp; Lookup Table'!$C$6:$C$42,0),MATCH(SLRatioImport!B93,'Report &amp; Lookup Table'!$D$5:$G$5,0)),4)</f>
        <v>1.6939</v>
      </c>
    </row>
    <row r="94" spans="1:3" x14ac:dyDescent="0.3">
      <c r="A94" s="25">
        <v>60</v>
      </c>
      <c r="B94" s="25">
        <v>3</v>
      </c>
      <c r="C94" s="458">
        <f ca="1">ROUND(OFFSET('Report &amp; Lookup Table'!$C$5,MATCH(SLRatioImport!A94,'Report &amp; Lookup Table'!$C$6:$C$42,0),MATCH(SLRatioImport!B94,'Report &amp; Lookup Table'!$D$5:$G$5,0)),4)</f>
        <v>1.6939</v>
      </c>
    </row>
    <row r="95" spans="1:3" x14ac:dyDescent="0.3">
      <c r="A95" s="25">
        <v>62</v>
      </c>
      <c r="B95" s="25">
        <v>1</v>
      </c>
      <c r="C95" s="458">
        <f ca="1">ROUND(OFFSET('Report &amp; Lookup Table'!$C$5,MATCH(SLRatioImport!A95,'Report &amp; Lookup Table'!$C$6:$C$42,0),MATCH(SLRatioImport!B95,'Report &amp; Lookup Table'!$D$5:$G$5,0)),4)</f>
        <v>1.8045</v>
      </c>
    </row>
    <row r="96" spans="1:3" x14ac:dyDescent="0.3">
      <c r="A96" s="25">
        <v>62</v>
      </c>
      <c r="B96" s="25">
        <v>3</v>
      </c>
      <c r="C96" s="458">
        <f ca="1">ROUND(OFFSET('Report &amp; Lookup Table'!$C$5,MATCH(SLRatioImport!A96,'Report &amp; Lookup Table'!$C$6:$C$42,0),MATCH(SLRatioImport!B96,'Report &amp; Lookup Table'!$D$5:$G$5,0)),4)</f>
        <v>1.8045</v>
      </c>
    </row>
    <row r="97" spans="1:3" x14ac:dyDescent="0.3">
      <c r="A97" s="25">
        <v>64</v>
      </c>
      <c r="B97" s="25">
        <v>1</v>
      </c>
      <c r="C97" s="458">
        <f ca="1">ROUND(OFFSET('Report &amp; Lookup Table'!$C$5,MATCH(SLRatioImport!A97,'Report &amp; Lookup Table'!$C$6:$C$42,0),MATCH(SLRatioImport!B97,'Report &amp; Lookup Table'!$D$5:$G$5,0)),4)</f>
        <v>0.78520000000000001</v>
      </c>
    </row>
    <row r="98" spans="1:3" x14ac:dyDescent="0.3">
      <c r="A98" s="25">
        <v>64</v>
      </c>
      <c r="B98" s="25">
        <v>2</v>
      </c>
      <c r="C98" s="458">
        <f ca="1">ROUND(OFFSET('Report &amp; Lookup Table'!$C$5,MATCH(SLRatioImport!A98,'Report &amp; Lookup Table'!$C$6:$C$42,0),MATCH(SLRatioImport!B98,'Report &amp; Lookup Table'!$D$5:$G$5,0)),4)</f>
        <v>1.7111000000000001</v>
      </c>
    </row>
    <row r="99" spans="1:3" x14ac:dyDescent="0.3">
      <c r="A99" s="25">
        <v>64</v>
      </c>
      <c r="B99" s="25">
        <v>3</v>
      </c>
      <c r="C99" s="458">
        <f ca="1">ROUND(OFFSET('Report &amp; Lookup Table'!$C$5,MATCH(SLRatioImport!A99,'Report &amp; Lookup Table'!$C$6:$C$42,0),MATCH(SLRatioImport!B99,'Report &amp; Lookup Table'!$D$5:$G$5,0)),4)</f>
        <v>1.7111000000000001</v>
      </c>
    </row>
    <row r="100" spans="1:3" x14ac:dyDescent="0.3">
      <c r="A100" s="25">
        <v>67</v>
      </c>
      <c r="B100" s="25">
        <v>1</v>
      </c>
      <c r="C100" s="458">
        <f ca="1">ROUND(OFFSET('Report &amp; Lookup Table'!$C$5,MATCH(SLRatioImport!A100,'Report &amp; Lookup Table'!$C$6:$C$42,0),MATCH(SLRatioImport!B100,'Report &amp; Lookup Table'!$D$5:$G$5,0)),4)</f>
        <v>7.0514000000000001</v>
      </c>
    </row>
    <row r="101" spans="1:3" x14ac:dyDescent="0.3">
      <c r="A101" s="25">
        <v>67</v>
      </c>
      <c r="B101" s="25">
        <v>2</v>
      </c>
      <c r="C101" s="458">
        <f ca="1">ROUND(OFFSET('Report &amp; Lookup Table'!$C$5,MATCH(SLRatioImport!A101,'Report &amp; Lookup Table'!$C$6:$C$42,0),MATCH(SLRatioImport!B101,'Report &amp; Lookup Table'!$D$5:$G$5,0)),4)</f>
        <v>0.36759999999999998</v>
      </c>
    </row>
    <row r="102" spans="1:3" x14ac:dyDescent="0.3">
      <c r="A102" s="25">
        <v>67</v>
      </c>
      <c r="B102" s="25">
        <v>3</v>
      </c>
      <c r="C102" s="458">
        <f ca="1">ROUND(OFFSET('Report &amp; Lookup Table'!$C$5,MATCH(SLRatioImport!A102,'Report &amp; Lookup Table'!$C$6:$C$42,0),MATCH(SLRatioImport!B102,'Report &amp; Lookup Table'!$D$5:$G$5,0)),4)</f>
        <v>0.36759999999999998</v>
      </c>
    </row>
    <row r="103" spans="1:3" x14ac:dyDescent="0.3">
      <c r="A103" s="25"/>
      <c r="B103" s="25"/>
      <c r="C103" s="27"/>
    </row>
    <row r="104" spans="1:3" x14ac:dyDescent="0.3">
      <c r="A104" s="25"/>
      <c r="B104" s="25"/>
      <c r="C104" s="27"/>
    </row>
    <row r="105" spans="1:3" x14ac:dyDescent="0.3">
      <c r="A105" s="25"/>
      <c r="B105" s="25"/>
      <c r="C105" s="27"/>
    </row>
    <row r="106" spans="1:3" x14ac:dyDescent="0.3">
      <c r="A106" s="25"/>
      <c r="B106" s="25"/>
      <c r="C106" s="27"/>
    </row>
    <row r="107" spans="1:3" x14ac:dyDescent="0.3">
      <c r="A107" s="25"/>
      <c r="B107" s="25"/>
      <c r="C107" s="27"/>
    </row>
    <row r="108" spans="1:3" x14ac:dyDescent="0.3">
      <c r="A108" s="25"/>
      <c r="B108" s="25"/>
      <c r="C108" s="27"/>
    </row>
    <row r="109" spans="1:3" x14ac:dyDescent="0.3">
      <c r="A109" s="25"/>
      <c r="B109" s="25"/>
      <c r="C109" s="27"/>
    </row>
    <row r="110" spans="1:3" x14ac:dyDescent="0.3">
      <c r="A110" s="25"/>
      <c r="B110" s="25"/>
      <c r="C110" s="27"/>
    </row>
    <row r="111" spans="1:3" x14ac:dyDescent="0.3">
      <c r="A111" s="25"/>
      <c r="B111" s="25"/>
      <c r="C111" s="27"/>
    </row>
    <row r="112" spans="1:3" x14ac:dyDescent="0.3">
      <c r="A112" s="25"/>
      <c r="B112" s="25"/>
      <c r="C112" s="27"/>
    </row>
    <row r="113" spans="1:3" x14ac:dyDescent="0.3">
      <c r="A113" s="25"/>
      <c r="B113" s="25"/>
      <c r="C113" s="27"/>
    </row>
    <row r="114" spans="1:3" x14ac:dyDescent="0.3">
      <c r="A114" s="25"/>
      <c r="B114" s="25"/>
      <c r="C114" s="27"/>
    </row>
    <row r="115" spans="1:3" x14ac:dyDescent="0.3">
      <c r="A115" s="25"/>
      <c r="B115" s="25"/>
      <c r="C115" s="27"/>
    </row>
    <row r="116" spans="1:3" x14ac:dyDescent="0.3">
      <c r="A116" s="25"/>
      <c r="B116" s="25"/>
      <c r="C116" s="27"/>
    </row>
    <row r="117" spans="1:3" x14ac:dyDescent="0.3">
      <c r="A117" s="25"/>
      <c r="B117" s="25"/>
      <c r="C117" s="27"/>
    </row>
    <row r="118" spans="1:3" x14ac:dyDescent="0.3">
      <c r="A118" s="25"/>
      <c r="B118" s="25"/>
      <c r="C118" s="27"/>
    </row>
    <row r="119" spans="1:3" x14ac:dyDescent="0.3">
      <c r="A119" s="25"/>
      <c r="B119" s="25"/>
      <c r="C119" s="27"/>
    </row>
    <row r="120" spans="1:3" x14ac:dyDescent="0.3">
      <c r="A120" s="25"/>
      <c r="B120" s="25"/>
      <c r="C120" s="27"/>
    </row>
    <row r="121" spans="1:3" x14ac:dyDescent="0.3">
      <c r="A121" s="25"/>
      <c r="B121" s="25"/>
      <c r="C121" s="27"/>
    </row>
    <row r="122" spans="1:3" x14ac:dyDescent="0.3">
      <c r="A122" s="25"/>
      <c r="B122" s="25"/>
      <c r="C122" s="27"/>
    </row>
    <row r="123" spans="1:3" x14ac:dyDescent="0.3">
      <c r="A123" s="25"/>
      <c r="B123" s="25"/>
      <c r="C123" s="27"/>
    </row>
    <row r="124" spans="1:3" x14ac:dyDescent="0.3">
      <c r="A124" s="25"/>
      <c r="B124" s="25"/>
      <c r="C124" s="27"/>
    </row>
    <row r="125" spans="1:3" x14ac:dyDescent="0.3">
      <c r="A125" s="25"/>
      <c r="B125" s="25"/>
      <c r="C125" s="27"/>
    </row>
    <row r="126" spans="1:3" x14ac:dyDescent="0.3">
      <c r="A126" s="25"/>
      <c r="B126" s="25"/>
      <c r="C126" s="27"/>
    </row>
    <row r="127" spans="1:3" x14ac:dyDescent="0.3">
      <c r="A127" s="25"/>
      <c r="B127" s="25"/>
      <c r="C127" s="27"/>
    </row>
    <row r="128" spans="1:3" x14ac:dyDescent="0.3">
      <c r="A128" s="25"/>
      <c r="B128" s="25"/>
      <c r="C128" s="27"/>
    </row>
    <row r="129" spans="1:3" x14ac:dyDescent="0.3">
      <c r="A129" s="25"/>
      <c r="B129" s="25"/>
      <c r="C129" s="27"/>
    </row>
    <row r="130" spans="1:3" x14ac:dyDescent="0.3">
      <c r="A130" s="25"/>
      <c r="B130" s="25"/>
      <c r="C130" s="27"/>
    </row>
    <row r="131" spans="1:3" x14ac:dyDescent="0.3">
      <c r="A131" s="25"/>
      <c r="B131" s="25"/>
      <c r="C131" s="27"/>
    </row>
    <row r="132" spans="1:3" x14ac:dyDescent="0.3">
      <c r="A132" s="25"/>
      <c r="B132" s="25"/>
      <c r="C132" s="27"/>
    </row>
    <row r="133" spans="1:3" x14ac:dyDescent="0.3">
      <c r="A133" s="25"/>
      <c r="B133" s="25"/>
      <c r="C133" s="27"/>
    </row>
    <row r="134" spans="1:3" x14ac:dyDescent="0.3">
      <c r="A134" s="25"/>
      <c r="B134" s="25"/>
      <c r="C134" s="27"/>
    </row>
    <row r="135" spans="1:3" x14ac:dyDescent="0.3">
      <c r="A135" s="25"/>
      <c r="B135" s="25"/>
      <c r="C135" s="27"/>
    </row>
    <row r="136" spans="1:3" x14ac:dyDescent="0.3">
      <c r="A136" s="25"/>
      <c r="B136" s="25"/>
      <c r="C136" s="27"/>
    </row>
    <row r="137" spans="1:3" x14ac:dyDescent="0.3">
      <c r="A137" s="25"/>
      <c r="B137" s="25"/>
      <c r="C137" s="27"/>
    </row>
    <row r="138" spans="1:3" x14ac:dyDescent="0.3">
      <c r="A138" s="25"/>
      <c r="B138" s="25"/>
      <c r="C138" s="27"/>
    </row>
    <row r="139" spans="1:3" x14ac:dyDescent="0.3">
      <c r="A139" s="25"/>
      <c r="B139" s="25"/>
      <c r="C139" s="27"/>
    </row>
    <row r="140" spans="1:3" x14ac:dyDescent="0.3">
      <c r="A140" s="25"/>
      <c r="B140" s="25"/>
      <c r="C140" s="27"/>
    </row>
    <row r="141" spans="1:3" x14ac:dyDescent="0.3">
      <c r="A141" s="25"/>
      <c r="B141" s="25"/>
      <c r="C141" s="27"/>
    </row>
    <row r="142" spans="1:3" x14ac:dyDescent="0.3">
      <c r="A142" s="25"/>
      <c r="B142" s="25"/>
      <c r="C142" s="27"/>
    </row>
    <row r="143" spans="1:3" x14ac:dyDescent="0.3">
      <c r="A143" s="25"/>
      <c r="B143" s="25"/>
      <c r="C143" s="27"/>
    </row>
    <row r="144" spans="1:3" x14ac:dyDescent="0.3">
      <c r="A144" s="25"/>
      <c r="B144" s="25"/>
      <c r="C144" s="27"/>
    </row>
    <row r="145" spans="1:3" x14ac:dyDescent="0.3">
      <c r="A145" s="25"/>
      <c r="B145" s="25"/>
      <c r="C145" s="27"/>
    </row>
    <row r="146" spans="1:3" x14ac:dyDescent="0.3">
      <c r="A146" s="25"/>
      <c r="B146" s="25"/>
      <c r="C146" s="27"/>
    </row>
    <row r="147" spans="1:3" x14ac:dyDescent="0.3">
      <c r="A147" s="25"/>
      <c r="B147" s="25"/>
      <c r="C147" s="27"/>
    </row>
    <row r="148" spans="1:3" x14ac:dyDescent="0.3">
      <c r="A148" s="25"/>
      <c r="B148" s="25"/>
      <c r="C148" s="27"/>
    </row>
    <row r="149" spans="1:3" x14ac:dyDescent="0.3">
      <c r="A149" s="25"/>
      <c r="B149" s="25"/>
      <c r="C149" s="27"/>
    </row>
    <row r="150" spans="1:3" x14ac:dyDescent="0.3">
      <c r="A150" s="25"/>
      <c r="B150" s="25"/>
      <c r="C150" s="27"/>
    </row>
    <row r="151" spans="1:3" x14ac:dyDescent="0.3">
      <c r="A151" s="25"/>
      <c r="B151" s="25"/>
      <c r="C151" s="27"/>
    </row>
    <row r="152" spans="1:3" x14ac:dyDescent="0.3">
      <c r="A152" s="25"/>
      <c r="B152" s="25"/>
      <c r="C152" s="27"/>
    </row>
    <row r="153" spans="1:3" x14ac:dyDescent="0.3">
      <c r="A153" s="25"/>
      <c r="B153" s="25"/>
      <c r="C153" s="27"/>
    </row>
    <row r="154" spans="1:3" x14ac:dyDescent="0.3">
      <c r="A154" s="25"/>
      <c r="B154" s="25"/>
      <c r="C154" s="27"/>
    </row>
    <row r="155" spans="1:3" x14ac:dyDescent="0.3">
      <c r="A155" s="25"/>
      <c r="B155" s="25"/>
      <c r="C155" s="27"/>
    </row>
    <row r="156" spans="1:3" x14ac:dyDescent="0.3">
      <c r="A156" s="25"/>
      <c r="B156" s="25"/>
      <c r="C156" s="27"/>
    </row>
    <row r="157" spans="1:3" x14ac:dyDescent="0.3">
      <c r="A157" s="25"/>
      <c r="B157" s="25"/>
      <c r="C157" s="27"/>
    </row>
    <row r="158" spans="1:3" x14ac:dyDescent="0.3">
      <c r="A158" s="25"/>
      <c r="B158" s="25"/>
      <c r="C158" s="27"/>
    </row>
    <row r="159" spans="1:3" x14ac:dyDescent="0.3">
      <c r="A159" s="25"/>
      <c r="B159" s="25"/>
      <c r="C159" s="27"/>
    </row>
    <row r="160" spans="1:3" x14ac:dyDescent="0.3">
      <c r="A160" s="25"/>
      <c r="B160" s="25"/>
      <c r="C160" s="27"/>
    </row>
    <row r="161" spans="1:3" x14ac:dyDescent="0.3">
      <c r="A161" s="25"/>
      <c r="B161" s="25"/>
      <c r="C161" s="27"/>
    </row>
    <row r="162" spans="1:3" x14ac:dyDescent="0.3">
      <c r="A162" s="25"/>
      <c r="B162" s="25"/>
      <c r="C162" s="27"/>
    </row>
    <row r="163" spans="1:3" x14ac:dyDescent="0.3">
      <c r="A163" s="25"/>
      <c r="B163" s="25"/>
      <c r="C163" s="27"/>
    </row>
    <row r="164" spans="1:3" x14ac:dyDescent="0.3">
      <c r="A164" s="25"/>
      <c r="B164" s="25"/>
      <c r="C164" s="27"/>
    </row>
    <row r="165" spans="1:3" x14ac:dyDescent="0.3">
      <c r="A165" s="25"/>
      <c r="B165" s="25"/>
      <c r="C165" s="27"/>
    </row>
    <row r="166" spans="1:3" x14ac:dyDescent="0.3">
      <c r="A166" s="25"/>
      <c r="B166" s="25"/>
      <c r="C166" s="27"/>
    </row>
    <row r="167" spans="1:3" x14ac:dyDescent="0.3">
      <c r="A167" s="25"/>
      <c r="B167" s="25"/>
      <c r="C167" s="27"/>
    </row>
    <row r="168" spans="1:3" x14ac:dyDescent="0.3">
      <c r="A168" s="25"/>
      <c r="B168" s="25"/>
      <c r="C168" s="27"/>
    </row>
    <row r="169" spans="1:3" x14ac:dyDescent="0.3">
      <c r="A169" s="25"/>
      <c r="B169" s="25"/>
      <c r="C169" s="27"/>
    </row>
    <row r="170" spans="1:3" x14ac:dyDescent="0.3">
      <c r="A170" s="25"/>
      <c r="B170" s="25"/>
      <c r="C170" s="27"/>
    </row>
    <row r="171" spans="1:3" x14ac:dyDescent="0.3">
      <c r="A171" s="25"/>
      <c r="B171" s="25"/>
      <c r="C171" s="27"/>
    </row>
    <row r="172" spans="1:3" x14ac:dyDescent="0.3">
      <c r="A172" s="25"/>
      <c r="B172" s="25"/>
      <c r="C172" s="27"/>
    </row>
    <row r="173" spans="1:3" x14ac:dyDescent="0.3">
      <c r="A173" s="25"/>
      <c r="B173" s="25"/>
      <c r="C173" s="27"/>
    </row>
    <row r="174" spans="1:3" x14ac:dyDescent="0.3">
      <c r="A174" s="25"/>
      <c r="B174" s="25"/>
      <c r="C174" s="27"/>
    </row>
    <row r="175" spans="1:3" x14ac:dyDescent="0.3">
      <c r="A175" s="25"/>
      <c r="B175" s="25"/>
      <c r="C175" s="27"/>
    </row>
    <row r="176" spans="1:3" x14ac:dyDescent="0.3">
      <c r="A176" s="25"/>
      <c r="B176" s="25"/>
      <c r="C176" s="27"/>
    </row>
    <row r="177" spans="1:3" x14ac:dyDescent="0.3">
      <c r="A177" s="25"/>
      <c r="B177" s="25"/>
      <c r="C177" s="27"/>
    </row>
    <row r="178" spans="1:3" x14ac:dyDescent="0.3">
      <c r="A178" s="25"/>
      <c r="B178" s="25"/>
      <c r="C178" s="27"/>
    </row>
    <row r="179" spans="1:3" x14ac:dyDescent="0.3">
      <c r="A179" s="25"/>
      <c r="B179" s="25"/>
      <c r="C179" s="27"/>
    </row>
    <row r="180" spans="1:3" x14ac:dyDescent="0.3">
      <c r="A180" s="25"/>
      <c r="B180" s="25"/>
      <c r="C180" s="27"/>
    </row>
    <row r="181" spans="1:3" x14ac:dyDescent="0.3">
      <c r="A181" s="25"/>
      <c r="B181" s="25"/>
      <c r="C181" s="27"/>
    </row>
    <row r="182" spans="1:3" x14ac:dyDescent="0.3">
      <c r="A182" s="25"/>
      <c r="B182" s="25"/>
      <c r="C182" s="27"/>
    </row>
    <row r="183" spans="1:3" x14ac:dyDescent="0.3">
      <c r="A183" s="25"/>
      <c r="B183" s="25"/>
      <c r="C183" s="27"/>
    </row>
    <row r="184" spans="1:3" x14ac:dyDescent="0.3">
      <c r="A184" s="25"/>
      <c r="B184" s="25"/>
      <c r="C184" s="27"/>
    </row>
    <row r="185" spans="1:3" x14ac:dyDescent="0.3">
      <c r="A185" s="25"/>
      <c r="B185" s="25"/>
      <c r="C185" s="27"/>
    </row>
    <row r="186" spans="1:3" x14ac:dyDescent="0.3">
      <c r="A186" s="25"/>
      <c r="B186" s="25"/>
      <c r="C186" s="27"/>
    </row>
    <row r="187" spans="1:3" x14ac:dyDescent="0.3">
      <c r="A187" s="25"/>
      <c r="B187" s="25"/>
      <c r="C187" s="27"/>
    </row>
    <row r="188" spans="1:3" x14ac:dyDescent="0.3">
      <c r="A188" s="25"/>
      <c r="B188" s="25"/>
      <c r="C188" s="27"/>
    </row>
    <row r="189" spans="1:3" x14ac:dyDescent="0.3">
      <c r="A189" s="25"/>
      <c r="B189" s="25"/>
      <c r="C189" s="27"/>
    </row>
    <row r="190" spans="1:3" x14ac:dyDescent="0.3">
      <c r="A190" s="25"/>
      <c r="B190" s="25"/>
      <c r="C190" s="27"/>
    </row>
    <row r="191" spans="1:3" x14ac:dyDescent="0.3">
      <c r="A191" s="25"/>
      <c r="B191" s="25"/>
      <c r="C191" s="27"/>
    </row>
    <row r="192" spans="1:3" x14ac:dyDescent="0.3">
      <c r="A192" s="25"/>
      <c r="B192" s="25"/>
      <c r="C192" s="27"/>
    </row>
    <row r="193" spans="1:3" x14ac:dyDescent="0.3">
      <c r="A193" s="25"/>
      <c r="B193" s="25"/>
      <c r="C193" s="27"/>
    </row>
    <row r="194" spans="1:3" x14ac:dyDescent="0.3">
      <c r="A194" s="25"/>
      <c r="B194" s="25"/>
      <c r="C194" s="27"/>
    </row>
    <row r="195" spans="1:3" x14ac:dyDescent="0.3">
      <c r="A195" s="25"/>
      <c r="B195" s="25"/>
      <c r="C195" s="27"/>
    </row>
    <row r="196" spans="1:3" x14ac:dyDescent="0.3">
      <c r="A196" s="25"/>
      <c r="B196" s="25"/>
      <c r="C196" s="27"/>
    </row>
    <row r="197" spans="1:3" x14ac:dyDescent="0.3">
      <c r="A197" s="25"/>
      <c r="B197" s="25"/>
      <c r="C197" s="27"/>
    </row>
    <row r="198" spans="1:3" x14ac:dyDescent="0.3">
      <c r="A198" s="25"/>
      <c r="B198" s="25"/>
      <c r="C198" s="27"/>
    </row>
    <row r="199" spans="1:3" x14ac:dyDescent="0.3">
      <c r="A199" s="25"/>
      <c r="B199" s="25"/>
      <c r="C199" s="27"/>
    </row>
    <row r="200" spans="1:3" x14ac:dyDescent="0.3">
      <c r="A200" s="25"/>
      <c r="B200" s="25"/>
      <c r="C200" s="27"/>
    </row>
    <row r="201" spans="1:3" x14ac:dyDescent="0.3">
      <c r="A201" s="25"/>
      <c r="B201" s="25"/>
      <c r="C201" s="27"/>
    </row>
    <row r="202" spans="1:3" x14ac:dyDescent="0.3">
      <c r="A202" s="25"/>
      <c r="B202" s="25"/>
      <c r="C202" s="27"/>
    </row>
    <row r="203" spans="1:3" x14ac:dyDescent="0.3">
      <c r="A203" s="25"/>
      <c r="B203" s="25"/>
      <c r="C203" s="27"/>
    </row>
    <row r="204" spans="1:3" x14ac:dyDescent="0.3">
      <c r="A204" s="25"/>
      <c r="B204" s="25"/>
      <c r="C204" s="27"/>
    </row>
    <row r="205" spans="1:3" x14ac:dyDescent="0.3">
      <c r="A205" s="25"/>
      <c r="B205" s="25"/>
      <c r="C205" s="27"/>
    </row>
    <row r="206" spans="1:3" x14ac:dyDescent="0.3">
      <c r="A206" s="25"/>
      <c r="B206" s="25"/>
      <c r="C206" s="27"/>
    </row>
    <row r="207" spans="1:3" x14ac:dyDescent="0.3">
      <c r="A207" s="25"/>
      <c r="B207" s="25"/>
      <c r="C207" s="27"/>
    </row>
    <row r="208" spans="1:3" x14ac:dyDescent="0.3">
      <c r="A208" s="25"/>
      <c r="B208" s="25"/>
      <c r="C208" s="27"/>
    </row>
    <row r="209" spans="1:3" x14ac:dyDescent="0.3">
      <c r="A209" s="25"/>
      <c r="B209" s="25"/>
      <c r="C209" s="27"/>
    </row>
    <row r="210" spans="1:3" x14ac:dyDescent="0.3">
      <c r="A210" s="25"/>
      <c r="B210" s="25"/>
      <c r="C210" s="27"/>
    </row>
    <row r="211" spans="1:3" x14ac:dyDescent="0.3">
      <c r="A211" s="25"/>
      <c r="B211" s="25"/>
      <c r="C211" s="27"/>
    </row>
    <row r="212" spans="1:3" x14ac:dyDescent="0.3">
      <c r="A212" s="25"/>
      <c r="B212" s="25"/>
      <c r="C212" s="27"/>
    </row>
    <row r="213" spans="1:3" x14ac:dyDescent="0.3">
      <c r="A213" s="25"/>
      <c r="B213" s="25"/>
      <c r="C213" s="27"/>
    </row>
    <row r="214" spans="1:3" x14ac:dyDescent="0.3">
      <c r="A214" s="25"/>
      <c r="B214" s="25"/>
      <c r="C214" s="27"/>
    </row>
    <row r="215" spans="1:3" x14ac:dyDescent="0.3">
      <c r="A215" s="25"/>
      <c r="B215" s="25"/>
      <c r="C215" s="27"/>
    </row>
    <row r="216" spans="1:3" x14ac:dyDescent="0.3">
      <c r="A216" s="25"/>
      <c r="B216" s="25"/>
      <c r="C216" s="27"/>
    </row>
    <row r="217" spans="1:3" x14ac:dyDescent="0.3">
      <c r="A217" s="25"/>
      <c r="B217" s="25"/>
      <c r="C217" s="27"/>
    </row>
    <row r="218" spans="1:3" x14ac:dyDescent="0.3">
      <c r="A218" s="25"/>
      <c r="B218" s="25"/>
      <c r="C218" s="27"/>
    </row>
    <row r="219" spans="1:3" x14ac:dyDescent="0.3">
      <c r="A219" s="25"/>
      <c r="B219" s="25"/>
      <c r="C219" s="27"/>
    </row>
    <row r="220" spans="1:3" x14ac:dyDescent="0.3">
      <c r="A220" s="25"/>
      <c r="B220" s="25"/>
      <c r="C220" s="27"/>
    </row>
    <row r="221" spans="1:3" x14ac:dyDescent="0.3">
      <c r="A221" s="25"/>
      <c r="B221" s="25"/>
      <c r="C221" s="27"/>
    </row>
    <row r="222" spans="1:3" x14ac:dyDescent="0.3">
      <c r="A222" s="25"/>
      <c r="B222" s="25"/>
      <c r="C222" s="27"/>
    </row>
    <row r="223" spans="1:3" x14ac:dyDescent="0.3">
      <c r="A223" s="25"/>
      <c r="B223" s="25"/>
      <c r="C223" s="27"/>
    </row>
    <row r="224" spans="1:3" x14ac:dyDescent="0.3">
      <c r="A224" s="25"/>
      <c r="B224" s="25"/>
      <c r="C224" s="27"/>
    </row>
    <row r="225" spans="1:3" x14ac:dyDescent="0.3">
      <c r="A225" s="25"/>
      <c r="B225" s="25"/>
      <c r="C225" s="27"/>
    </row>
    <row r="226" spans="1:3" x14ac:dyDescent="0.3">
      <c r="A226" s="25"/>
      <c r="B226" s="25"/>
      <c r="C226" s="27"/>
    </row>
    <row r="227" spans="1:3" x14ac:dyDescent="0.3">
      <c r="A227" s="25"/>
      <c r="B227" s="25"/>
      <c r="C227" s="27"/>
    </row>
    <row r="228" spans="1:3" x14ac:dyDescent="0.3">
      <c r="A228" s="25"/>
      <c r="B228" s="25"/>
      <c r="C228" s="27"/>
    </row>
    <row r="229" spans="1:3" x14ac:dyDescent="0.3">
      <c r="A229" s="25"/>
      <c r="B229" s="25"/>
      <c r="C229" s="27"/>
    </row>
    <row r="230" spans="1:3" x14ac:dyDescent="0.3">
      <c r="A230" s="25"/>
      <c r="B230" s="25"/>
      <c r="C230" s="27"/>
    </row>
    <row r="231" spans="1:3" x14ac:dyDescent="0.3">
      <c r="A231" s="25"/>
      <c r="B231" s="25"/>
      <c r="C231" s="27"/>
    </row>
    <row r="232" spans="1:3" x14ac:dyDescent="0.3">
      <c r="A232" s="25"/>
      <c r="B232" s="25"/>
      <c r="C232" s="27"/>
    </row>
    <row r="233" spans="1:3" x14ac:dyDescent="0.3">
      <c r="A233" s="25"/>
      <c r="B233" s="25"/>
      <c r="C233" s="27"/>
    </row>
    <row r="234" spans="1:3" x14ac:dyDescent="0.3">
      <c r="A234" s="25"/>
      <c r="B234" s="25"/>
      <c r="C234" s="27"/>
    </row>
    <row r="235" spans="1:3" x14ac:dyDescent="0.3">
      <c r="A235" s="25"/>
      <c r="B235" s="25"/>
      <c r="C235" s="27"/>
    </row>
    <row r="236" spans="1:3" x14ac:dyDescent="0.3">
      <c r="A236" s="25"/>
      <c r="B236" s="25"/>
      <c r="C236" s="27"/>
    </row>
    <row r="237" spans="1:3" x14ac:dyDescent="0.3">
      <c r="A237" s="25"/>
      <c r="B237" s="25"/>
      <c r="C237" s="27"/>
    </row>
    <row r="238" spans="1:3" x14ac:dyDescent="0.3">
      <c r="A238" s="25"/>
      <c r="B238" s="25"/>
      <c r="C238" s="27"/>
    </row>
    <row r="239" spans="1:3" x14ac:dyDescent="0.3">
      <c r="A239" s="25"/>
      <c r="B239" s="25"/>
      <c r="C239" s="27"/>
    </row>
    <row r="240" spans="1:3" x14ac:dyDescent="0.3">
      <c r="A240" s="25"/>
      <c r="B240" s="25"/>
      <c r="C240" s="27"/>
    </row>
    <row r="241" spans="1:3" x14ac:dyDescent="0.3">
      <c r="A241" s="25"/>
      <c r="B241" s="25"/>
      <c r="C241" s="27"/>
    </row>
    <row r="242" spans="1:3" x14ac:dyDescent="0.3">
      <c r="A242" s="25"/>
      <c r="B242" s="25"/>
      <c r="C242" s="27"/>
    </row>
    <row r="243" spans="1:3" x14ac:dyDescent="0.3">
      <c r="A243" s="25"/>
      <c r="B243" s="25"/>
      <c r="C243" s="27"/>
    </row>
    <row r="244" spans="1:3" x14ac:dyDescent="0.3">
      <c r="A244" s="25"/>
      <c r="B244" s="25"/>
      <c r="C244" s="27"/>
    </row>
    <row r="245" spans="1:3" x14ac:dyDescent="0.3">
      <c r="A245" s="25"/>
      <c r="B245" s="25"/>
      <c r="C245" s="27"/>
    </row>
    <row r="246" spans="1:3" x14ac:dyDescent="0.3">
      <c r="A246" s="25"/>
      <c r="B246" s="25"/>
      <c r="C246" s="27"/>
    </row>
    <row r="247" spans="1:3" x14ac:dyDescent="0.3">
      <c r="A247" s="25"/>
      <c r="B247" s="25"/>
      <c r="C247" s="27"/>
    </row>
    <row r="248" spans="1:3" x14ac:dyDescent="0.3">
      <c r="A248" s="25"/>
      <c r="B248" s="25"/>
      <c r="C248" s="27"/>
    </row>
    <row r="249" spans="1:3" x14ac:dyDescent="0.3">
      <c r="A249" s="25"/>
      <c r="B249" s="25"/>
      <c r="C249" s="27"/>
    </row>
    <row r="250" spans="1:3" x14ac:dyDescent="0.3">
      <c r="A250" s="25"/>
      <c r="B250" s="25"/>
      <c r="C250" s="27"/>
    </row>
    <row r="251" spans="1:3" x14ac:dyDescent="0.3">
      <c r="A251" s="25"/>
      <c r="B251" s="25"/>
      <c r="C251" s="27"/>
    </row>
    <row r="252" spans="1:3" x14ac:dyDescent="0.3">
      <c r="A252" s="25"/>
      <c r="B252" s="25"/>
      <c r="C252" s="27"/>
    </row>
    <row r="253" spans="1:3" x14ac:dyDescent="0.3">
      <c r="A253" s="25"/>
      <c r="B253" s="25"/>
      <c r="C253" s="27"/>
    </row>
    <row r="254" spans="1:3" x14ac:dyDescent="0.3">
      <c r="A254" s="25"/>
      <c r="B254" s="25"/>
      <c r="C254" s="27"/>
    </row>
    <row r="255" spans="1:3" x14ac:dyDescent="0.3">
      <c r="A255" s="25"/>
      <c r="B255" s="25"/>
      <c r="C255" s="27"/>
    </row>
    <row r="256" spans="1:3" x14ac:dyDescent="0.3">
      <c r="A256" s="25"/>
      <c r="B256" s="25"/>
      <c r="C256" s="27"/>
    </row>
    <row r="257" spans="1:3" x14ac:dyDescent="0.3">
      <c r="A257" s="25"/>
      <c r="B257" s="25"/>
      <c r="C257" s="27"/>
    </row>
    <row r="258" spans="1:3" x14ac:dyDescent="0.3">
      <c r="A258" s="25"/>
      <c r="B258" s="25"/>
      <c r="C258" s="27"/>
    </row>
    <row r="259" spans="1:3" x14ac:dyDescent="0.3">
      <c r="A259" s="25"/>
      <c r="B259" s="25"/>
      <c r="C259" s="27"/>
    </row>
    <row r="260" spans="1:3" x14ac:dyDescent="0.3">
      <c r="A260" s="25"/>
      <c r="B260" s="25"/>
      <c r="C260" s="27"/>
    </row>
    <row r="261" spans="1:3" x14ac:dyDescent="0.3">
      <c r="A261" s="25"/>
      <c r="B261" s="25"/>
      <c r="C261" s="27"/>
    </row>
    <row r="262" spans="1:3" x14ac:dyDescent="0.3">
      <c r="A262" s="25"/>
      <c r="B262" s="25"/>
      <c r="C262" s="27"/>
    </row>
    <row r="263" spans="1:3" x14ac:dyDescent="0.3">
      <c r="A263" s="25"/>
      <c r="B263" s="25"/>
      <c r="C263" s="27"/>
    </row>
    <row r="264" spans="1:3" x14ac:dyDescent="0.3">
      <c r="A264" s="25"/>
      <c r="B264" s="25"/>
      <c r="C264" s="27"/>
    </row>
    <row r="265" spans="1:3" x14ac:dyDescent="0.3">
      <c r="A265" s="25"/>
      <c r="B265" s="25"/>
      <c r="C265" s="27"/>
    </row>
    <row r="266" spans="1:3" x14ac:dyDescent="0.3">
      <c r="A266" s="25"/>
      <c r="B266" s="25"/>
      <c r="C266" s="27"/>
    </row>
    <row r="267" spans="1:3" x14ac:dyDescent="0.3">
      <c r="A267" s="25"/>
      <c r="B267" s="25"/>
      <c r="C267" s="27"/>
    </row>
    <row r="268" spans="1:3" x14ac:dyDescent="0.3">
      <c r="A268" s="25"/>
      <c r="B268" s="25"/>
      <c r="C268" s="27"/>
    </row>
    <row r="269" spans="1:3" x14ac:dyDescent="0.3">
      <c r="A269" s="25"/>
      <c r="B269" s="25"/>
      <c r="C269" s="27"/>
    </row>
    <row r="270" spans="1:3" x14ac:dyDescent="0.3">
      <c r="A270" s="25"/>
      <c r="B270" s="25"/>
      <c r="C270" s="27"/>
    </row>
    <row r="271" spans="1:3" x14ac:dyDescent="0.3">
      <c r="A271" s="25"/>
      <c r="B271" s="25"/>
      <c r="C271" s="27"/>
    </row>
    <row r="272" spans="1:3" x14ac:dyDescent="0.3">
      <c r="A272" s="25"/>
      <c r="B272" s="25"/>
      <c r="C272" s="27"/>
    </row>
    <row r="273" spans="1:3" x14ac:dyDescent="0.3">
      <c r="A273" s="25"/>
      <c r="B273" s="25"/>
      <c r="C273" s="27"/>
    </row>
    <row r="274" spans="1:3" x14ac:dyDescent="0.3">
      <c r="A274" s="25"/>
      <c r="B274" s="25"/>
      <c r="C274" s="27"/>
    </row>
    <row r="275" spans="1:3" x14ac:dyDescent="0.3">
      <c r="A275" s="25"/>
      <c r="B275" s="25"/>
      <c r="C275" s="27"/>
    </row>
    <row r="276" spans="1:3" x14ac:dyDescent="0.3">
      <c r="A276" s="25"/>
      <c r="B276" s="25"/>
      <c r="C276" s="27"/>
    </row>
    <row r="277" spans="1:3" x14ac:dyDescent="0.3">
      <c r="A277" s="25"/>
      <c r="B277" s="25"/>
      <c r="C277" s="27"/>
    </row>
    <row r="278" spans="1:3" x14ac:dyDescent="0.3">
      <c r="A278" s="25"/>
      <c r="B278" s="25"/>
      <c r="C278" s="27"/>
    </row>
    <row r="279" spans="1:3" x14ac:dyDescent="0.3">
      <c r="A279" s="25"/>
      <c r="B279" s="25"/>
      <c r="C279" s="27"/>
    </row>
    <row r="280" spans="1:3" x14ac:dyDescent="0.3">
      <c r="A280" s="25"/>
      <c r="B280" s="25"/>
      <c r="C280" s="27"/>
    </row>
    <row r="281" spans="1:3" x14ac:dyDescent="0.3">
      <c r="A281" s="25"/>
      <c r="B281" s="25"/>
      <c r="C281" s="27"/>
    </row>
    <row r="282" spans="1:3" x14ac:dyDescent="0.3">
      <c r="A282" s="25"/>
      <c r="B282" s="25"/>
      <c r="C282" s="27"/>
    </row>
    <row r="283" spans="1:3" x14ac:dyDescent="0.3">
      <c r="A283" s="25"/>
      <c r="B283" s="25"/>
      <c r="C283" s="27"/>
    </row>
    <row r="284" spans="1:3" x14ac:dyDescent="0.3">
      <c r="A284" s="25"/>
      <c r="B284" s="25"/>
      <c r="C284" s="27"/>
    </row>
    <row r="285" spans="1:3" x14ac:dyDescent="0.3">
      <c r="A285" s="25"/>
      <c r="B285" s="25"/>
      <c r="C285" s="27"/>
    </row>
    <row r="286" spans="1:3" x14ac:dyDescent="0.3">
      <c r="A286" s="25"/>
      <c r="B286" s="25"/>
      <c r="C286" s="27"/>
    </row>
    <row r="287" spans="1:3" x14ac:dyDescent="0.3">
      <c r="A287" s="25"/>
      <c r="B287" s="25"/>
      <c r="C287" s="27"/>
    </row>
    <row r="288" spans="1:3" x14ac:dyDescent="0.3">
      <c r="A288" s="25"/>
      <c r="B288" s="25"/>
      <c r="C288" s="27"/>
    </row>
    <row r="289" spans="1:3" x14ac:dyDescent="0.3">
      <c r="A289" s="25"/>
      <c r="B289" s="25"/>
      <c r="C289" s="27"/>
    </row>
    <row r="290" spans="1:3" x14ac:dyDescent="0.3">
      <c r="A290" s="25"/>
      <c r="B290" s="25"/>
      <c r="C290" s="27"/>
    </row>
    <row r="291" spans="1:3" x14ac:dyDescent="0.3">
      <c r="A291" s="25"/>
      <c r="B291" s="25"/>
      <c r="C291" s="27"/>
    </row>
    <row r="292" spans="1:3" x14ac:dyDescent="0.3">
      <c r="A292" s="25"/>
      <c r="B292" s="25"/>
      <c r="C292" s="27"/>
    </row>
    <row r="293" spans="1:3" x14ac:dyDescent="0.3">
      <c r="A293" s="25"/>
      <c r="B293" s="25"/>
      <c r="C293" s="27"/>
    </row>
    <row r="294" spans="1:3" x14ac:dyDescent="0.3">
      <c r="A294" s="25"/>
      <c r="B294" s="25"/>
      <c r="C294" s="27"/>
    </row>
    <row r="295" spans="1:3" x14ac:dyDescent="0.3">
      <c r="A295" s="25"/>
      <c r="B295" s="25"/>
      <c r="C295" s="27"/>
    </row>
    <row r="296" spans="1:3" x14ac:dyDescent="0.3">
      <c r="A296" s="25"/>
      <c r="B296" s="25"/>
      <c r="C296" s="27"/>
    </row>
    <row r="297" spans="1:3" x14ac:dyDescent="0.3">
      <c r="A297" s="25"/>
      <c r="B297" s="25"/>
      <c r="C297" s="27"/>
    </row>
    <row r="298" spans="1:3" x14ac:dyDescent="0.3">
      <c r="A298" s="25"/>
      <c r="B298" s="25"/>
      <c r="C298" s="27"/>
    </row>
    <row r="299" spans="1:3" x14ac:dyDescent="0.3">
      <c r="A299" s="25"/>
      <c r="B299" s="25"/>
      <c r="C299" s="27"/>
    </row>
    <row r="300" spans="1:3" x14ac:dyDescent="0.3">
      <c r="A300" s="25"/>
      <c r="B300" s="25"/>
      <c r="C300" s="27"/>
    </row>
    <row r="301" spans="1:3" x14ac:dyDescent="0.3">
      <c r="A301" s="25"/>
      <c r="B301" s="25"/>
      <c r="C301" s="27"/>
    </row>
    <row r="302" spans="1:3" x14ac:dyDescent="0.3">
      <c r="A302" s="25"/>
      <c r="B302" s="25"/>
      <c r="C302" s="27"/>
    </row>
    <row r="303" spans="1:3" x14ac:dyDescent="0.3">
      <c r="A303" s="25"/>
      <c r="B303" s="25"/>
      <c r="C303" s="27"/>
    </row>
    <row r="304" spans="1:3" x14ac:dyDescent="0.3">
      <c r="A304" s="25"/>
      <c r="B304" s="25"/>
      <c r="C304" s="27"/>
    </row>
    <row r="305" spans="1:3" x14ac:dyDescent="0.3">
      <c r="A305" s="25"/>
      <c r="B305" s="25"/>
      <c r="C305" s="27"/>
    </row>
    <row r="306" spans="1:3" x14ac:dyDescent="0.3">
      <c r="A306" s="25"/>
      <c r="B306" s="25"/>
      <c r="C306" s="27"/>
    </row>
    <row r="307" spans="1:3" x14ac:dyDescent="0.3">
      <c r="A307" s="25"/>
      <c r="B307" s="25"/>
      <c r="C307" s="27"/>
    </row>
    <row r="308" spans="1:3" x14ac:dyDescent="0.3">
      <c r="A308" s="25"/>
      <c r="B308" s="25"/>
      <c r="C308" s="27"/>
    </row>
    <row r="309" spans="1:3" x14ac:dyDescent="0.3">
      <c r="A309" s="25"/>
      <c r="B309" s="25"/>
      <c r="C309" s="27"/>
    </row>
    <row r="310" spans="1:3" x14ac:dyDescent="0.3">
      <c r="A310" s="25"/>
      <c r="B310" s="25"/>
      <c r="C310" s="27"/>
    </row>
    <row r="311" spans="1:3" x14ac:dyDescent="0.3">
      <c r="A311" s="25"/>
      <c r="B311" s="25"/>
      <c r="C311" s="27"/>
    </row>
    <row r="312" spans="1:3" x14ac:dyDescent="0.3">
      <c r="A312" s="25"/>
      <c r="B312" s="25"/>
      <c r="C312" s="27"/>
    </row>
    <row r="313" spans="1:3" x14ac:dyDescent="0.3">
      <c r="A313" s="25"/>
      <c r="B313" s="25"/>
      <c r="C313" s="27"/>
    </row>
    <row r="314" spans="1:3" x14ac:dyDescent="0.3">
      <c r="A314" s="25"/>
      <c r="B314" s="25"/>
      <c r="C314" s="27"/>
    </row>
    <row r="315" spans="1:3" x14ac:dyDescent="0.3">
      <c r="A315" s="25"/>
      <c r="B315" s="25"/>
      <c r="C315" s="27"/>
    </row>
    <row r="316" spans="1:3" x14ac:dyDescent="0.3">
      <c r="A316" s="25"/>
      <c r="B316" s="25"/>
      <c r="C316" s="27"/>
    </row>
    <row r="317" spans="1:3" x14ac:dyDescent="0.3">
      <c r="A317" s="25"/>
      <c r="B317" s="25"/>
      <c r="C317" s="27"/>
    </row>
    <row r="318" spans="1:3" x14ac:dyDescent="0.3">
      <c r="A318" s="25"/>
      <c r="B318" s="25"/>
      <c r="C318" s="27"/>
    </row>
    <row r="319" spans="1:3" x14ac:dyDescent="0.3">
      <c r="A319" s="25"/>
      <c r="B319" s="25"/>
      <c r="C319" s="27"/>
    </row>
    <row r="320" spans="1:3" x14ac:dyDescent="0.3">
      <c r="A320" s="25"/>
      <c r="B320" s="25"/>
      <c r="C320" s="27"/>
    </row>
    <row r="321" spans="1:3" x14ac:dyDescent="0.3">
      <c r="A321" s="25"/>
      <c r="B321" s="25"/>
      <c r="C321" s="27"/>
    </row>
    <row r="322" spans="1:3" x14ac:dyDescent="0.3">
      <c r="A322" s="25"/>
      <c r="B322" s="25"/>
      <c r="C322" s="27"/>
    </row>
    <row r="323" spans="1:3" x14ac:dyDescent="0.3">
      <c r="A323" s="25"/>
      <c r="B323" s="25"/>
      <c r="C323" s="27"/>
    </row>
    <row r="324" spans="1:3" x14ac:dyDescent="0.3">
      <c r="A324" s="25"/>
      <c r="B324" s="25"/>
      <c r="C324" s="27"/>
    </row>
    <row r="325" spans="1:3" x14ac:dyDescent="0.3">
      <c r="A325" s="25"/>
      <c r="B325" s="25"/>
      <c r="C325" s="27"/>
    </row>
    <row r="326" spans="1:3" x14ac:dyDescent="0.3">
      <c r="A326" s="25"/>
      <c r="B326" s="25"/>
      <c r="C326" s="27"/>
    </row>
    <row r="327" spans="1:3" x14ac:dyDescent="0.3">
      <c r="A327" s="25"/>
      <c r="B327" s="25"/>
      <c r="C327" s="27"/>
    </row>
    <row r="328" spans="1:3" x14ac:dyDescent="0.3">
      <c r="A328" s="25"/>
      <c r="B328" s="25"/>
      <c r="C328" s="27"/>
    </row>
    <row r="329" spans="1:3" x14ac:dyDescent="0.3">
      <c r="A329" s="25"/>
      <c r="B329" s="25"/>
      <c r="C329" s="27"/>
    </row>
    <row r="330" spans="1:3" x14ac:dyDescent="0.3">
      <c r="A330" s="25"/>
      <c r="B330" s="25"/>
      <c r="C330" s="27"/>
    </row>
    <row r="331" spans="1:3" x14ac:dyDescent="0.3">
      <c r="A331" s="25"/>
      <c r="B331" s="25"/>
      <c r="C331" s="27"/>
    </row>
    <row r="332" spans="1:3" x14ac:dyDescent="0.3">
      <c r="A332" s="25"/>
      <c r="B332" s="25"/>
      <c r="C332" s="27"/>
    </row>
    <row r="333" spans="1:3" x14ac:dyDescent="0.3">
      <c r="A333" s="25"/>
      <c r="B333" s="25"/>
      <c r="C333" s="27"/>
    </row>
    <row r="334" spans="1:3" x14ac:dyDescent="0.3">
      <c r="A334" s="25"/>
      <c r="B334" s="25"/>
      <c r="C334" s="27"/>
    </row>
    <row r="335" spans="1:3" x14ac:dyDescent="0.3">
      <c r="A335" s="25"/>
      <c r="B335" s="25"/>
      <c r="C335" s="27"/>
    </row>
    <row r="336" spans="1:3" x14ac:dyDescent="0.3">
      <c r="A336" s="25"/>
      <c r="B336" s="25"/>
      <c r="C336" s="27"/>
    </row>
    <row r="337" spans="1:3" x14ac:dyDescent="0.3">
      <c r="A337" s="25"/>
      <c r="B337" s="25"/>
      <c r="C337" s="27"/>
    </row>
    <row r="338" spans="1:3" x14ac:dyDescent="0.3">
      <c r="A338" s="25"/>
      <c r="B338" s="25"/>
      <c r="C338" s="27"/>
    </row>
    <row r="339" spans="1:3" x14ac:dyDescent="0.3">
      <c r="A339" s="25"/>
      <c r="B339" s="25"/>
      <c r="C339" s="27"/>
    </row>
    <row r="340" spans="1:3" x14ac:dyDescent="0.3">
      <c r="A340" s="25"/>
      <c r="B340" s="25"/>
      <c r="C340" s="27"/>
    </row>
    <row r="341" spans="1:3" x14ac:dyDescent="0.3">
      <c r="A341" s="25"/>
      <c r="B341" s="25"/>
      <c r="C341" s="27"/>
    </row>
    <row r="342" spans="1:3" x14ac:dyDescent="0.3">
      <c r="A342" s="25"/>
      <c r="B342" s="25"/>
      <c r="C342" s="27"/>
    </row>
    <row r="343" spans="1:3" x14ac:dyDescent="0.3">
      <c r="A343" s="25"/>
      <c r="B343" s="25"/>
      <c r="C343" s="27"/>
    </row>
    <row r="344" spans="1:3" x14ac:dyDescent="0.3">
      <c r="A344" s="25"/>
      <c r="B344" s="25"/>
      <c r="C344" s="27"/>
    </row>
    <row r="345" spans="1:3" x14ac:dyDescent="0.3">
      <c r="A345" s="25"/>
      <c r="B345" s="25"/>
      <c r="C345" s="27"/>
    </row>
    <row r="346" spans="1:3" x14ac:dyDescent="0.3">
      <c r="A346" s="25"/>
      <c r="B346" s="25"/>
      <c r="C346" s="27"/>
    </row>
    <row r="347" spans="1:3" x14ac:dyDescent="0.3">
      <c r="A347" s="25"/>
      <c r="B347" s="25"/>
      <c r="C347" s="27"/>
    </row>
    <row r="348" spans="1:3" x14ac:dyDescent="0.3">
      <c r="A348" s="25"/>
      <c r="B348" s="25"/>
      <c r="C348" s="27"/>
    </row>
    <row r="349" spans="1:3" x14ac:dyDescent="0.3">
      <c r="A349" s="25"/>
      <c r="B349" s="25"/>
      <c r="C349" s="27"/>
    </row>
    <row r="350" spans="1:3" x14ac:dyDescent="0.3">
      <c r="A350" s="25"/>
      <c r="B350" s="25"/>
      <c r="C350" s="27"/>
    </row>
    <row r="351" spans="1:3" x14ac:dyDescent="0.3">
      <c r="A351" s="25"/>
      <c r="B351" s="25"/>
      <c r="C351" s="27"/>
    </row>
    <row r="352" spans="1:3" x14ac:dyDescent="0.3">
      <c r="A352" s="25"/>
      <c r="B352" s="25"/>
      <c r="C352" s="27"/>
    </row>
    <row r="353" spans="1:3" x14ac:dyDescent="0.3">
      <c r="A353" s="25"/>
      <c r="B353" s="25"/>
      <c r="C353" s="27"/>
    </row>
    <row r="354" spans="1:3" x14ac:dyDescent="0.3">
      <c r="A354" s="25"/>
      <c r="B354" s="25"/>
      <c r="C354" s="27"/>
    </row>
    <row r="355" spans="1:3" x14ac:dyDescent="0.3">
      <c r="A355" s="25"/>
      <c r="B355" s="25"/>
      <c r="C355" s="27"/>
    </row>
    <row r="356" spans="1:3" x14ac:dyDescent="0.3">
      <c r="A356" s="25"/>
      <c r="B356" s="25"/>
      <c r="C356" s="27"/>
    </row>
    <row r="357" spans="1:3" x14ac:dyDescent="0.3">
      <c r="A357" s="25"/>
      <c r="B357" s="25"/>
      <c r="C357" s="27"/>
    </row>
    <row r="358" spans="1:3" x14ac:dyDescent="0.3">
      <c r="A358" s="25"/>
      <c r="B358" s="25"/>
      <c r="C358" s="27"/>
    </row>
    <row r="359" spans="1:3" x14ac:dyDescent="0.3">
      <c r="A359" s="25"/>
      <c r="B359" s="25"/>
      <c r="C359" s="27"/>
    </row>
    <row r="360" spans="1:3" x14ac:dyDescent="0.3">
      <c r="A360" s="25"/>
      <c r="B360" s="25"/>
      <c r="C360" s="27"/>
    </row>
    <row r="361" spans="1:3" x14ac:dyDescent="0.3">
      <c r="A361" s="25"/>
      <c r="B361" s="25"/>
      <c r="C361" s="27"/>
    </row>
    <row r="362" spans="1:3" x14ac:dyDescent="0.3">
      <c r="A362" s="25"/>
      <c r="B362" s="25"/>
      <c r="C362" s="27"/>
    </row>
    <row r="363" spans="1:3" x14ac:dyDescent="0.3">
      <c r="A363" s="25"/>
      <c r="B363" s="25"/>
      <c r="C363" s="27"/>
    </row>
    <row r="364" spans="1:3" x14ac:dyDescent="0.3">
      <c r="A364" s="25"/>
      <c r="B364" s="25"/>
      <c r="C364" s="27"/>
    </row>
    <row r="365" spans="1:3" x14ac:dyDescent="0.3">
      <c r="A365" s="25"/>
      <c r="B365" s="25"/>
      <c r="C365" s="27"/>
    </row>
    <row r="366" spans="1:3" x14ac:dyDescent="0.3">
      <c r="A366" s="25"/>
      <c r="B366" s="25"/>
      <c r="C366" s="27"/>
    </row>
    <row r="367" spans="1:3" x14ac:dyDescent="0.3">
      <c r="A367" s="25"/>
      <c r="B367" s="25"/>
      <c r="C367" s="27"/>
    </row>
    <row r="368" spans="1:3" x14ac:dyDescent="0.3">
      <c r="A368" s="25"/>
      <c r="B368" s="25"/>
      <c r="C368" s="27"/>
    </row>
    <row r="369" spans="1:3" x14ac:dyDescent="0.3">
      <c r="A369" s="25"/>
      <c r="B369" s="25"/>
      <c r="C369" s="27"/>
    </row>
    <row r="370" spans="1:3" x14ac:dyDescent="0.3">
      <c r="A370" s="25"/>
      <c r="B370" s="25"/>
      <c r="C370" s="27"/>
    </row>
    <row r="371" spans="1:3" x14ac:dyDescent="0.3">
      <c r="A371" s="25"/>
      <c r="B371" s="25"/>
      <c r="C371" s="27"/>
    </row>
    <row r="372" spans="1:3" x14ac:dyDescent="0.3">
      <c r="A372" s="25"/>
      <c r="B372" s="25"/>
      <c r="C372" s="27"/>
    </row>
    <row r="373" spans="1:3" x14ac:dyDescent="0.3">
      <c r="A373" s="25"/>
      <c r="B373" s="25"/>
      <c r="C373" s="27"/>
    </row>
    <row r="374" spans="1:3" x14ac:dyDescent="0.3">
      <c r="A374" s="25"/>
      <c r="B374" s="25"/>
      <c r="C374" s="27"/>
    </row>
    <row r="375" spans="1:3" x14ac:dyDescent="0.3">
      <c r="A375" s="25"/>
      <c r="B375" s="25"/>
      <c r="C375" s="27"/>
    </row>
    <row r="376" spans="1:3" x14ac:dyDescent="0.3">
      <c r="A376" s="25"/>
      <c r="B376" s="25"/>
      <c r="C376" s="27"/>
    </row>
    <row r="377" spans="1:3" x14ac:dyDescent="0.3">
      <c r="A377" s="25"/>
      <c r="B377" s="25"/>
      <c r="C377" s="27"/>
    </row>
    <row r="378" spans="1:3" x14ac:dyDescent="0.3">
      <c r="A378" s="25"/>
      <c r="B378" s="25"/>
      <c r="C378" s="27"/>
    </row>
    <row r="379" spans="1:3" x14ac:dyDescent="0.3">
      <c r="A379" s="25"/>
      <c r="B379" s="25"/>
      <c r="C379" s="27"/>
    </row>
    <row r="380" spans="1:3" x14ac:dyDescent="0.3">
      <c r="A380" s="25"/>
      <c r="B380" s="25"/>
      <c r="C380" s="27"/>
    </row>
    <row r="381" spans="1:3" x14ac:dyDescent="0.3">
      <c r="A381" s="25"/>
      <c r="B381" s="25"/>
      <c r="C381" s="27"/>
    </row>
    <row r="382" spans="1:3" x14ac:dyDescent="0.3">
      <c r="A382" s="25"/>
      <c r="B382" s="25"/>
      <c r="C382" s="27"/>
    </row>
    <row r="383" spans="1:3" x14ac:dyDescent="0.3">
      <c r="A383" s="25"/>
      <c r="B383" s="25"/>
      <c r="C383" s="27"/>
    </row>
    <row r="384" spans="1:3" x14ac:dyDescent="0.3">
      <c r="A384" s="25"/>
      <c r="B384" s="25"/>
      <c r="C384" s="27"/>
    </row>
    <row r="385" spans="1:3" x14ac:dyDescent="0.3">
      <c r="A385" s="25"/>
      <c r="B385" s="25"/>
      <c r="C385" s="27"/>
    </row>
    <row r="386" spans="1:3" x14ac:dyDescent="0.3">
      <c r="A386" s="25"/>
      <c r="B386" s="25"/>
      <c r="C386" s="27"/>
    </row>
  </sheetData>
  <conditionalFormatting sqref="C1:C1048576">
    <cfRule type="cellIs" dxfId="25" priority="1" operator="equal">
      <formula>-99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5"/>
  <sheetViews>
    <sheetView workbookViewId="0">
      <selection activeCell="F341" sqref="F341"/>
    </sheetView>
  </sheetViews>
  <sheetFormatPr defaultColWidth="9.109375" defaultRowHeight="14.4" x14ac:dyDescent="0.3"/>
  <cols>
    <col min="1" max="4" width="9.109375" style="283"/>
    <col min="5" max="5" width="11.109375" style="283" bestFit="1" customWidth="1"/>
    <col min="6" max="6" width="9.109375" style="283"/>
    <col min="7" max="7" width="12.6640625" style="283" bestFit="1" customWidth="1"/>
    <col min="8" max="16384" width="9.109375" style="283"/>
  </cols>
  <sheetData>
    <row r="1" spans="1:8" x14ac:dyDescent="0.3">
      <c r="A1" s="389" t="s">
        <v>290</v>
      </c>
      <c r="B1" s="389" t="s">
        <v>7</v>
      </c>
      <c r="C1" s="389" t="s">
        <v>45</v>
      </c>
      <c r="D1" s="389" t="s">
        <v>6</v>
      </c>
      <c r="E1" s="390" t="s">
        <v>46</v>
      </c>
      <c r="F1" s="389" t="s">
        <v>296</v>
      </c>
      <c r="G1" s="389" t="s">
        <v>297</v>
      </c>
      <c r="H1" s="389" t="s">
        <v>298</v>
      </c>
    </row>
    <row r="2" spans="1:8" x14ac:dyDescent="0.3">
      <c r="A2" s="391">
        <v>3</v>
      </c>
      <c r="B2" s="391">
        <v>1</v>
      </c>
      <c r="C2" s="391">
        <v>2</v>
      </c>
      <c r="D2" s="391">
        <v>1</v>
      </c>
      <c r="E2" s="392">
        <f ca="1">OFFSET('Report &amp; Lookup Table'!$C$5,MATCH(SLRatio!B2,'Report &amp; Lookup Table'!$C$6:$C$45,0),MATCH(SLRatio!D2,'Report &amp; Lookup Table'!$D$5:$G$5,0))</f>
        <v>0.2854318524912528</v>
      </c>
      <c r="F2" s="391">
        <v>1.7897762860244499</v>
      </c>
      <c r="G2" s="393">
        <v>42772.583182870374</v>
      </c>
      <c r="H2" s="394" t="s">
        <v>499</v>
      </c>
    </row>
    <row r="3" spans="1:8" x14ac:dyDescent="0.3">
      <c r="A3" s="391">
        <v>3</v>
      </c>
      <c r="B3" s="391">
        <v>1</v>
      </c>
      <c r="C3" s="391">
        <v>2</v>
      </c>
      <c r="D3" s="391">
        <v>2</v>
      </c>
      <c r="E3" s="392">
        <f ca="1">OFFSET('Report &amp; Lookup Table'!$C$5,MATCH(SLRatio!B3,'Report &amp; Lookup Table'!$C$6:$C$45,0),MATCH(SLRatio!D3,'Report &amp; Lookup Table'!$D$5:$G$5,0))</f>
        <v>0.2854318524912528</v>
      </c>
      <c r="F3" s="391">
        <v>2.71789934163658</v>
      </c>
      <c r="G3" s="393">
        <v>42772.583182870374</v>
      </c>
      <c r="H3" s="394" t="s">
        <v>499</v>
      </c>
    </row>
    <row r="4" spans="1:8" x14ac:dyDescent="0.3">
      <c r="A4" s="391">
        <v>3</v>
      </c>
      <c r="B4" s="391">
        <v>1</v>
      </c>
      <c r="C4" s="391">
        <v>2</v>
      </c>
      <c r="D4" s="391">
        <v>3</v>
      </c>
      <c r="E4" s="392">
        <f ca="1">OFFSET('Report &amp; Lookup Table'!$C$5,MATCH(SLRatio!B4,'Report &amp; Lookup Table'!$C$6:$C$45,0),MATCH(SLRatio!D4,'Report &amp; Lookup Table'!$D$5:$G$5,0))</f>
        <v>0.2854318524912528</v>
      </c>
      <c r="F4" s="391">
        <v>1.52450902894896</v>
      </c>
      <c r="G4" s="393">
        <v>42772.583182870374</v>
      </c>
      <c r="H4" s="394" t="s">
        <v>499</v>
      </c>
    </row>
    <row r="5" spans="1:8" x14ac:dyDescent="0.3">
      <c r="A5" s="391">
        <v>3</v>
      </c>
      <c r="B5" s="391">
        <v>1</v>
      </c>
      <c r="C5" s="391">
        <v>2</v>
      </c>
      <c r="D5" s="391">
        <v>4</v>
      </c>
      <c r="E5" s="392">
        <f ca="1">OFFSET('Report &amp; Lookup Table'!$C$5,MATCH(SLRatio!B5,'Report &amp; Lookup Table'!$C$6:$C$45,0),MATCH(SLRatio!D5,'Report &amp; Lookup Table'!$D$5:$G$5,0))</f>
        <v>0.2854318524912528</v>
      </c>
      <c r="F5" s="391">
        <v>1.1391422529150099</v>
      </c>
      <c r="G5" s="393">
        <v>42772.583182870374</v>
      </c>
      <c r="H5" s="394" t="s">
        <v>499</v>
      </c>
    </row>
    <row r="6" spans="1:8" x14ac:dyDescent="0.3">
      <c r="A6" s="391">
        <v>3</v>
      </c>
      <c r="B6" s="391">
        <v>1</v>
      </c>
      <c r="C6" s="391">
        <v>3</v>
      </c>
      <c r="D6" s="391">
        <v>1</v>
      </c>
      <c r="E6" s="392">
        <f ca="1">OFFSET('Report &amp; Lookup Table'!$C$5,MATCH(SLRatio!B6,'Report &amp; Lookup Table'!$C$6:$C$45,0),MATCH(SLRatio!D6,'Report &amp; Lookup Table'!$D$5:$G$5,0))</f>
        <v>0.2854318524912528</v>
      </c>
      <c r="F6" s="391">
        <v>1.7897762860244499</v>
      </c>
      <c r="G6" s="393">
        <v>42772.583182870374</v>
      </c>
      <c r="H6" s="394" t="s">
        <v>499</v>
      </c>
    </row>
    <row r="7" spans="1:8" x14ac:dyDescent="0.3">
      <c r="A7" s="391">
        <v>3</v>
      </c>
      <c r="B7" s="391">
        <v>1</v>
      </c>
      <c r="C7" s="391">
        <v>3</v>
      </c>
      <c r="D7" s="391">
        <v>2</v>
      </c>
      <c r="E7" s="392">
        <f ca="1">OFFSET('Report &amp; Lookup Table'!$C$5,MATCH(SLRatio!B7,'Report &amp; Lookup Table'!$C$6:$C$45,0),MATCH(SLRatio!D7,'Report &amp; Lookup Table'!$D$5:$G$5,0))</f>
        <v>0.2854318524912528</v>
      </c>
      <c r="F7" s="391">
        <v>2.71789934163658</v>
      </c>
      <c r="G7" s="393">
        <v>42772.583182870374</v>
      </c>
      <c r="H7" s="394" t="s">
        <v>499</v>
      </c>
    </row>
    <row r="8" spans="1:8" x14ac:dyDescent="0.3">
      <c r="A8" s="391">
        <v>3</v>
      </c>
      <c r="B8" s="391">
        <v>1</v>
      </c>
      <c r="C8" s="391">
        <v>3</v>
      </c>
      <c r="D8" s="391">
        <v>3</v>
      </c>
      <c r="E8" s="392">
        <f ca="1">OFFSET('Report &amp; Lookup Table'!$C$5,MATCH(SLRatio!B8,'Report &amp; Lookup Table'!$C$6:$C$45,0),MATCH(SLRatio!D8,'Report &amp; Lookup Table'!$D$5:$G$5,0))</f>
        <v>0.2854318524912528</v>
      </c>
      <c r="F8" s="391">
        <v>1.52450902894896</v>
      </c>
      <c r="G8" s="393">
        <v>42772.583182870374</v>
      </c>
      <c r="H8" s="394" t="s">
        <v>499</v>
      </c>
    </row>
    <row r="9" spans="1:8" x14ac:dyDescent="0.3">
      <c r="A9" s="391">
        <v>3</v>
      </c>
      <c r="B9" s="391">
        <v>1</v>
      </c>
      <c r="C9" s="391">
        <v>3</v>
      </c>
      <c r="D9" s="391">
        <v>4</v>
      </c>
      <c r="E9" s="392">
        <f ca="1">OFFSET('Report &amp; Lookup Table'!$C$5,MATCH(SLRatio!B9,'Report &amp; Lookup Table'!$C$6:$C$45,0),MATCH(SLRatio!D9,'Report &amp; Lookup Table'!$D$5:$G$5,0))</f>
        <v>0.2854318524912528</v>
      </c>
      <c r="F9" s="391">
        <v>1.1391422529150099</v>
      </c>
      <c r="G9" s="393">
        <v>42772.583182870374</v>
      </c>
      <c r="H9" s="394" t="s">
        <v>499</v>
      </c>
    </row>
    <row r="10" spans="1:8" x14ac:dyDescent="0.3">
      <c r="A10" s="391">
        <v>3</v>
      </c>
      <c r="B10" s="391">
        <v>1</v>
      </c>
      <c r="C10" s="391">
        <v>4</v>
      </c>
      <c r="D10" s="391">
        <v>1</v>
      </c>
      <c r="E10" s="392">
        <f ca="1">OFFSET('Report &amp; Lookup Table'!$C$5,MATCH(SLRatio!B10,'Report &amp; Lookup Table'!$C$6:$C$45,0),MATCH(SLRatio!D10,'Report &amp; Lookup Table'!$D$5:$G$5,0))</f>
        <v>0.2854318524912528</v>
      </c>
      <c r="F10" s="391">
        <v>1.7897762860244499</v>
      </c>
      <c r="G10" s="393">
        <v>42772.583182870374</v>
      </c>
      <c r="H10" s="394" t="s">
        <v>499</v>
      </c>
    </row>
    <row r="11" spans="1:8" x14ac:dyDescent="0.3">
      <c r="A11" s="391">
        <v>3</v>
      </c>
      <c r="B11" s="391">
        <v>1</v>
      </c>
      <c r="C11" s="391">
        <v>4</v>
      </c>
      <c r="D11" s="391">
        <v>2</v>
      </c>
      <c r="E11" s="392">
        <f ca="1">OFFSET('Report &amp; Lookup Table'!$C$5,MATCH(SLRatio!B11,'Report &amp; Lookup Table'!$C$6:$C$45,0),MATCH(SLRatio!D11,'Report &amp; Lookup Table'!$D$5:$G$5,0))</f>
        <v>0.2854318524912528</v>
      </c>
      <c r="F11" s="391">
        <v>2.71789934163658</v>
      </c>
      <c r="G11" s="393">
        <v>42772.583182870374</v>
      </c>
      <c r="H11" s="394" t="s">
        <v>499</v>
      </c>
    </row>
    <row r="12" spans="1:8" x14ac:dyDescent="0.3">
      <c r="A12" s="391">
        <v>3</v>
      </c>
      <c r="B12" s="391">
        <v>1</v>
      </c>
      <c r="C12" s="391">
        <v>4</v>
      </c>
      <c r="D12" s="391">
        <v>3</v>
      </c>
      <c r="E12" s="392">
        <f ca="1">OFFSET('Report &amp; Lookup Table'!$C$5,MATCH(SLRatio!B12,'Report &amp; Lookup Table'!$C$6:$C$45,0),MATCH(SLRatio!D12,'Report &amp; Lookup Table'!$D$5:$G$5,0))</f>
        <v>0.2854318524912528</v>
      </c>
      <c r="F12" s="391">
        <v>1.52450902894896</v>
      </c>
      <c r="G12" s="393">
        <v>42772.583182870374</v>
      </c>
      <c r="H12" s="394" t="s">
        <v>499</v>
      </c>
    </row>
    <row r="13" spans="1:8" x14ac:dyDescent="0.3">
      <c r="A13" s="391">
        <v>3</v>
      </c>
      <c r="B13" s="391">
        <v>1</v>
      </c>
      <c r="C13" s="391">
        <v>4</v>
      </c>
      <c r="D13" s="391">
        <v>4</v>
      </c>
      <c r="E13" s="392">
        <f ca="1">OFFSET('Report &amp; Lookup Table'!$C$5,MATCH(SLRatio!B13,'Report &amp; Lookup Table'!$C$6:$C$45,0),MATCH(SLRatio!D13,'Report &amp; Lookup Table'!$D$5:$G$5,0))</f>
        <v>0.2854318524912528</v>
      </c>
      <c r="F13" s="391">
        <v>1.1391422529150099</v>
      </c>
      <c r="G13" s="393">
        <v>42772.583182870374</v>
      </c>
      <c r="H13" s="394" t="s">
        <v>499</v>
      </c>
    </row>
    <row r="14" spans="1:8" x14ac:dyDescent="0.3">
      <c r="A14" s="391">
        <v>3</v>
      </c>
      <c r="B14" s="391">
        <v>1</v>
      </c>
      <c r="C14" s="391">
        <v>5</v>
      </c>
      <c r="D14" s="391">
        <v>1</v>
      </c>
      <c r="E14" s="392">
        <f ca="1">OFFSET('Report &amp; Lookup Table'!$C$5,MATCH(SLRatio!B14,'Report &amp; Lookup Table'!$C$6:$C$45,0),MATCH(SLRatio!D14,'Report &amp; Lookup Table'!$D$5:$G$5,0))</f>
        <v>0.2854318524912528</v>
      </c>
      <c r="F14" s="391">
        <v>1.7897762860244499</v>
      </c>
      <c r="G14" s="393">
        <v>42772.583182870374</v>
      </c>
      <c r="H14" s="394" t="s">
        <v>499</v>
      </c>
    </row>
    <row r="15" spans="1:8" x14ac:dyDescent="0.3">
      <c r="A15" s="391">
        <v>3</v>
      </c>
      <c r="B15" s="391">
        <v>1</v>
      </c>
      <c r="C15" s="391">
        <v>5</v>
      </c>
      <c r="D15" s="391">
        <v>2</v>
      </c>
      <c r="E15" s="392">
        <f ca="1">OFFSET('Report &amp; Lookup Table'!$C$5,MATCH(SLRatio!B15,'Report &amp; Lookup Table'!$C$6:$C$45,0),MATCH(SLRatio!D15,'Report &amp; Lookup Table'!$D$5:$G$5,0))</f>
        <v>0.2854318524912528</v>
      </c>
      <c r="F15" s="391">
        <v>2.71789934163658</v>
      </c>
      <c r="G15" s="393">
        <v>42772.583182870374</v>
      </c>
      <c r="H15" s="394" t="s">
        <v>499</v>
      </c>
    </row>
    <row r="16" spans="1:8" x14ac:dyDescent="0.3">
      <c r="A16" s="391">
        <v>3</v>
      </c>
      <c r="B16" s="391">
        <v>1</v>
      </c>
      <c r="C16" s="391">
        <v>5</v>
      </c>
      <c r="D16" s="391">
        <v>3</v>
      </c>
      <c r="E16" s="392">
        <f ca="1">OFFSET('Report &amp; Lookup Table'!$C$5,MATCH(SLRatio!B16,'Report &amp; Lookup Table'!$C$6:$C$45,0),MATCH(SLRatio!D16,'Report &amp; Lookup Table'!$D$5:$G$5,0))</f>
        <v>0.2854318524912528</v>
      </c>
      <c r="F16" s="391">
        <v>1.52450902894896</v>
      </c>
      <c r="G16" s="393">
        <v>42772.583182870374</v>
      </c>
      <c r="H16" s="394" t="s">
        <v>499</v>
      </c>
    </row>
    <row r="17" spans="1:8" x14ac:dyDescent="0.3">
      <c r="A17" s="391">
        <v>3</v>
      </c>
      <c r="B17" s="391">
        <v>1</v>
      </c>
      <c r="C17" s="391">
        <v>5</v>
      </c>
      <c r="D17" s="391">
        <v>4</v>
      </c>
      <c r="E17" s="392">
        <f ca="1">OFFSET('Report &amp; Lookup Table'!$C$5,MATCH(SLRatio!B17,'Report &amp; Lookup Table'!$C$6:$C$45,0),MATCH(SLRatio!D17,'Report &amp; Lookup Table'!$D$5:$G$5,0))</f>
        <v>0.2854318524912528</v>
      </c>
      <c r="F17" s="391">
        <v>1.1391422529150099</v>
      </c>
      <c r="G17" s="393">
        <v>42772.583182870374</v>
      </c>
      <c r="H17" s="394" t="s">
        <v>499</v>
      </c>
    </row>
    <row r="18" spans="1:8" x14ac:dyDescent="0.3">
      <c r="A18" s="391">
        <v>3</v>
      </c>
      <c r="B18" s="391">
        <v>3</v>
      </c>
      <c r="C18" s="391">
        <v>2</v>
      </c>
      <c r="D18" s="391">
        <v>1</v>
      </c>
      <c r="E18" s="392">
        <f ca="1">OFFSET('Report &amp; Lookup Table'!$C$5,MATCH(SLRatio!B18,'Report &amp; Lookup Table'!$C$6:$C$45,0),MATCH(SLRatio!D18,'Report &amp; Lookup Table'!$D$5:$G$5,0))</f>
        <v>0.50786553596964734</v>
      </c>
      <c r="F18" s="391">
        <v>0.13341323570838101</v>
      </c>
      <c r="G18" s="393">
        <v>42772.583182870374</v>
      </c>
      <c r="H18" s="394" t="s">
        <v>499</v>
      </c>
    </row>
    <row r="19" spans="1:8" x14ac:dyDescent="0.3">
      <c r="A19" s="391">
        <v>3</v>
      </c>
      <c r="B19" s="391">
        <v>3</v>
      </c>
      <c r="C19" s="391">
        <v>2</v>
      </c>
      <c r="D19" s="391">
        <v>2</v>
      </c>
      <c r="E19" s="392">
        <f ca="1">OFFSET('Report &amp; Lookup Table'!$C$5,MATCH(SLRatio!B19,'Report &amp; Lookup Table'!$C$6:$C$45,0),MATCH(SLRatio!D19,'Report &amp; Lookup Table'!$D$5:$G$5,0))</f>
        <v>0.50786553596964734</v>
      </c>
      <c r="F19" s="391">
        <v>2.7022682919589398</v>
      </c>
      <c r="G19" s="393">
        <v>42772.583182870374</v>
      </c>
      <c r="H19" s="394" t="s">
        <v>499</v>
      </c>
    </row>
    <row r="20" spans="1:8" x14ac:dyDescent="0.3">
      <c r="A20" s="391">
        <v>3</v>
      </c>
      <c r="B20" s="391">
        <v>3</v>
      </c>
      <c r="C20" s="391">
        <v>2</v>
      </c>
      <c r="D20" s="391">
        <v>3</v>
      </c>
      <c r="E20" s="392">
        <f ca="1">OFFSET('Report &amp; Lookup Table'!$C$5,MATCH(SLRatio!B20,'Report &amp; Lookup Table'!$C$6:$C$45,0),MATCH(SLRatio!D20,'Report &amp; Lookup Table'!$D$5:$G$5,0))</f>
        <v>0.50786553596964734</v>
      </c>
      <c r="F20" s="391">
        <v>2.1774094568987699</v>
      </c>
      <c r="G20" s="393">
        <v>42772.583182870374</v>
      </c>
      <c r="H20" s="394" t="s">
        <v>499</v>
      </c>
    </row>
    <row r="21" spans="1:8" x14ac:dyDescent="0.3">
      <c r="A21" s="391">
        <v>3</v>
      </c>
      <c r="B21" s="391">
        <v>3</v>
      </c>
      <c r="C21" s="391">
        <v>2</v>
      </c>
      <c r="D21" s="391">
        <v>4</v>
      </c>
      <c r="E21" s="392">
        <f ca="1">OFFSET('Report &amp; Lookup Table'!$C$5,MATCH(SLRatio!B21,'Report &amp; Lookup Table'!$C$6:$C$45,0),MATCH(SLRatio!D21,'Report &amp; Lookup Table'!$D$5:$G$5,0))</f>
        <v>0.50786553596964734</v>
      </c>
      <c r="F21" s="391">
        <v>0.62435853282507503</v>
      </c>
      <c r="G21" s="393">
        <v>42772.583182870374</v>
      </c>
      <c r="H21" s="394" t="s">
        <v>499</v>
      </c>
    </row>
    <row r="22" spans="1:8" x14ac:dyDescent="0.3">
      <c r="A22" s="391">
        <v>3</v>
      </c>
      <c r="B22" s="391">
        <v>3</v>
      </c>
      <c r="C22" s="391">
        <v>3</v>
      </c>
      <c r="D22" s="391">
        <v>1</v>
      </c>
      <c r="E22" s="392">
        <f ca="1">OFFSET('Report &amp; Lookup Table'!$C$5,MATCH(SLRatio!B22,'Report &amp; Lookup Table'!$C$6:$C$45,0),MATCH(SLRatio!D22,'Report &amp; Lookup Table'!$D$5:$G$5,0))</f>
        <v>0.50786553596964734</v>
      </c>
      <c r="F22" s="391">
        <v>0.13341323570838101</v>
      </c>
      <c r="G22" s="393">
        <v>42772.583182870374</v>
      </c>
      <c r="H22" s="394" t="s">
        <v>499</v>
      </c>
    </row>
    <row r="23" spans="1:8" x14ac:dyDescent="0.3">
      <c r="A23" s="391">
        <v>3</v>
      </c>
      <c r="B23" s="391">
        <v>3</v>
      </c>
      <c r="C23" s="391">
        <v>3</v>
      </c>
      <c r="D23" s="391">
        <v>2</v>
      </c>
      <c r="E23" s="392">
        <f ca="1">OFFSET('Report &amp; Lookup Table'!$C$5,MATCH(SLRatio!B23,'Report &amp; Lookup Table'!$C$6:$C$45,0),MATCH(SLRatio!D23,'Report &amp; Lookup Table'!$D$5:$G$5,0))</f>
        <v>0.50786553596964734</v>
      </c>
      <c r="F23" s="391">
        <v>2.7022682919589398</v>
      </c>
      <c r="G23" s="393">
        <v>42772.583182870374</v>
      </c>
      <c r="H23" s="394" t="s">
        <v>499</v>
      </c>
    </row>
    <row r="24" spans="1:8" x14ac:dyDescent="0.3">
      <c r="A24" s="391">
        <v>3</v>
      </c>
      <c r="B24" s="391">
        <v>3</v>
      </c>
      <c r="C24" s="391">
        <v>3</v>
      </c>
      <c r="D24" s="391">
        <v>3</v>
      </c>
      <c r="E24" s="392">
        <f ca="1">OFFSET('Report &amp; Lookup Table'!$C$5,MATCH(SLRatio!B24,'Report &amp; Lookup Table'!$C$6:$C$45,0),MATCH(SLRatio!D24,'Report &amp; Lookup Table'!$D$5:$G$5,0))</f>
        <v>0.50786553596964734</v>
      </c>
      <c r="F24" s="391">
        <v>2.1774094568987699</v>
      </c>
      <c r="G24" s="393">
        <v>42772.583182870374</v>
      </c>
      <c r="H24" s="394" t="s">
        <v>499</v>
      </c>
    </row>
    <row r="25" spans="1:8" x14ac:dyDescent="0.3">
      <c r="A25" s="391">
        <v>3</v>
      </c>
      <c r="B25" s="391">
        <v>3</v>
      </c>
      <c r="C25" s="391">
        <v>3</v>
      </c>
      <c r="D25" s="391">
        <v>4</v>
      </c>
      <c r="E25" s="392">
        <f ca="1">OFFSET('Report &amp; Lookup Table'!$C$5,MATCH(SLRatio!B25,'Report &amp; Lookup Table'!$C$6:$C$45,0),MATCH(SLRatio!D25,'Report &amp; Lookup Table'!$D$5:$G$5,0))</f>
        <v>0.50786553596964734</v>
      </c>
      <c r="F25" s="391">
        <v>0.62435853282507503</v>
      </c>
      <c r="G25" s="393">
        <v>42772.583182870374</v>
      </c>
      <c r="H25" s="394" t="s">
        <v>499</v>
      </c>
    </row>
    <row r="26" spans="1:8" x14ac:dyDescent="0.3">
      <c r="A26" s="391">
        <v>3</v>
      </c>
      <c r="B26" s="391">
        <v>3</v>
      </c>
      <c r="C26" s="391">
        <v>4</v>
      </c>
      <c r="D26" s="391">
        <v>1</v>
      </c>
      <c r="E26" s="392">
        <f ca="1">OFFSET('Report &amp; Lookup Table'!$C$5,MATCH(SLRatio!B26,'Report &amp; Lookup Table'!$C$6:$C$45,0),MATCH(SLRatio!D26,'Report &amp; Lookup Table'!$D$5:$G$5,0))</f>
        <v>0.50786553596964734</v>
      </c>
      <c r="F26" s="391">
        <v>0.13341323570838101</v>
      </c>
      <c r="G26" s="393">
        <v>42772.583182870374</v>
      </c>
      <c r="H26" s="394" t="s">
        <v>499</v>
      </c>
    </row>
    <row r="27" spans="1:8" x14ac:dyDescent="0.3">
      <c r="A27" s="391">
        <v>3</v>
      </c>
      <c r="B27" s="391">
        <v>3</v>
      </c>
      <c r="C27" s="391">
        <v>4</v>
      </c>
      <c r="D27" s="391">
        <v>2</v>
      </c>
      <c r="E27" s="392">
        <f ca="1">OFFSET('Report &amp; Lookup Table'!$C$5,MATCH(SLRatio!B27,'Report &amp; Lookup Table'!$C$6:$C$45,0),MATCH(SLRatio!D27,'Report &amp; Lookup Table'!$D$5:$G$5,0))</f>
        <v>0.50786553596964734</v>
      </c>
      <c r="F27" s="391">
        <v>2.7022682919589398</v>
      </c>
      <c r="G27" s="393">
        <v>42772.583182870374</v>
      </c>
      <c r="H27" s="394" t="s">
        <v>499</v>
      </c>
    </row>
    <row r="28" spans="1:8" x14ac:dyDescent="0.3">
      <c r="A28" s="391">
        <v>3</v>
      </c>
      <c r="B28" s="391">
        <v>3</v>
      </c>
      <c r="C28" s="391">
        <v>4</v>
      </c>
      <c r="D28" s="391">
        <v>3</v>
      </c>
      <c r="E28" s="392">
        <f ca="1">OFFSET('Report &amp; Lookup Table'!$C$5,MATCH(SLRatio!B28,'Report &amp; Lookup Table'!$C$6:$C$45,0),MATCH(SLRatio!D28,'Report &amp; Lookup Table'!$D$5:$G$5,0))</f>
        <v>0.50786553596964734</v>
      </c>
      <c r="F28" s="391">
        <v>2.1774094568987699</v>
      </c>
      <c r="G28" s="393">
        <v>42772.583182870374</v>
      </c>
      <c r="H28" s="394" t="s">
        <v>499</v>
      </c>
    </row>
    <row r="29" spans="1:8" x14ac:dyDescent="0.3">
      <c r="A29" s="391">
        <v>3</v>
      </c>
      <c r="B29" s="391">
        <v>3</v>
      </c>
      <c r="C29" s="391">
        <v>4</v>
      </c>
      <c r="D29" s="391">
        <v>4</v>
      </c>
      <c r="E29" s="392">
        <f ca="1">OFFSET('Report &amp; Lookup Table'!$C$5,MATCH(SLRatio!B29,'Report &amp; Lookup Table'!$C$6:$C$45,0),MATCH(SLRatio!D29,'Report &amp; Lookup Table'!$D$5:$G$5,0))</f>
        <v>0.50786553596964734</v>
      </c>
      <c r="F29" s="391">
        <v>0.62435853282507503</v>
      </c>
      <c r="G29" s="393">
        <v>42772.583182870374</v>
      </c>
      <c r="H29" s="394" t="s">
        <v>499</v>
      </c>
    </row>
    <row r="30" spans="1:8" x14ac:dyDescent="0.3">
      <c r="A30" s="391">
        <v>3</v>
      </c>
      <c r="B30" s="391">
        <v>3</v>
      </c>
      <c r="C30" s="391">
        <v>5</v>
      </c>
      <c r="D30" s="391">
        <v>1</v>
      </c>
      <c r="E30" s="392">
        <f ca="1">OFFSET('Report &amp; Lookup Table'!$C$5,MATCH(SLRatio!B30,'Report &amp; Lookup Table'!$C$6:$C$45,0),MATCH(SLRatio!D30,'Report &amp; Lookup Table'!$D$5:$G$5,0))</f>
        <v>0.50786553596964734</v>
      </c>
      <c r="F30" s="391">
        <v>0.13341323570838101</v>
      </c>
      <c r="G30" s="393">
        <v>42772.583182870374</v>
      </c>
      <c r="H30" s="394" t="s">
        <v>499</v>
      </c>
    </row>
    <row r="31" spans="1:8" x14ac:dyDescent="0.3">
      <c r="A31" s="391">
        <v>3</v>
      </c>
      <c r="B31" s="391">
        <v>3</v>
      </c>
      <c r="C31" s="391">
        <v>5</v>
      </c>
      <c r="D31" s="391">
        <v>2</v>
      </c>
      <c r="E31" s="392">
        <f ca="1">OFFSET('Report &amp; Lookup Table'!$C$5,MATCH(SLRatio!B31,'Report &amp; Lookup Table'!$C$6:$C$45,0),MATCH(SLRatio!D31,'Report &amp; Lookup Table'!$D$5:$G$5,0))</f>
        <v>0.50786553596964734</v>
      </c>
      <c r="F31" s="391">
        <v>2.7022682919589398</v>
      </c>
      <c r="G31" s="393">
        <v>42772.583182870374</v>
      </c>
      <c r="H31" s="394" t="s">
        <v>499</v>
      </c>
    </row>
    <row r="32" spans="1:8" x14ac:dyDescent="0.3">
      <c r="A32" s="391">
        <v>3</v>
      </c>
      <c r="B32" s="391">
        <v>3</v>
      </c>
      <c r="C32" s="391">
        <v>5</v>
      </c>
      <c r="D32" s="391">
        <v>3</v>
      </c>
      <c r="E32" s="392">
        <f ca="1">OFFSET('Report &amp; Lookup Table'!$C$5,MATCH(SLRatio!B32,'Report &amp; Lookup Table'!$C$6:$C$45,0),MATCH(SLRatio!D32,'Report &amp; Lookup Table'!$D$5:$G$5,0))</f>
        <v>0.50786553596964734</v>
      </c>
      <c r="F32" s="391">
        <v>2.1774094568987699</v>
      </c>
      <c r="G32" s="393">
        <v>42772.583182870374</v>
      </c>
      <c r="H32" s="394" t="s">
        <v>499</v>
      </c>
    </row>
    <row r="33" spans="1:8" x14ac:dyDescent="0.3">
      <c r="A33" s="391">
        <v>3</v>
      </c>
      <c r="B33" s="391">
        <v>3</v>
      </c>
      <c r="C33" s="391">
        <v>5</v>
      </c>
      <c r="D33" s="391">
        <v>4</v>
      </c>
      <c r="E33" s="392">
        <f ca="1">OFFSET('Report &amp; Lookup Table'!$C$5,MATCH(SLRatio!B33,'Report &amp; Lookup Table'!$C$6:$C$45,0),MATCH(SLRatio!D33,'Report &amp; Lookup Table'!$D$5:$G$5,0))</f>
        <v>0.50786553596964734</v>
      </c>
      <c r="F33" s="391">
        <v>0.62435853282507503</v>
      </c>
      <c r="G33" s="393">
        <v>42772.583182870374</v>
      </c>
      <c r="H33" s="394" t="s">
        <v>499</v>
      </c>
    </row>
    <row r="34" spans="1:8" x14ac:dyDescent="0.3">
      <c r="A34" s="391">
        <v>3</v>
      </c>
      <c r="B34" s="391">
        <v>8</v>
      </c>
      <c r="C34" s="391">
        <v>2</v>
      </c>
      <c r="D34" s="391">
        <v>1</v>
      </c>
      <c r="E34" s="392">
        <f ca="1">OFFSET('Report &amp; Lookup Table'!$C$5,MATCH(SLRatio!B34,'Report &amp; Lookup Table'!$C$6:$C$45,0),MATCH(SLRatio!D34,'Report &amp; Lookup Table'!$D$5:$G$5,0))</f>
        <v>4.4398754114582124E-3</v>
      </c>
      <c r="F34" s="391">
        <v>1</v>
      </c>
      <c r="G34" s="393">
        <v>42772.583182870374</v>
      </c>
      <c r="H34" s="394" t="s">
        <v>499</v>
      </c>
    </row>
    <row r="35" spans="1:8" x14ac:dyDescent="0.3">
      <c r="A35" s="391">
        <v>3</v>
      </c>
      <c r="B35" s="391">
        <v>8</v>
      </c>
      <c r="C35" s="391">
        <v>2</v>
      </c>
      <c r="D35" s="391">
        <v>2</v>
      </c>
      <c r="E35" s="392">
        <f ca="1">OFFSET('Report &amp; Lookup Table'!$C$5,MATCH(SLRatio!B35,'Report &amp; Lookup Table'!$C$6:$C$45,0),MATCH(SLRatio!D35,'Report &amp; Lookup Table'!$D$5:$G$5,0))</f>
        <v>4.4398754114582124E-3</v>
      </c>
      <c r="F35" s="391">
        <v>1.56985691470428</v>
      </c>
      <c r="G35" s="393">
        <v>42772.583182870374</v>
      </c>
      <c r="H35" s="394" t="s">
        <v>499</v>
      </c>
    </row>
    <row r="36" spans="1:8" x14ac:dyDescent="0.3">
      <c r="A36" s="391">
        <v>3</v>
      </c>
      <c r="B36" s="391">
        <v>8</v>
      </c>
      <c r="C36" s="391">
        <v>2</v>
      </c>
      <c r="D36" s="391">
        <v>3</v>
      </c>
      <c r="E36" s="392">
        <f ca="1">OFFSET('Report &amp; Lookup Table'!$C$5,MATCH(SLRatio!B36,'Report &amp; Lookup Table'!$C$6:$C$45,0),MATCH(SLRatio!D36,'Report &amp; Lookup Table'!$D$5:$G$5,0))</f>
        <v>4.4398754114582124E-3</v>
      </c>
      <c r="F36" s="391">
        <v>3.2858076652446999</v>
      </c>
      <c r="G36" s="393">
        <v>42772.583182870374</v>
      </c>
      <c r="H36" s="394" t="s">
        <v>499</v>
      </c>
    </row>
    <row r="37" spans="1:8" x14ac:dyDescent="0.3">
      <c r="A37" s="391">
        <v>3</v>
      </c>
      <c r="B37" s="391">
        <v>8</v>
      </c>
      <c r="C37" s="391">
        <v>2</v>
      </c>
      <c r="D37" s="391">
        <v>4</v>
      </c>
      <c r="E37" s="392">
        <f ca="1">OFFSET('Report &amp; Lookup Table'!$C$5,MATCH(SLRatio!B37,'Report &amp; Lookup Table'!$C$6:$C$45,0),MATCH(SLRatio!D37,'Report &amp; Lookup Table'!$D$5:$G$5,0))</f>
        <v>4.4398754114582124E-3</v>
      </c>
      <c r="F37" s="391">
        <v>1</v>
      </c>
      <c r="G37" s="393">
        <v>42772.583182870374</v>
      </c>
      <c r="H37" s="394" t="s">
        <v>499</v>
      </c>
    </row>
    <row r="38" spans="1:8" x14ac:dyDescent="0.3">
      <c r="A38" s="391">
        <v>3</v>
      </c>
      <c r="B38" s="391">
        <v>8</v>
      </c>
      <c r="C38" s="391">
        <v>3</v>
      </c>
      <c r="D38" s="391">
        <v>1</v>
      </c>
      <c r="E38" s="392">
        <f ca="1">OFFSET('Report &amp; Lookup Table'!$C$5,MATCH(SLRatio!B38,'Report &amp; Lookup Table'!$C$6:$C$45,0),MATCH(SLRatio!D38,'Report &amp; Lookup Table'!$D$5:$G$5,0))</f>
        <v>4.4398754114582124E-3</v>
      </c>
      <c r="F38" s="391">
        <v>1</v>
      </c>
      <c r="G38" s="393">
        <v>42772.583182870374</v>
      </c>
      <c r="H38" s="394" t="s">
        <v>499</v>
      </c>
    </row>
    <row r="39" spans="1:8" x14ac:dyDescent="0.3">
      <c r="A39" s="391">
        <v>3</v>
      </c>
      <c r="B39" s="391">
        <v>8</v>
      </c>
      <c r="C39" s="391">
        <v>3</v>
      </c>
      <c r="D39" s="391">
        <v>2</v>
      </c>
      <c r="E39" s="392">
        <f ca="1">OFFSET('Report &amp; Lookup Table'!$C$5,MATCH(SLRatio!B39,'Report &amp; Lookup Table'!$C$6:$C$45,0),MATCH(SLRatio!D39,'Report &amp; Lookup Table'!$D$5:$G$5,0))</f>
        <v>4.4398754114582124E-3</v>
      </c>
      <c r="F39" s="391">
        <v>1.56985691470428</v>
      </c>
      <c r="G39" s="393">
        <v>42772.583182870374</v>
      </c>
      <c r="H39" s="394" t="s">
        <v>499</v>
      </c>
    </row>
    <row r="40" spans="1:8" x14ac:dyDescent="0.3">
      <c r="A40" s="391">
        <v>3</v>
      </c>
      <c r="B40" s="391">
        <v>8</v>
      </c>
      <c r="C40" s="391">
        <v>3</v>
      </c>
      <c r="D40" s="391">
        <v>3</v>
      </c>
      <c r="E40" s="392">
        <f ca="1">OFFSET('Report &amp; Lookup Table'!$C$5,MATCH(SLRatio!B40,'Report &amp; Lookup Table'!$C$6:$C$45,0),MATCH(SLRatio!D40,'Report &amp; Lookup Table'!$D$5:$G$5,0))</f>
        <v>4.4398754114582124E-3</v>
      </c>
      <c r="F40" s="391">
        <v>3.2858076652446999</v>
      </c>
      <c r="G40" s="393">
        <v>42772.583182870374</v>
      </c>
      <c r="H40" s="394" t="s">
        <v>499</v>
      </c>
    </row>
    <row r="41" spans="1:8" x14ac:dyDescent="0.3">
      <c r="A41" s="391">
        <v>3</v>
      </c>
      <c r="B41" s="391">
        <v>8</v>
      </c>
      <c r="C41" s="391">
        <v>3</v>
      </c>
      <c r="D41" s="391">
        <v>4</v>
      </c>
      <c r="E41" s="392">
        <f ca="1">OFFSET('Report &amp; Lookup Table'!$C$5,MATCH(SLRatio!B41,'Report &amp; Lookup Table'!$C$6:$C$45,0),MATCH(SLRatio!D41,'Report &amp; Lookup Table'!$D$5:$G$5,0))</f>
        <v>4.4398754114582124E-3</v>
      </c>
      <c r="F41" s="391">
        <v>1</v>
      </c>
      <c r="G41" s="393">
        <v>42772.583182870374</v>
      </c>
      <c r="H41" s="394" t="s">
        <v>499</v>
      </c>
    </row>
    <row r="42" spans="1:8" x14ac:dyDescent="0.3">
      <c r="A42" s="391">
        <v>3</v>
      </c>
      <c r="B42" s="391">
        <v>8</v>
      </c>
      <c r="C42" s="391">
        <v>4</v>
      </c>
      <c r="D42" s="391">
        <v>1</v>
      </c>
      <c r="E42" s="392">
        <f ca="1">OFFSET('Report &amp; Lookup Table'!$C$5,MATCH(SLRatio!B42,'Report &amp; Lookup Table'!$C$6:$C$45,0),MATCH(SLRatio!D42,'Report &amp; Lookup Table'!$D$5:$G$5,0))</f>
        <v>4.4398754114582124E-3</v>
      </c>
      <c r="F42" s="391">
        <v>1</v>
      </c>
      <c r="G42" s="393">
        <v>42772.583182870374</v>
      </c>
      <c r="H42" s="394" t="s">
        <v>499</v>
      </c>
    </row>
    <row r="43" spans="1:8" x14ac:dyDescent="0.3">
      <c r="A43" s="391">
        <v>3</v>
      </c>
      <c r="B43" s="391">
        <v>8</v>
      </c>
      <c r="C43" s="391">
        <v>4</v>
      </c>
      <c r="D43" s="391">
        <v>2</v>
      </c>
      <c r="E43" s="392">
        <f ca="1">OFFSET('Report &amp; Lookup Table'!$C$5,MATCH(SLRatio!B43,'Report &amp; Lookup Table'!$C$6:$C$45,0),MATCH(SLRatio!D43,'Report &amp; Lookup Table'!$D$5:$G$5,0))</f>
        <v>4.4398754114582124E-3</v>
      </c>
      <c r="F43" s="391">
        <v>1.56985691470428</v>
      </c>
      <c r="G43" s="393">
        <v>42772.583182870374</v>
      </c>
      <c r="H43" s="394" t="s">
        <v>499</v>
      </c>
    </row>
    <row r="44" spans="1:8" x14ac:dyDescent="0.3">
      <c r="A44" s="391">
        <v>3</v>
      </c>
      <c r="B44" s="391">
        <v>8</v>
      </c>
      <c r="C44" s="391">
        <v>4</v>
      </c>
      <c r="D44" s="391">
        <v>3</v>
      </c>
      <c r="E44" s="392">
        <f ca="1">OFFSET('Report &amp; Lookup Table'!$C$5,MATCH(SLRatio!B44,'Report &amp; Lookup Table'!$C$6:$C$45,0),MATCH(SLRatio!D44,'Report &amp; Lookup Table'!$D$5:$G$5,0))</f>
        <v>4.4398754114582124E-3</v>
      </c>
      <c r="F44" s="391">
        <v>3.2858076652446999</v>
      </c>
      <c r="G44" s="393">
        <v>42772.583182870374</v>
      </c>
      <c r="H44" s="394" t="s">
        <v>499</v>
      </c>
    </row>
    <row r="45" spans="1:8" x14ac:dyDescent="0.3">
      <c r="A45" s="391">
        <v>3</v>
      </c>
      <c r="B45" s="391">
        <v>8</v>
      </c>
      <c r="C45" s="391">
        <v>4</v>
      </c>
      <c r="D45" s="391">
        <v>4</v>
      </c>
      <c r="E45" s="392">
        <f ca="1">OFFSET('Report &amp; Lookup Table'!$C$5,MATCH(SLRatio!B45,'Report &amp; Lookup Table'!$C$6:$C$45,0),MATCH(SLRatio!D45,'Report &amp; Lookup Table'!$D$5:$G$5,0))</f>
        <v>4.4398754114582124E-3</v>
      </c>
      <c r="F45" s="391">
        <v>1</v>
      </c>
      <c r="G45" s="393">
        <v>42772.583182870374</v>
      </c>
      <c r="H45" s="394" t="s">
        <v>499</v>
      </c>
    </row>
    <row r="46" spans="1:8" x14ac:dyDescent="0.3">
      <c r="A46" s="391">
        <v>3</v>
      </c>
      <c r="B46" s="391">
        <v>8</v>
      </c>
      <c r="C46" s="391">
        <v>5</v>
      </c>
      <c r="D46" s="391">
        <v>1</v>
      </c>
      <c r="E46" s="392">
        <f ca="1">OFFSET('Report &amp; Lookup Table'!$C$5,MATCH(SLRatio!B46,'Report &amp; Lookup Table'!$C$6:$C$45,0),MATCH(SLRatio!D46,'Report &amp; Lookup Table'!$D$5:$G$5,0))</f>
        <v>4.4398754114582124E-3</v>
      </c>
      <c r="F46" s="391">
        <v>1</v>
      </c>
      <c r="G46" s="393">
        <v>42772.583182870374</v>
      </c>
      <c r="H46" s="394" t="s">
        <v>499</v>
      </c>
    </row>
    <row r="47" spans="1:8" x14ac:dyDescent="0.3">
      <c r="A47" s="391">
        <v>3</v>
      </c>
      <c r="B47" s="391">
        <v>8</v>
      </c>
      <c r="C47" s="391">
        <v>5</v>
      </c>
      <c r="D47" s="391">
        <v>2</v>
      </c>
      <c r="E47" s="392">
        <f ca="1">OFFSET('Report &amp; Lookup Table'!$C$5,MATCH(SLRatio!B47,'Report &amp; Lookup Table'!$C$6:$C$45,0),MATCH(SLRatio!D47,'Report &amp; Lookup Table'!$D$5:$G$5,0))</f>
        <v>4.4398754114582124E-3</v>
      </c>
      <c r="F47" s="391">
        <v>1.56985691470428</v>
      </c>
      <c r="G47" s="393">
        <v>42772.583182870374</v>
      </c>
      <c r="H47" s="394" t="s">
        <v>499</v>
      </c>
    </row>
    <row r="48" spans="1:8" x14ac:dyDescent="0.3">
      <c r="A48" s="391">
        <v>3</v>
      </c>
      <c r="B48" s="391">
        <v>8</v>
      </c>
      <c r="C48" s="391">
        <v>5</v>
      </c>
      <c r="D48" s="391">
        <v>3</v>
      </c>
      <c r="E48" s="392">
        <f ca="1">OFFSET('Report &amp; Lookup Table'!$C$5,MATCH(SLRatio!B48,'Report &amp; Lookup Table'!$C$6:$C$45,0),MATCH(SLRatio!D48,'Report &amp; Lookup Table'!$D$5:$G$5,0))</f>
        <v>4.4398754114582124E-3</v>
      </c>
      <c r="F48" s="391">
        <v>3.2858076652446999</v>
      </c>
      <c r="G48" s="393">
        <v>42772.583182870374</v>
      </c>
      <c r="H48" s="394" t="s">
        <v>499</v>
      </c>
    </row>
    <row r="49" spans="1:8" x14ac:dyDescent="0.3">
      <c r="A49" s="391">
        <v>3</v>
      </c>
      <c r="B49" s="391">
        <v>8</v>
      </c>
      <c r="C49" s="391">
        <v>5</v>
      </c>
      <c r="D49" s="391">
        <v>4</v>
      </c>
      <c r="E49" s="392">
        <f ca="1">OFFSET('Report &amp; Lookup Table'!$C$5,MATCH(SLRatio!B49,'Report &amp; Lookup Table'!$C$6:$C$45,0),MATCH(SLRatio!D49,'Report &amp; Lookup Table'!$D$5:$G$5,0))</f>
        <v>4.4398754114582124E-3</v>
      </c>
      <c r="F49" s="391">
        <v>1</v>
      </c>
      <c r="G49" s="393">
        <v>42772.583182870374</v>
      </c>
      <c r="H49" s="394" t="s">
        <v>499</v>
      </c>
    </row>
    <row r="50" spans="1:8" x14ac:dyDescent="0.3">
      <c r="A50" s="391">
        <v>3</v>
      </c>
      <c r="B50" s="391">
        <v>9</v>
      </c>
      <c r="C50" s="391">
        <v>2</v>
      </c>
      <c r="D50" s="391">
        <v>1</v>
      </c>
      <c r="E50" s="392">
        <f ca="1">OFFSET('Report &amp; Lookup Table'!$C$5,MATCH(SLRatio!B50,'Report &amp; Lookup Table'!$C$6:$C$45,0),MATCH(SLRatio!D50,'Report &amp; Lookup Table'!$D$5:$G$5,0))</f>
        <v>0.10339916197847687</v>
      </c>
      <c r="F50" s="391">
        <v>3.7796216030811097E-2</v>
      </c>
      <c r="G50" s="393">
        <v>42772.583182870374</v>
      </c>
      <c r="H50" s="394" t="s">
        <v>499</v>
      </c>
    </row>
    <row r="51" spans="1:8" x14ac:dyDescent="0.3">
      <c r="A51" s="391">
        <v>3</v>
      </c>
      <c r="B51" s="391">
        <v>9</v>
      </c>
      <c r="C51" s="391">
        <v>2</v>
      </c>
      <c r="D51" s="391">
        <v>2</v>
      </c>
      <c r="E51" s="392">
        <f ca="1">OFFSET('Report &amp; Lookup Table'!$C$5,MATCH(SLRatio!B51,'Report &amp; Lookup Table'!$C$6:$C$45,0),MATCH(SLRatio!D51,'Report &amp; Lookup Table'!$D$5:$G$5,0))</f>
        <v>0.10339916197847687</v>
      </c>
      <c r="F51" s="391">
        <v>2.02221302113304</v>
      </c>
      <c r="G51" s="393">
        <v>42772.583182870374</v>
      </c>
      <c r="H51" s="394" t="s">
        <v>499</v>
      </c>
    </row>
    <row r="52" spans="1:8" x14ac:dyDescent="0.3">
      <c r="A52" s="391">
        <v>3</v>
      </c>
      <c r="B52" s="391">
        <v>9</v>
      </c>
      <c r="C52" s="391">
        <v>2</v>
      </c>
      <c r="D52" s="391">
        <v>3</v>
      </c>
      <c r="E52" s="392">
        <f ca="1">OFFSET('Report &amp; Lookup Table'!$C$5,MATCH(SLRatio!B52,'Report &amp; Lookup Table'!$C$6:$C$45,0),MATCH(SLRatio!D52,'Report &amp; Lookup Table'!$D$5:$G$5,0))</f>
        <v>0.10339916197847687</v>
      </c>
      <c r="F52" s="391">
        <v>1.5028135050384299</v>
      </c>
      <c r="G52" s="393">
        <v>42772.583182870374</v>
      </c>
      <c r="H52" s="394" t="s">
        <v>499</v>
      </c>
    </row>
    <row r="53" spans="1:8" x14ac:dyDescent="0.3">
      <c r="A53" s="391">
        <v>3</v>
      </c>
      <c r="B53" s="391">
        <v>9</v>
      </c>
      <c r="C53" s="391">
        <v>2</v>
      </c>
      <c r="D53" s="391">
        <v>4</v>
      </c>
      <c r="E53" s="392">
        <f ca="1">OFFSET('Report &amp; Lookup Table'!$C$5,MATCH(SLRatio!B53,'Report &amp; Lookup Table'!$C$6:$C$45,0),MATCH(SLRatio!D53,'Report &amp; Lookup Table'!$D$5:$G$5,0))</f>
        <v>0.10339916197847687</v>
      </c>
      <c r="F53" s="391">
        <v>7.2044349622400403E-2</v>
      </c>
      <c r="G53" s="393">
        <v>42772.583182870374</v>
      </c>
      <c r="H53" s="394" t="s">
        <v>499</v>
      </c>
    </row>
    <row r="54" spans="1:8" x14ac:dyDescent="0.3">
      <c r="A54" s="391">
        <v>3</v>
      </c>
      <c r="B54" s="391">
        <v>9</v>
      </c>
      <c r="C54" s="391">
        <v>3</v>
      </c>
      <c r="D54" s="391">
        <v>1</v>
      </c>
      <c r="E54" s="392">
        <f ca="1">OFFSET('Report &amp; Lookup Table'!$C$5,MATCH(SLRatio!B54,'Report &amp; Lookup Table'!$C$6:$C$45,0),MATCH(SLRatio!D54,'Report &amp; Lookup Table'!$D$5:$G$5,0))</f>
        <v>0.10339916197847687</v>
      </c>
      <c r="F54" s="391">
        <v>3.7796216030811097E-2</v>
      </c>
      <c r="G54" s="393">
        <v>42772.583182870374</v>
      </c>
      <c r="H54" s="394" t="s">
        <v>499</v>
      </c>
    </row>
    <row r="55" spans="1:8" x14ac:dyDescent="0.3">
      <c r="A55" s="391">
        <v>3</v>
      </c>
      <c r="B55" s="391">
        <v>9</v>
      </c>
      <c r="C55" s="391">
        <v>3</v>
      </c>
      <c r="D55" s="391">
        <v>2</v>
      </c>
      <c r="E55" s="392">
        <f ca="1">OFFSET('Report &amp; Lookup Table'!$C$5,MATCH(SLRatio!B55,'Report &amp; Lookup Table'!$C$6:$C$45,0),MATCH(SLRatio!D55,'Report &amp; Lookup Table'!$D$5:$G$5,0))</f>
        <v>0.10339916197847687</v>
      </c>
      <c r="F55" s="391">
        <v>2.02221302113304</v>
      </c>
      <c r="G55" s="393">
        <v>42772.583182870374</v>
      </c>
      <c r="H55" s="394" t="s">
        <v>499</v>
      </c>
    </row>
    <row r="56" spans="1:8" x14ac:dyDescent="0.3">
      <c r="A56" s="391">
        <v>3</v>
      </c>
      <c r="B56" s="391">
        <v>9</v>
      </c>
      <c r="C56" s="391">
        <v>3</v>
      </c>
      <c r="D56" s="391">
        <v>3</v>
      </c>
      <c r="E56" s="392">
        <f ca="1">OFFSET('Report &amp; Lookup Table'!$C$5,MATCH(SLRatio!B56,'Report &amp; Lookup Table'!$C$6:$C$45,0),MATCH(SLRatio!D56,'Report &amp; Lookup Table'!$D$5:$G$5,0))</f>
        <v>0.10339916197847687</v>
      </c>
      <c r="F56" s="391">
        <v>1.5028135050384299</v>
      </c>
      <c r="G56" s="393">
        <v>42772.583182870374</v>
      </c>
      <c r="H56" s="394" t="s">
        <v>499</v>
      </c>
    </row>
    <row r="57" spans="1:8" x14ac:dyDescent="0.3">
      <c r="A57" s="391">
        <v>3</v>
      </c>
      <c r="B57" s="391">
        <v>9</v>
      </c>
      <c r="C57" s="391">
        <v>3</v>
      </c>
      <c r="D57" s="391">
        <v>4</v>
      </c>
      <c r="E57" s="392">
        <f ca="1">OFFSET('Report &amp; Lookup Table'!$C$5,MATCH(SLRatio!B57,'Report &amp; Lookup Table'!$C$6:$C$45,0),MATCH(SLRatio!D57,'Report &amp; Lookup Table'!$D$5:$G$5,0))</f>
        <v>0.10339916197847687</v>
      </c>
      <c r="F57" s="391">
        <v>7.2044349622400403E-2</v>
      </c>
      <c r="G57" s="393">
        <v>42772.583182870374</v>
      </c>
      <c r="H57" s="394" t="s">
        <v>499</v>
      </c>
    </row>
    <row r="58" spans="1:8" x14ac:dyDescent="0.3">
      <c r="A58" s="391">
        <v>3</v>
      </c>
      <c r="B58" s="391">
        <v>9</v>
      </c>
      <c r="C58" s="391">
        <v>4</v>
      </c>
      <c r="D58" s="391">
        <v>1</v>
      </c>
      <c r="E58" s="392">
        <f ca="1">OFFSET('Report &amp; Lookup Table'!$C$5,MATCH(SLRatio!B58,'Report &amp; Lookup Table'!$C$6:$C$45,0),MATCH(SLRatio!D58,'Report &amp; Lookup Table'!$D$5:$G$5,0))</f>
        <v>0.10339916197847687</v>
      </c>
      <c r="F58" s="391">
        <v>3.7796216030811097E-2</v>
      </c>
      <c r="G58" s="393">
        <v>42772.583182870374</v>
      </c>
      <c r="H58" s="394" t="s">
        <v>499</v>
      </c>
    </row>
    <row r="59" spans="1:8" x14ac:dyDescent="0.3">
      <c r="A59" s="391">
        <v>3</v>
      </c>
      <c r="B59" s="391">
        <v>9</v>
      </c>
      <c r="C59" s="391">
        <v>4</v>
      </c>
      <c r="D59" s="391">
        <v>2</v>
      </c>
      <c r="E59" s="392">
        <f ca="1">OFFSET('Report &amp; Lookup Table'!$C$5,MATCH(SLRatio!B59,'Report &amp; Lookup Table'!$C$6:$C$45,0),MATCH(SLRatio!D59,'Report &amp; Lookup Table'!$D$5:$G$5,0))</f>
        <v>0.10339916197847687</v>
      </c>
      <c r="F59" s="391">
        <v>2.02221302113304</v>
      </c>
      <c r="G59" s="393">
        <v>42772.583182870374</v>
      </c>
      <c r="H59" s="394" t="s">
        <v>499</v>
      </c>
    </row>
    <row r="60" spans="1:8" x14ac:dyDescent="0.3">
      <c r="A60" s="391">
        <v>3</v>
      </c>
      <c r="B60" s="391">
        <v>9</v>
      </c>
      <c r="C60" s="391">
        <v>4</v>
      </c>
      <c r="D60" s="391">
        <v>3</v>
      </c>
      <c r="E60" s="392">
        <f ca="1">OFFSET('Report &amp; Lookup Table'!$C$5,MATCH(SLRatio!B60,'Report &amp; Lookup Table'!$C$6:$C$45,0),MATCH(SLRatio!D60,'Report &amp; Lookup Table'!$D$5:$G$5,0))</f>
        <v>0.10339916197847687</v>
      </c>
      <c r="F60" s="391">
        <v>1.5028135050384299</v>
      </c>
      <c r="G60" s="393">
        <v>42772.583182870374</v>
      </c>
      <c r="H60" s="394" t="s">
        <v>499</v>
      </c>
    </row>
    <row r="61" spans="1:8" x14ac:dyDescent="0.3">
      <c r="A61" s="391">
        <v>3</v>
      </c>
      <c r="B61" s="391">
        <v>9</v>
      </c>
      <c r="C61" s="391">
        <v>4</v>
      </c>
      <c r="D61" s="391">
        <v>4</v>
      </c>
      <c r="E61" s="392">
        <f ca="1">OFFSET('Report &amp; Lookup Table'!$C$5,MATCH(SLRatio!B61,'Report &amp; Lookup Table'!$C$6:$C$45,0),MATCH(SLRatio!D61,'Report &amp; Lookup Table'!$D$5:$G$5,0))</f>
        <v>0.10339916197847687</v>
      </c>
      <c r="F61" s="391">
        <v>7.2044349622400403E-2</v>
      </c>
      <c r="G61" s="393">
        <v>42772.583182870374</v>
      </c>
      <c r="H61" s="394" t="s">
        <v>499</v>
      </c>
    </row>
    <row r="62" spans="1:8" x14ac:dyDescent="0.3">
      <c r="A62" s="391">
        <v>3</v>
      </c>
      <c r="B62" s="391">
        <v>9</v>
      </c>
      <c r="C62" s="391">
        <v>5</v>
      </c>
      <c r="D62" s="391">
        <v>1</v>
      </c>
      <c r="E62" s="392">
        <f ca="1">OFFSET('Report &amp; Lookup Table'!$C$5,MATCH(SLRatio!B62,'Report &amp; Lookup Table'!$C$6:$C$45,0),MATCH(SLRatio!D62,'Report &amp; Lookup Table'!$D$5:$G$5,0))</f>
        <v>0.10339916197847687</v>
      </c>
      <c r="F62" s="391">
        <v>3.7796216030811097E-2</v>
      </c>
      <c r="G62" s="393">
        <v>42772.583182870374</v>
      </c>
      <c r="H62" s="394" t="s">
        <v>499</v>
      </c>
    </row>
    <row r="63" spans="1:8" x14ac:dyDescent="0.3">
      <c r="A63" s="391">
        <v>3</v>
      </c>
      <c r="B63" s="391">
        <v>9</v>
      </c>
      <c r="C63" s="391">
        <v>5</v>
      </c>
      <c r="D63" s="391">
        <v>2</v>
      </c>
      <c r="E63" s="392">
        <f ca="1">OFFSET('Report &amp; Lookup Table'!$C$5,MATCH(SLRatio!B63,'Report &amp; Lookup Table'!$C$6:$C$45,0),MATCH(SLRatio!D63,'Report &amp; Lookup Table'!$D$5:$G$5,0))</f>
        <v>0.10339916197847687</v>
      </c>
      <c r="F63" s="391">
        <v>2.02221302113304</v>
      </c>
      <c r="G63" s="393">
        <v>42772.583182870374</v>
      </c>
      <c r="H63" s="394" t="s">
        <v>499</v>
      </c>
    </row>
    <row r="64" spans="1:8" x14ac:dyDescent="0.3">
      <c r="A64" s="391">
        <v>3</v>
      </c>
      <c r="B64" s="391">
        <v>9</v>
      </c>
      <c r="C64" s="391">
        <v>5</v>
      </c>
      <c r="D64" s="391">
        <v>3</v>
      </c>
      <c r="E64" s="392">
        <f ca="1">OFFSET('Report &amp; Lookup Table'!$C$5,MATCH(SLRatio!B64,'Report &amp; Lookup Table'!$C$6:$C$45,0),MATCH(SLRatio!D64,'Report &amp; Lookup Table'!$D$5:$G$5,0))</f>
        <v>0.10339916197847687</v>
      </c>
      <c r="F64" s="391">
        <v>1.5028135050384299</v>
      </c>
      <c r="G64" s="393">
        <v>42772.583182870374</v>
      </c>
      <c r="H64" s="394" t="s">
        <v>499</v>
      </c>
    </row>
    <row r="65" spans="1:8" x14ac:dyDescent="0.3">
      <c r="A65" s="391">
        <v>3</v>
      </c>
      <c r="B65" s="391">
        <v>9</v>
      </c>
      <c r="C65" s="391">
        <v>5</v>
      </c>
      <c r="D65" s="391">
        <v>4</v>
      </c>
      <c r="E65" s="392">
        <f ca="1">OFFSET('Report &amp; Lookup Table'!$C$5,MATCH(SLRatio!B65,'Report &amp; Lookup Table'!$C$6:$C$45,0),MATCH(SLRatio!D65,'Report &amp; Lookup Table'!$D$5:$G$5,0))</f>
        <v>0.10339916197847687</v>
      </c>
      <c r="F65" s="391">
        <v>7.2044349622400403E-2</v>
      </c>
      <c r="G65" s="393">
        <v>42772.583182870374</v>
      </c>
      <c r="H65" s="394" t="s">
        <v>499</v>
      </c>
    </row>
    <row r="66" spans="1:8" x14ac:dyDescent="0.3">
      <c r="A66" s="391">
        <v>3</v>
      </c>
      <c r="B66" s="391">
        <v>10</v>
      </c>
      <c r="C66" s="391">
        <v>2</v>
      </c>
      <c r="D66" s="391">
        <v>1</v>
      </c>
      <c r="E66" s="392">
        <f ca="1">OFFSET('Report &amp; Lookup Table'!$C$5,MATCH(SLRatio!B66,'Report &amp; Lookup Table'!$C$6:$C$45,0),MATCH(SLRatio!D66,'Report &amp; Lookup Table'!$D$5:$G$5,0))</f>
        <v>7.8607023003297471E-2</v>
      </c>
      <c r="F66" s="391">
        <v>0.68725257873099499</v>
      </c>
      <c r="G66" s="393">
        <v>42772.583182870374</v>
      </c>
      <c r="H66" s="394" t="s">
        <v>499</v>
      </c>
    </row>
    <row r="67" spans="1:8" x14ac:dyDescent="0.3">
      <c r="A67" s="391">
        <v>3</v>
      </c>
      <c r="B67" s="391">
        <v>10</v>
      </c>
      <c r="C67" s="391">
        <v>2</v>
      </c>
      <c r="D67" s="391">
        <v>2</v>
      </c>
      <c r="E67" s="392">
        <f ca="1">OFFSET('Report &amp; Lookup Table'!$C$5,MATCH(SLRatio!B67,'Report &amp; Lookup Table'!$C$6:$C$45,0),MATCH(SLRatio!D67,'Report &amp; Lookup Table'!$D$5:$G$5,0))</f>
        <v>7.8607023003297471E-2</v>
      </c>
      <c r="F67" s="391">
        <v>1.20322756084841</v>
      </c>
      <c r="G67" s="393">
        <v>42772.583182870374</v>
      </c>
      <c r="H67" s="394" t="s">
        <v>499</v>
      </c>
    </row>
    <row r="68" spans="1:8" x14ac:dyDescent="0.3">
      <c r="A68" s="391">
        <v>3</v>
      </c>
      <c r="B68" s="391">
        <v>10</v>
      </c>
      <c r="C68" s="391">
        <v>2</v>
      </c>
      <c r="D68" s="391">
        <v>3</v>
      </c>
      <c r="E68" s="392">
        <f ca="1">OFFSET('Report &amp; Lookup Table'!$C$5,MATCH(SLRatio!B68,'Report &amp; Lookup Table'!$C$6:$C$45,0),MATCH(SLRatio!D68,'Report &amp; Lookup Table'!$D$5:$G$5,0))</f>
        <v>7.8607023003297471E-2</v>
      </c>
      <c r="F68" s="391">
        <v>1.0603552099207301</v>
      </c>
      <c r="G68" s="393">
        <v>42772.583182870374</v>
      </c>
      <c r="H68" s="394" t="s">
        <v>499</v>
      </c>
    </row>
    <row r="69" spans="1:8" x14ac:dyDescent="0.3">
      <c r="A69" s="391">
        <v>3</v>
      </c>
      <c r="B69" s="391">
        <v>10</v>
      </c>
      <c r="C69" s="391">
        <v>2</v>
      </c>
      <c r="D69" s="391">
        <v>4</v>
      </c>
      <c r="E69" s="392">
        <f ca="1">OFFSET('Report &amp; Lookup Table'!$C$5,MATCH(SLRatio!B69,'Report &amp; Lookup Table'!$C$6:$C$45,0),MATCH(SLRatio!D69,'Report &amp; Lookup Table'!$D$5:$G$5,0))</f>
        <v>7.8607023003297471E-2</v>
      </c>
      <c r="F69" s="391">
        <v>0.62650911386006602</v>
      </c>
      <c r="G69" s="393">
        <v>42772.583182870374</v>
      </c>
      <c r="H69" s="394" t="s">
        <v>499</v>
      </c>
    </row>
    <row r="70" spans="1:8" x14ac:dyDescent="0.3">
      <c r="A70" s="391">
        <v>3</v>
      </c>
      <c r="B70" s="391">
        <v>10</v>
      </c>
      <c r="C70" s="391">
        <v>3</v>
      </c>
      <c r="D70" s="391">
        <v>1</v>
      </c>
      <c r="E70" s="392">
        <f ca="1">OFFSET('Report &amp; Lookup Table'!$C$5,MATCH(SLRatio!B70,'Report &amp; Lookup Table'!$C$6:$C$45,0),MATCH(SLRatio!D70,'Report &amp; Lookup Table'!$D$5:$G$5,0))</f>
        <v>7.8607023003297471E-2</v>
      </c>
      <c r="F70" s="391">
        <v>0.68725257873099499</v>
      </c>
      <c r="G70" s="393">
        <v>42772.583182870374</v>
      </c>
      <c r="H70" s="394" t="s">
        <v>499</v>
      </c>
    </row>
    <row r="71" spans="1:8" x14ac:dyDescent="0.3">
      <c r="A71" s="391">
        <v>3</v>
      </c>
      <c r="B71" s="391">
        <v>10</v>
      </c>
      <c r="C71" s="391">
        <v>3</v>
      </c>
      <c r="D71" s="391">
        <v>2</v>
      </c>
      <c r="E71" s="392">
        <f ca="1">OFFSET('Report &amp; Lookup Table'!$C$5,MATCH(SLRatio!B71,'Report &amp; Lookup Table'!$C$6:$C$45,0),MATCH(SLRatio!D71,'Report &amp; Lookup Table'!$D$5:$G$5,0))</f>
        <v>7.8607023003297471E-2</v>
      </c>
      <c r="F71" s="391">
        <v>1.20322756084841</v>
      </c>
      <c r="G71" s="393">
        <v>42772.583182870374</v>
      </c>
      <c r="H71" s="394" t="s">
        <v>499</v>
      </c>
    </row>
    <row r="72" spans="1:8" x14ac:dyDescent="0.3">
      <c r="A72" s="391">
        <v>3</v>
      </c>
      <c r="B72" s="391">
        <v>10</v>
      </c>
      <c r="C72" s="391">
        <v>3</v>
      </c>
      <c r="D72" s="391">
        <v>3</v>
      </c>
      <c r="E72" s="392">
        <f ca="1">OFFSET('Report &amp; Lookup Table'!$C$5,MATCH(SLRatio!B72,'Report &amp; Lookup Table'!$C$6:$C$45,0),MATCH(SLRatio!D72,'Report &amp; Lookup Table'!$D$5:$G$5,0))</f>
        <v>7.8607023003297471E-2</v>
      </c>
      <c r="F72" s="391">
        <v>1.0603552099207301</v>
      </c>
      <c r="G72" s="393">
        <v>42772.583182870374</v>
      </c>
      <c r="H72" s="394" t="s">
        <v>499</v>
      </c>
    </row>
    <row r="73" spans="1:8" x14ac:dyDescent="0.3">
      <c r="A73" s="391">
        <v>3</v>
      </c>
      <c r="B73" s="391">
        <v>10</v>
      </c>
      <c r="C73" s="391">
        <v>3</v>
      </c>
      <c r="D73" s="391">
        <v>4</v>
      </c>
      <c r="E73" s="392">
        <f ca="1">OFFSET('Report &amp; Lookup Table'!$C$5,MATCH(SLRatio!B73,'Report &amp; Lookup Table'!$C$6:$C$45,0),MATCH(SLRatio!D73,'Report &amp; Lookup Table'!$D$5:$G$5,0))</f>
        <v>7.8607023003297471E-2</v>
      </c>
      <c r="F73" s="391">
        <v>0.62650911386006602</v>
      </c>
      <c r="G73" s="393">
        <v>42772.583182870374</v>
      </c>
      <c r="H73" s="394" t="s">
        <v>499</v>
      </c>
    </row>
    <row r="74" spans="1:8" x14ac:dyDescent="0.3">
      <c r="A74" s="391">
        <v>3</v>
      </c>
      <c r="B74" s="391">
        <v>10</v>
      </c>
      <c r="C74" s="391">
        <v>4</v>
      </c>
      <c r="D74" s="391">
        <v>1</v>
      </c>
      <c r="E74" s="392">
        <f ca="1">OFFSET('Report &amp; Lookup Table'!$C$5,MATCH(SLRatio!B74,'Report &amp; Lookup Table'!$C$6:$C$45,0),MATCH(SLRatio!D74,'Report &amp; Lookup Table'!$D$5:$G$5,0))</f>
        <v>7.8607023003297471E-2</v>
      </c>
      <c r="F74" s="391">
        <v>0.68725257873099499</v>
      </c>
      <c r="G74" s="393">
        <v>42772.583182870374</v>
      </c>
      <c r="H74" s="394" t="s">
        <v>499</v>
      </c>
    </row>
    <row r="75" spans="1:8" x14ac:dyDescent="0.3">
      <c r="A75" s="391">
        <v>3</v>
      </c>
      <c r="B75" s="391">
        <v>10</v>
      </c>
      <c r="C75" s="391">
        <v>4</v>
      </c>
      <c r="D75" s="391">
        <v>2</v>
      </c>
      <c r="E75" s="392">
        <f ca="1">OFFSET('Report &amp; Lookup Table'!$C$5,MATCH(SLRatio!B75,'Report &amp; Lookup Table'!$C$6:$C$45,0),MATCH(SLRatio!D75,'Report &amp; Lookup Table'!$D$5:$G$5,0))</f>
        <v>7.8607023003297471E-2</v>
      </c>
      <c r="F75" s="391">
        <v>1.20322756084841</v>
      </c>
      <c r="G75" s="393">
        <v>42772.583182870374</v>
      </c>
      <c r="H75" s="394" t="s">
        <v>499</v>
      </c>
    </row>
    <row r="76" spans="1:8" x14ac:dyDescent="0.3">
      <c r="A76" s="391">
        <v>3</v>
      </c>
      <c r="B76" s="391">
        <v>10</v>
      </c>
      <c r="C76" s="391">
        <v>4</v>
      </c>
      <c r="D76" s="391">
        <v>3</v>
      </c>
      <c r="E76" s="392">
        <f ca="1">OFFSET('Report &amp; Lookup Table'!$C$5,MATCH(SLRatio!B76,'Report &amp; Lookup Table'!$C$6:$C$45,0),MATCH(SLRatio!D76,'Report &amp; Lookup Table'!$D$5:$G$5,0))</f>
        <v>7.8607023003297471E-2</v>
      </c>
      <c r="F76" s="391">
        <v>1.0603552099207301</v>
      </c>
      <c r="G76" s="393">
        <v>42772.583182870374</v>
      </c>
      <c r="H76" s="394" t="s">
        <v>499</v>
      </c>
    </row>
    <row r="77" spans="1:8" x14ac:dyDescent="0.3">
      <c r="A77" s="391">
        <v>3</v>
      </c>
      <c r="B77" s="391">
        <v>10</v>
      </c>
      <c r="C77" s="391">
        <v>4</v>
      </c>
      <c r="D77" s="391">
        <v>4</v>
      </c>
      <c r="E77" s="392">
        <f ca="1">OFFSET('Report &amp; Lookup Table'!$C$5,MATCH(SLRatio!B77,'Report &amp; Lookup Table'!$C$6:$C$45,0),MATCH(SLRatio!D77,'Report &amp; Lookup Table'!$D$5:$G$5,0))</f>
        <v>7.8607023003297471E-2</v>
      </c>
      <c r="F77" s="391">
        <v>0.62650911386006602</v>
      </c>
      <c r="G77" s="393">
        <v>42772.583182870374</v>
      </c>
      <c r="H77" s="394" t="s">
        <v>499</v>
      </c>
    </row>
    <row r="78" spans="1:8" x14ac:dyDescent="0.3">
      <c r="A78" s="391">
        <v>3</v>
      </c>
      <c r="B78" s="391">
        <v>10</v>
      </c>
      <c r="C78" s="391">
        <v>5</v>
      </c>
      <c r="D78" s="391">
        <v>1</v>
      </c>
      <c r="E78" s="392">
        <f ca="1">OFFSET('Report &amp; Lookup Table'!$C$5,MATCH(SLRatio!B78,'Report &amp; Lookup Table'!$C$6:$C$45,0),MATCH(SLRatio!D78,'Report &amp; Lookup Table'!$D$5:$G$5,0))</f>
        <v>7.8607023003297471E-2</v>
      </c>
      <c r="F78" s="391">
        <v>0.68725257873099499</v>
      </c>
      <c r="G78" s="393">
        <v>42772.583182870374</v>
      </c>
      <c r="H78" s="394" t="s">
        <v>499</v>
      </c>
    </row>
    <row r="79" spans="1:8" x14ac:dyDescent="0.3">
      <c r="A79" s="391">
        <v>3</v>
      </c>
      <c r="B79" s="391">
        <v>10</v>
      </c>
      <c r="C79" s="391">
        <v>5</v>
      </c>
      <c r="D79" s="391">
        <v>2</v>
      </c>
      <c r="E79" s="392">
        <f ca="1">OFFSET('Report &amp; Lookup Table'!$C$5,MATCH(SLRatio!B79,'Report &amp; Lookup Table'!$C$6:$C$45,0),MATCH(SLRatio!D79,'Report &amp; Lookup Table'!$D$5:$G$5,0))</f>
        <v>7.8607023003297471E-2</v>
      </c>
      <c r="F79" s="391">
        <v>1.20322756084841</v>
      </c>
      <c r="G79" s="393">
        <v>42772.583182870374</v>
      </c>
      <c r="H79" s="394" t="s">
        <v>499</v>
      </c>
    </row>
    <row r="80" spans="1:8" x14ac:dyDescent="0.3">
      <c r="A80" s="391">
        <v>3</v>
      </c>
      <c r="B80" s="391">
        <v>10</v>
      </c>
      <c r="C80" s="391">
        <v>5</v>
      </c>
      <c r="D80" s="391">
        <v>3</v>
      </c>
      <c r="E80" s="392">
        <f ca="1">OFFSET('Report &amp; Lookup Table'!$C$5,MATCH(SLRatio!B80,'Report &amp; Lookup Table'!$C$6:$C$45,0),MATCH(SLRatio!D80,'Report &amp; Lookup Table'!$D$5:$G$5,0))</f>
        <v>7.8607023003297471E-2</v>
      </c>
      <c r="F80" s="391">
        <v>1.0603552099207301</v>
      </c>
      <c r="G80" s="393">
        <v>42772.583182870374</v>
      </c>
      <c r="H80" s="394" t="s">
        <v>499</v>
      </c>
    </row>
    <row r="81" spans="1:8" x14ac:dyDescent="0.3">
      <c r="A81" s="391">
        <v>3</v>
      </c>
      <c r="B81" s="391">
        <v>10</v>
      </c>
      <c r="C81" s="391">
        <v>5</v>
      </c>
      <c r="D81" s="391">
        <v>4</v>
      </c>
      <c r="E81" s="392">
        <f ca="1">OFFSET('Report &amp; Lookup Table'!$C$5,MATCH(SLRatio!B81,'Report &amp; Lookup Table'!$C$6:$C$45,0),MATCH(SLRatio!D81,'Report &amp; Lookup Table'!$D$5:$G$5,0))</f>
        <v>7.8607023003297471E-2</v>
      </c>
      <c r="F81" s="391">
        <v>0.62650911386006602</v>
      </c>
      <c r="G81" s="393">
        <v>42772.583182870374</v>
      </c>
      <c r="H81" s="394" t="s">
        <v>499</v>
      </c>
    </row>
    <row r="82" spans="1:8" x14ac:dyDescent="0.3">
      <c r="A82" s="391">
        <v>3</v>
      </c>
      <c r="B82" s="391">
        <v>11</v>
      </c>
      <c r="C82" s="391">
        <v>2</v>
      </c>
      <c r="D82" s="391">
        <v>1</v>
      </c>
      <c r="E82" s="392">
        <f ca="1">OFFSET('Report &amp; Lookup Table'!$C$5,MATCH(SLRatio!B82,'Report &amp; Lookup Table'!$C$6:$C$45,0),MATCH(SLRatio!D82,'Report &amp; Lookup Table'!$D$5:$G$5,0))</f>
        <v>0.20693696004157403</v>
      </c>
      <c r="F82" s="391">
        <v>1.8686523894632501</v>
      </c>
      <c r="G82" s="393">
        <v>42772.583182870374</v>
      </c>
      <c r="H82" s="394" t="s">
        <v>499</v>
      </c>
    </row>
    <row r="83" spans="1:8" x14ac:dyDescent="0.3">
      <c r="A83" s="391">
        <v>3</v>
      </c>
      <c r="B83" s="391">
        <v>11</v>
      </c>
      <c r="C83" s="391">
        <v>2</v>
      </c>
      <c r="D83" s="391">
        <v>2</v>
      </c>
      <c r="E83" s="392">
        <f ca="1">OFFSET('Report &amp; Lookup Table'!$C$5,MATCH(SLRatio!B83,'Report &amp; Lookup Table'!$C$6:$C$45,0),MATCH(SLRatio!D83,'Report &amp; Lookup Table'!$D$5:$G$5,0))</f>
        <v>0.20693696004157403</v>
      </c>
      <c r="F83" s="391">
        <v>0.77337325692104697</v>
      </c>
      <c r="G83" s="393">
        <v>42772.583182870374</v>
      </c>
      <c r="H83" s="394" t="s">
        <v>499</v>
      </c>
    </row>
    <row r="84" spans="1:8" x14ac:dyDescent="0.3">
      <c r="A84" s="391">
        <v>3</v>
      </c>
      <c r="B84" s="391">
        <v>11</v>
      </c>
      <c r="C84" s="391">
        <v>2</v>
      </c>
      <c r="D84" s="391">
        <v>3</v>
      </c>
      <c r="E84" s="392">
        <f ca="1">OFFSET('Report &amp; Lookup Table'!$C$5,MATCH(SLRatio!B84,'Report &amp; Lookup Table'!$C$6:$C$45,0),MATCH(SLRatio!D84,'Report &amp; Lookup Table'!$D$5:$G$5,0))</f>
        <v>0.20693696004157403</v>
      </c>
      <c r="F84" s="391">
        <v>0.75177573937030295</v>
      </c>
      <c r="G84" s="393">
        <v>42772.583182870374</v>
      </c>
      <c r="H84" s="394" t="s">
        <v>499</v>
      </c>
    </row>
    <row r="85" spans="1:8" x14ac:dyDescent="0.3">
      <c r="A85" s="391">
        <v>3</v>
      </c>
      <c r="B85" s="391">
        <v>11</v>
      </c>
      <c r="C85" s="391">
        <v>2</v>
      </c>
      <c r="D85" s="391">
        <v>4</v>
      </c>
      <c r="E85" s="392">
        <f ca="1">OFFSET('Report &amp; Lookup Table'!$C$5,MATCH(SLRatio!B85,'Report &amp; Lookup Table'!$C$6:$C$45,0),MATCH(SLRatio!D85,'Report &amp; Lookup Table'!$D$5:$G$5,0))</f>
        <v>0.20693696004157403</v>
      </c>
      <c r="F85" s="391">
        <v>1.2716015100706</v>
      </c>
      <c r="G85" s="393">
        <v>42772.583182870374</v>
      </c>
      <c r="H85" s="394" t="s">
        <v>499</v>
      </c>
    </row>
    <row r="86" spans="1:8" x14ac:dyDescent="0.3">
      <c r="A86" s="391">
        <v>3</v>
      </c>
      <c r="B86" s="391">
        <v>11</v>
      </c>
      <c r="C86" s="391">
        <v>3</v>
      </c>
      <c r="D86" s="391">
        <v>1</v>
      </c>
      <c r="E86" s="392">
        <f ca="1">OFFSET('Report &amp; Lookup Table'!$C$5,MATCH(SLRatio!B86,'Report &amp; Lookup Table'!$C$6:$C$45,0),MATCH(SLRatio!D86,'Report &amp; Lookup Table'!$D$5:$G$5,0))</f>
        <v>0.20693696004157403</v>
      </c>
      <c r="F86" s="391">
        <v>1.8686523894632501</v>
      </c>
      <c r="G86" s="393">
        <v>42772.583182870374</v>
      </c>
      <c r="H86" s="394" t="s">
        <v>499</v>
      </c>
    </row>
    <row r="87" spans="1:8" x14ac:dyDescent="0.3">
      <c r="A87" s="391">
        <v>3</v>
      </c>
      <c r="B87" s="391">
        <v>11</v>
      </c>
      <c r="C87" s="391">
        <v>3</v>
      </c>
      <c r="D87" s="391">
        <v>2</v>
      </c>
      <c r="E87" s="392">
        <f ca="1">OFFSET('Report &amp; Lookup Table'!$C$5,MATCH(SLRatio!B87,'Report &amp; Lookup Table'!$C$6:$C$45,0),MATCH(SLRatio!D87,'Report &amp; Lookup Table'!$D$5:$G$5,0))</f>
        <v>0.20693696004157403</v>
      </c>
      <c r="F87" s="391">
        <v>0.77337325692104697</v>
      </c>
      <c r="G87" s="393">
        <v>42772.583182870374</v>
      </c>
      <c r="H87" s="394" t="s">
        <v>499</v>
      </c>
    </row>
    <row r="88" spans="1:8" x14ac:dyDescent="0.3">
      <c r="A88" s="391">
        <v>3</v>
      </c>
      <c r="B88" s="391">
        <v>11</v>
      </c>
      <c r="C88" s="391">
        <v>3</v>
      </c>
      <c r="D88" s="391">
        <v>3</v>
      </c>
      <c r="E88" s="392">
        <f ca="1">OFFSET('Report &amp; Lookup Table'!$C$5,MATCH(SLRatio!B88,'Report &amp; Lookup Table'!$C$6:$C$45,0),MATCH(SLRatio!D88,'Report &amp; Lookup Table'!$D$5:$G$5,0))</f>
        <v>0.20693696004157403</v>
      </c>
      <c r="F88" s="391">
        <v>0.75177573937030295</v>
      </c>
      <c r="G88" s="393">
        <v>42772.583182870374</v>
      </c>
      <c r="H88" s="394" t="s">
        <v>499</v>
      </c>
    </row>
    <row r="89" spans="1:8" x14ac:dyDescent="0.3">
      <c r="A89" s="391">
        <v>3</v>
      </c>
      <c r="B89" s="391">
        <v>11</v>
      </c>
      <c r="C89" s="391">
        <v>3</v>
      </c>
      <c r="D89" s="391">
        <v>4</v>
      </c>
      <c r="E89" s="392">
        <f ca="1">OFFSET('Report &amp; Lookup Table'!$C$5,MATCH(SLRatio!B89,'Report &amp; Lookup Table'!$C$6:$C$45,0),MATCH(SLRatio!D89,'Report &amp; Lookup Table'!$D$5:$G$5,0))</f>
        <v>0.20693696004157403</v>
      </c>
      <c r="F89" s="391">
        <v>1.2716015100706</v>
      </c>
      <c r="G89" s="393">
        <v>42772.583182870374</v>
      </c>
      <c r="H89" s="394" t="s">
        <v>499</v>
      </c>
    </row>
    <row r="90" spans="1:8" x14ac:dyDescent="0.3">
      <c r="A90" s="391">
        <v>3</v>
      </c>
      <c r="B90" s="391">
        <v>11</v>
      </c>
      <c r="C90" s="391">
        <v>4</v>
      </c>
      <c r="D90" s="391">
        <v>1</v>
      </c>
      <c r="E90" s="392">
        <f ca="1">OFFSET('Report &amp; Lookup Table'!$C$5,MATCH(SLRatio!B90,'Report &amp; Lookup Table'!$C$6:$C$45,0),MATCH(SLRatio!D90,'Report &amp; Lookup Table'!$D$5:$G$5,0))</f>
        <v>0.20693696004157403</v>
      </c>
      <c r="F90" s="391">
        <v>1.8686523894632501</v>
      </c>
      <c r="G90" s="393">
        <v>42772.583182870374</v>
      </c>
      <c r="H90" s="394" t="s">
        <v>499</v>
      </c>
    </row>
    <row r="91" spans="1:8" x14ac:dyDescent="0.3">
      <c r="A91" s="391">
        <v>3</v>
      </c>
      <c r="B91" s="391">
        <v>11</v>
      </c>
      <c r="C91" s="391">
        <v>4</v>
      </c>
      <c r="D91" s="391">
        <v>2</v>
      </c>
      <c r="E91" s="392">
        <f ca="1">OFFSET('Report &amp; Lookup Table'!$C$5,MATCH(SLRatio!B91,'Report &amp; Lookup Table'!$C$6:$C$45,0),MATCH(SLRatio!D91,'Report &amp; Lookup Table'!$D$5:$G$5,0))</f>
        <v>0.20693696004157403</v>
      </c>
      <c r="F91" s="391">
        <v>0.77337325692104697</v>
      </c>
      <c r="G91" s="393">
        <v>42772.583182870374</v>
      </c>
      <c r="H91" s="394" t="s">
        <v>499</v>
      </c>
    </row>
    <row r="92" spans="1:8" x14ac:dyDescent="0.3">
      <c r="A92" s="391">
        <v>3</v>
      </c>
      <c r="B92" s="391">
        <v>11</v>
      </c>
      <c r="C92" s="391">
        <v>4</v>
      </c>
      <c r="D92" s="391">
        <v>3</v>
      </c>
      <c r="E92" s="392">
        <f ca="1">OFFSET('Report &amp; Lookup Table'!$C$5,MATCH(SLRatio!B92,'Report &amp; Lookup Table'!$C$6:$C$45,0),MATCH(SLRatio!D92,'Report &amp; Lookup Table'!$D$5:$G$5,0))</f>
        <v>0.20693696004157403</v>
      </c>
      <c r="F92" s="391">
        <v>0.75177573937030295</v>
      </c>
      <c r="G92" s="393">
        <v>42772.583182870374</v>
      </c>
      <c r="H92" s="394" t="s">
        <v>499</v>
      </c>
    </row>
    <row r="93" spans="1:8" x14ac:dyDescent="0.3">
      <c r="A93" s="391">
        <v>3</v>
      </c>
      <c r="B93" s="391">
        <v>11</v>
      </c>
      <c r="C93" s="391">
        <v>4</v>
      </c>
      <c r="D93" s="391">
        <v>4</v>
      </c>
      <c r="E93" s="392">
        <f ca="1">OFFSET('Report &amp; Lookup Table'!$C$5,MATCH(SLRatio!B93,'Report &amp; Lookup Table'!$C$6:$C$45,0),MATCH(SLRatio!D93,'Report &amp; Lookup Table'!$D$5:$G$5,0))</f>
        <v>0.20693696004157403</v>
      </c>
      <c r="F93" s="391">
        <v>1.2716015100706</v>
      </c>
      <c r="G93" s="393">
        <v>42772.583182870374</v>
      </c>
      <c r="H93" s="394" t="s">
        <v>499</v>
      </c>
    </row>
    <row r="94" spans="1:8" x14ac:dyDescent="0.3">
      <c r="A94" s="391">
        <v>3</v>
      </c>
      <c r="B94" s="391">
        <v>11</v>
      </c>
      <c r="C94" s="391">
        <v>5</v>
      </c>
      <c r="D94" s="391">
        <v>1</v>
      </c>
      <c r="E94" s="392">
        <f ca="1">OFFSET('Report &amp; Lookup Table'!$C$5,MATCH(SLRatio!B94,'Report &amp; Lookup Table'!$C$6:$C$45,0),MATCH(SLRatio!D94,'Report &amp; Lookup Table'!$D$5:$G$5,0))</f>
        <v>0.20693696004157403</v>
      </c>
      <c r="F94" s="391">
        <v>1.8686523894632501</v>
      </c>
      <c r="G94" s="393">
        <v>42772.583182870374</v>
      </c>
      <c r="H94" s="394" t="s">
        <v>499</v>
      </c>
    </row>
    <row r="95" spans="1:8" x14ac:dyDescent="0.3">
      <c r="A95" s="391">
        <v>3</v>
      </c>
      <c r="B95" s="391">
        <v>11</v>
      </c>
      <c r="C95" s="391">
        <v>5</v>
      </c>
      <c r="D95" s="391">
        <v>2</v>
      </c>
      <c r="E95" s="392">
        <f ca="1">OFFSET('Report &amp; Lookup Table'!$C$5,MATCH(SLRatio!B95,'Report &amp; Lookup Table'!$C$6:$C$45,0),MATCH(SLRatio!D95,'Report &amp; Lookup Table'!$D$5:$G$5,0))</f>
        <v>0.20693696004157403</v>
      </c>
      <c r="F95" s="391">
        <v>0.77337325692104697</v>
      </c>
      <c r="G95" s="393">
        <v>42772.583182870374</v>
      </c>
      <c r="H95" s="394" t="s">
        <v>499</v>
      </c>
    </row>
    <row r="96" spans="1:8" x14ac:dyDescent="0.3">
      <c r="A96" s="391">
        <v>3</v>
      </c>
      <c r="B96" s="391">
        <v>11</v>
      </c>
      <c r="C96" s="391">
        <v>5</v>
      </c>
      <c r="D96" s="391">
        <v>3</v>
      </c>
      <c r="E96" s="392">
        <f ca="1">OFFSET('Report &amp; Lookup Table'!$C$5,MATCH(SLRatio!B96,'Report &amp; Lookup Table'!$C$6:$C$45,0),MATCH(SLRatio!D96,'Report &amp; Lookup Table'!$D$5:$G$5,0))</f>
        <v>0.20693696004157403</v>
      </c>
      <c r="F96" s="391">
        <v>0.75177573937030295</v>
      </c>
      <c r="G96" s="393">
        <v>42772.583182870374</v>
      </c>
      <c r="H96" s="394" t="s">
        <v>499</v>
      </c>
    </row>
    <row r="97" spans="1:8" x14ac:dyDescent="0.3">
      <c r="A97" s="391">
        <v>3</v>
      </c>
      <c r="B97" s="391">
        <v>11</v>
      </c>
      <c r="C97" s="391">
        <v>5</v>
      </c>
      <c r="D97" s="391">
        <v>4</v>
      </c>
      <c r="E97" s="392">
        <f ca="1">OFFSET('Report &amp; Lookup Table'!$C$5,MATCH(SLRatio!B97,'Report &amp; Lookup Table'!$C$6:$C$45,0),MATCH(SLRatio!D97,'Report &amp; Lookup Table'!$D$5:$G$5,0))</f>
        <v>0.20693696004157403</v>
      </c>
      <c r="F97" s="391">
        <v>1.2716015100706</v>
      </c>
      <c r="G97" s="393">
        <v>42772.583182870374</v>
      </c>
      <c r="H97" s="394" t="s">
        <v>499</v>
      </c>
    </row>
    <row r="98" spans="1:8" x14ac:dyDescent="0.3">
      <c r="A98" s="391">
        <v>3</v>
      </c>
      <c r="B98" s="391">
        <v>13</v>
      </c>
      <c r="C98" s="391">
        <v>2</v>
      </c>
      <c r="D98" s="391">
        <v>1</v>
      </c>
      <c r="E98" s="392">
        <f ca="1">OFFSET('Report &amp; Lookup Table'!$C$5,MATCH(SLRatio!B98,'Report &amp; Lookup Table'!$C$6:$C$45,0),MATCH(SLRatio!D98,'Report &amp; Lookup Table'!$D$5:$G$5,0))</f>
        <v>0.59148946900094657</v>
      </c>
      <c r="F98" s="391">
        <v>1.67255144442478</v>
      </c>
      <c r="G98" s="393">
        <v>42772.583182870374</v>
      </c>
      <c r="H98" s="394" t="s">
        <v>499</v>
      </c>
    </row>
    <row r="99" spans="1:8" x14ac:dyDescent="0.3">
      <c r="A99" s="391">
        <v>3</v>
      </c>
      <c r="B99" s="391">
        <v>13</v>
      </c>
      <c r="C99" s="391">
        <v>2</v>
      </c>
      <c r="D99" s="391">
        <v>2</v>
      </c>
      <c r="E99" s="392">
        <f ca="1">OFFSET('Report &amp; Lookup Table'!$C$5,MATCH(SLRatio!B99,'Report &amp; Lookup Table'!$C$6:$C$45,0),MATCH(SLRatio!D99,'Report &amp; Lookup Table'!$D$5:$G$5,0))</f>
        <v>0.59148946900094657</v>
      </c>
      <c r="F99" s="391">
        <v>1.4101082064853001</v>
      </c>
      <c r="G99" s="393">
        <v>42772.583182870374</v>
      </c>
      <c r="H99" s="394" t="s">
        <v>499</v>
      </c>
    </row>
    <row r="100" spans="1:8" x14ac:dyDescent="0.3">
      <c r="A100" s="391">
        <v>3</v>
      </c>
      <c r="B100" s="391">
        <v>13</v>
      </c>
      <c r="C100" s="391">
        <v>2</v>
      </c>
      <c r="D100" s="391">
        <v>3</v>
      </c>
      <c r="E100" s="392">
        <f ca="1">OFFSET('Report &amp; Lookup Table'!$C$5,MATCH(SLRatio!B100,'Report &amp; Lookup Table'!$C$6:$C$45,0),MATCH(SLRatio!D100,'Report &amp; Lookup Table'!$D$5:$G$5,0))</f>
        <v>0.59148946900094657</v>
      </c>
      <c r="F100" s="391">
        <v>1.4853596558140501</v>
      </c>
      <c r="G100" s="393">
        <v>42772.583182870374</v>
      </c>
      <c r="H100" s="394" t="s">
        <v>499</v>
      </c>
    </row>
    <row r="101" spans="1:8" x14ac:dyDescent="0.3">
      <c r="A101" s="391">
        <v>3</v>
      </c>
      <c r="B101" s="391">
        <v>13</v>
      </c>
      <c r="C101" s="391">
        <v>2</v>
      </c>
      <c r="D101" s="391">
        <v>4</v>
      </c>
      <c r="E101" s="392">
        <f ca="1">OFFSET('Report &amp; Lookup Table'!$C$5,MATCH(SLRatio!B101,'Report &amp; Lookup Table'!$C$6:$C$45,0),MATCH(SLRatio!D101,'Report &amp; Lookup Table'!$D$5:$G$5,0))</f>
        <v>0.59148946900094657</v>
      </c>
      <c r="F101" s="391">
        <v>1.28130444995318</v>
      </c>
      <c r="G101" s="393">
        <v>42772.583182870374</v>
      </c>
      <c r="H101" s="394" t="s">
        <v>499</v>
      </c>
    </row>
    <row r="102" spans="1:8" x14ac:dyDescent="0.3">
      <c r="A102" s="391">
        <v>3</v>
      </c>
      <c r="B102" s="391">
        <v>13</v>
      </c>
      <c r="C102" s="391">
        <v>3</v>
      </c>
      <c r="D102" s="391">
        <v>1</v>
      </c>
      <c r="E102" s="392">
        <f ca="1">OFFSET('Report &amp; Lookup Table'!$C$5,MATCH(SLRatio!B102,'Report &amp; Lookup Table'!$C$6:$C$45,0),MATCH(SLRatio!D102,'Report &amp; Lookup Table'!$D$5:$G$5,0))</f>
        <v>0.59148946900094657</v>
      </c>
      <c r="F102" s="391">
        <v>1.67255144442478</v>
      </c>
      <c r="G102" s="393">
        <v>42772.583182870374</v>
      </c>
      <c r="H102" s="394" t="s">
        <v>499</v>
      </c>
    </row>
    <row r="103" spans="1:8" x14ac:dyDescent="0.3">
      <c r="A103" s="391">
        <v>3</v>
      </c>
      <c r="B103" s="391">
        <v>13</v>
      </c>
      <c r="C103" s="391">
        <v>3</v>
      </c>
      <c r="D103" s="391">
        <v>2</v>
      </c>
      <c r="E103" s="392">
        <f ca="1">OFFSET('Report &amp; Lookup Table'!$C$5,MATCH(SLRatio!B103,'Report &amp; Lookup Table'!$C$6:$C$45,0),MATCH(SLRatio!D103,'Report &amp; Lookup Table'!$D$5:$G$5,0))</f>
        <v>0.59148946900094657</v>
      </c>
      <c r="F103" s="391">
        <v>1.4101082064853001</v>
      </c>
      <c r="G103" s="393">
        <v>42772.583182870374</v>
      </c>
      <c r="H103" s="394" t="s">
        <v>499</v>
      </c>
    </row>
    <row r="104" spans="1:8" x14ac:dyDescent="0.3">
      <c r="A104" s="391">
        <v>3</v>
      </c>
      <c r="B104" s="391">
        <v>13</v>
      </c>
      <c r="C104" s="391">
        <v>3</v>
      </c>
      <c r="D104" s="391">
        <v>3</v>
      </c>
      <c r="E104" s="392">
        <f ca="1">OFFSET('Report &amp; Lookup Table'!$C$5,MATCH(SLRatio!B104,'Report &amp; Lookup Table'!$C$6:$C$45,0),MATCH(SLRatio!D104,'Report &amp; Lookup Table'!$D$5:$G$5,0))</f>
        <v>0.59148946900094657</v>
      </c>
      <c r="F104" s="391">
        <v>1.4853596558140501</v>
      </c>
      <c r="G104" s="393">
        <v>42772.583182870374</v>
      </c>
      <c r="H104" s="394" t="s">
        <v>499</v>
      </c>
    </row>
    <row r="105" spans="1:8" x14ac:dyDescent="0.3">
      <c r="A105" s="391">
        <v>3</v>
      </c>
      <c r="B105" s="391">
        <v>13</v>
      </c>
      <c r="C105" s="391">
        <v>3</v>
      </c>
      <c r="D105" s="391">
        <v>4</v>
      </c>
      <c r="E105" s="392">
        <f ca="1">OFFSET('Report &amp; Lookup Table'!$C$5,MATCH(SLRatio!B105,'Report &amp; Lookup Table'!$C$6:$C$45,0),MATCH(SLRatio!D105,'Report &amp; Lookup Table'!$D$5:$G$5,0))</f>
        <v>0.59148946900094657</v>
      </c>
      <c r="F105" s="391">
        <v>1.28130444995318</v>
      </c>
      <c r="G105" s="393">
        <v>42772.583182870374</v>
      </c>
      <c r="H105" s="394" t="s">
        <v>499</v>
      </c>
    </row>
    <row r="106" spans="1:8" x14ac:dyDescent="0.3">
      <c r="A106" s="391">
        <v>3</v>
      </c>
      <c r="B106" s="391">
        <v>13</v>
      </c>
      <c r="C106" s="391">
        <v>4</v>
      </c>
      <c r="D106" s="391">
        <v>1</v>
      </c>
      <c r="E106" s="392">
        <f ca="1">OFFSET('Report &amp; Lookup Table'!$C$5,MATCH(SLRatio!B106,'Report &amp; Lookup Table'!$C$6:$C$45,0),MATCH(SLRatio!D106,'Report &amp; Lookup Table'!$D$5:$G$5,0))</f>
        <v>0.59148946900094657</v>
      </c>
      <c r="F106" s="391">
        <v>1.67255144442478</v>
      </c>
      <c r="G106" s="393">
        <v>42772.583182870374</v>
      </c>
      <c r="H106" s="394" t="s">
        <v>499</v>
      </c>
    </row>
    <row r="107" spans="1:8" x14ac:dyDescent="0.3">
      <c r="A107" s="391">
        <v>3</v>
      </c>
      <c r="B107" s="391">
        <v>13</v>
      </c>
      <c r="C107" s="391">
        <v>4</v>
      </c>
      <c r="D107" s="391">
        <v>2</v>
      </c>
      <c r="E107" s="392">
        <f ca="1">OFFSET('Report &amp; Lookup Table'!$C$5,MATCH(SLRatio!B107,'Report &amp; Lookup Table'!$C$6:$C$45,0),MATCH(SLRatio!D107,'Report &amp; Lookup Table'!$D$5:$G$5,0))</f>
        <v>0.59148946900094657</v>
      </c>
      <c r="F107" s="391">
        <v>1.4101082064853001</v>
      </c>
      <c r="G107" s="393">
        <v>42772.583182870374</v>
      </c>
      <c r="H107" s="394" t="s">
        <v>499</v>
      </c>
    </row>
    <row r="108" spans="1:8" x14ac:dyDescent="0.3">
      <c r="A108" s="391">
        <v>3</v>
      </c>
      <c r="B108" s="391">
        <v>13</v>
      </c>
      <c r="C108" s="391">
        <v>4</v>
      </c>
      <c r="D108" s="391">
        <v>3</v>
      </c>
      <c r="E108" s="392">
        <f ca="1">OFFSET('Report &amp; Lookup Table'!$C$5,MATCH(SLRatio!B108,'Report &amp; Lookup Table'!$C$6:$C$45,0),MATCH(SLRatio!D108,'Report &amp; Lookup Table'!$D$5:$G$5,0))</f>
        <v>0.59148946900094657</v>
      </c>
      <c r="F108" s="391">
        <v>1.4853596558140501</v>
      </c>
      <c r="G108" s="393">
        <v>42772.583182870374</v>
      </c>
      <c r="H108" s="394" t="s">
        <v>499</v>
      </c>
    </row>
    <row r="109" spans="1:8" x14ac:dyDescent="0.3">
      <c r="A109" s="391">
        <v>3</v>
      </c>
      <c r="B109" s="391">
        <v>13</v>
      </c>
      <c r="C109" s="391">
        <v>4</v>
      </c>
      <c r="D109" s="391">
        <v>4</v>
      </c>
      <c r="E109" s="392">
        <f ca="1">OFFSET('Report &amp; Lookup Table'!$C$5,MATCH(SLRatio!B109,'Report &amp; Lookup Table'!$C$6:$C$45,0),MATCH(SLRatio!D109,'Report &amp; Lookup Table'!$D$5:$G$5,0))</f>
        <v>0.59148946900094657</v>
      </c>
      <c r="F109" s="391">
        <v>1.28130444995318</v>
      </c>
      <c r="G109" s="393">
        <v>42772.583182870374</v>
      </c>
      <c r="H109" s="394" t="s">
        <v>499</v>
      </c>
    </row>
    <row r="110" spans="1:8" x14ac:dyDescent="0.3">
      <c r="A110" s="391">
        <v>3</v>
      </c>
      <c r="B110" s="391">
        <v>13</v>
      </c>
      <c r="C110" s="391">
        <v>5</v>
      </c>
      <c r="D110" s="391">
        <v>1</v>
      </c>
      <c r="E110" s="392">
        <f ca="1">OFFSET('Report &amp; Lookup Table'!$C$5,MATCH(SLRatio!B110,'Report &amp; Lookup Table'!$C$6:$C$45,0),MATCH(SLRatio!D110,'Report &amp; Lookup Table'!$D$5:$G$5,0))</f>
        <v>0.59148946900094657</v>
      </c>
      <c r="F110" s="391">
        <v>1.67255144442478</v>
      </c>
      <c r="G110" s="393">
        <v>42772.583182870374</v>
      </c>
      <c r="H110" s="394" t="s">
        <v>499</v>
      </c>
    </row>
    <row r="111" spans="1:8" x14ac:dyDescent="0.3">
      <c r="A111" s="391">
        <v>3</v>
      </c>
      <c r="B111" s="391">
        <v>13</v>
      </c>
      <c r="C111" s="391">
        <v>5</v>
      </c>
      <c r="D111" s="391">
        <v>2</v>
      </c>
      <c r="E111" s="392">
        <f ca="1">OFFSET('Report &amp; Lookup Table'!$C$5,MATCH(SLRatio!B111,'Report &amp; Lookup Table'!$C$6:$C$45,0),MATCH(SLRatio!D111,'Report &amp; Lookup Table'!$D$5:$G$5,0))</f>
        <v>0.59148946900094657</v>
      </c>
      <c r="F111" s="391">
        <v>1.4101082064853001</v>
      </c>
      <c r="G111" s="393">
        <v>42772.583182870374</v>
      </c>
      <c r="H111" s="394" t="s">
        <v>499</v>
      </c>
    </row>
    <row r="112" spans="1:8" x14ac:dyDescent="0.3">
      <c r="A112" s="391">
        <v>3</v>
      </c>
      <c r="B112" s="391">
        <v>13</v>
      </c>
      <c r="C112" s="391">
        <v>5</v>
      </c>
      <c r="D112" s="391">
        <v>3</v>
      </c>
      <c r="E112" s="392">
        <f ca="1">OFFSET('Report &amp; Lookup Table'!$C$5,MATCH(SLRatio!B112,'Report &amp; Lookup Table'!$C$6:$C$45,0),MATCH(SLRatio!D112,'Report &amp; Lookup Table'!$D$5:$G$5,0))</f>
        <v>0.59148946900094657</v>
      </c>
      <c r="F112" s="391">
        <v>1.4853596558140501</v>
      </c>
      <c r="G112" s="393">
        <v>42772.583182870374</v>
      </c>
      <c r="H112" s="394" t="s">
        <v>499</v>
      </c>
    </row>
    <row r="113" spans="1:8" x14ac:dyDescent="0.3">
      <c r="A113" s="391">
        <v>3</v>
      </c>
      <c r="B113" s="391">
        <v>13</v>
      </c>
      <c r="C113" s="391">
        <v>5</v>
      </c>
      <c r="D113" s="391">
        <v>4</v>
      </c>
      <c r="E113" s="392">
        <f ca="1">OFFSET('Report &amp; Lookup Table'!$C$5,MATCH(SLRatio!B113,'Report &amp; Lookup Table'!$C$6:$C$45,0),MATCH(SLRatio!D113,'Report &amp; Lookup Table'!$D$5:$G$5,0))</f>
        <v>0.59148946900094657</v>
      </c>
      <c r="F113" s="391">
        <v>1.28130444995318</v>
      </c>
      <c r="G113" s="393">
        <v>42772.583182870374</v>
      </c>
      <c r="H113" s="394" t="s">
        <v>499</v>
      </c>
    </row>
    <row r="114" spans="1:8" x14ac:dyDescent="0.3">
      <c r="A114" s="391">
        <v>3</v>
      </c>
      <c r="B114" s="391">
        <v>14</v>
      </c>
      <c r="C114" s="391">
        <v>2</v>
      </c>
      <c r="D114" s="391">
        <v>1</v>
      </c>
      <c r="E114" s="392">
        <f ca="1">OFFSET('Report &amp; Lookup Table'!$C$5,MATCH(SLRatio!B114,'Report &amp; Lookup Table'!$C$6:$C$45,0),MATCH(SLRatio!D114,'Report &amp; Lookup Table'!$D$5:$G$5,0))</f>
        <v>1.0840659854895671</v>
      </c>
      <c r="F114" s="391">
        <v>1.4862514481139999</v>
      </c>
      <c r="G114" s="393">
        <v>42772.583182870374</v>
      </c>
      <c r="H114" s="394" t="s">
        <v>499</v>
      </c>
    </row>
    <row r="115" spans="1:8" x14ac:dyDescent="0.3">
      <c r="A115" s="391">
        <v>3</v>
      </c>
      <c r="B115" s="391">
        <v>14</v>
      </c>
      <c r="C115" s="391">
        <v>2</v>
      </c>
      <c r="D115" s="391">
        <v>2</v>
      </c>
      <c r="E115" s="392">
        <f ca="1">OFFSET('Report &amp; Lookup Table'!$C$5,MATCH(SLRatio!B115,'Report &amp; Lookup Table'!$C$6:$C$45,0),MATCH(SLRatio!D115,'Report &amp; Lookup Table'!$D$5:$G$5,0))</f>
        <v>1.0840659854895671</v>
      </c>
      <c r="F115" s="391">
        <v>1.28110397169326</v>
      </c>
      <c r="G115" s="393">
        <v>42772.583182870374</v>
      </c>
      <c r="H115" s="394" t="s">
        <v>499</v>
      </c>
    </row>
    <row r="116" spans="1:8" x14ac:dyDescent="0.3">
      <c r="A116" s="391">
        <v>3</v>
      </c>
      <c r="B116" s="391">
        <v>14</v>
      </c>
      <c r="C116" s="391">
        <v>2</v>
      </c>
      <c r="D116" s="391">
        <v>3</v>
      </c>
      <c r="E116" s="392">
        <f ca="1">OFFSET('Report &amp; Lookup Table'!$C$5,MATCH(SLRatio!B116,'Report &amp; Lookup Table'!$C$6:$C$45,0),MATCH(SLRatio!D116,'Report &amp; Lookup Table'!$D$5:$G$5,0))</f>
        <v>1.0840659854895671</v>
      </c>
      <c r="F116" s="391">
        <v>1.8505195497042899</v>
      </c>
      <c r="G116" s="393">
        <v>42772.583182870374</v>
      </c>
      <c r="H116" s="394" t="s">
        <v>499</v>
      </c>
    </row>
    <row r="117" spans="1:8" x14ac:dyDescent="0.3">
      <c r="A117" s="391">
        <v>3</v>
      </c>
      <c r="B117" s="391">
        <v>14</v>
      </c>
      <c r="C117" s="391">
        <v>2</v>
      </c>
      <c r="D117" s="391">
        <v>4</v>
      </c>
      <c r="E117" s="392">
        <f ca="1">OFFSET('Report &amp; Lookup Table'!$C$5,MATCH(SLRatio!B117,'Report &amp; Lookup Table'!$C$6:$C$45,0),MATCH(SLRatio!D117,'Report &amp; Lookup Table'!$D$5:$G$5,0))</f>
        <v>1.0840659854895671</v>
      </c>
      <c r="F117" s="391">
        <v>1.0044845396381501</v>
      </c>
      <c r="G117" s="393">
        <v>42772.583182870374</v>
      </c>
      <c r="H117" s="394" t="s">
        <v>499</v>
      </c>
    </row>
    <row r="118" spans="1:8" x14ac:dyDescent="0.3">
      <c r="A118" s="391">
        <v>3</v>
      </c>
      <c r="B118" s="391">
        <v>14</v>
      </c>
      <c r="C118" s="391">
        <v>3</v>
      </c>
      <c r="D118" s="391">
        <v>1</v>
      </c>
      <c r="E118" s="392">
        <f ca="1">OFFSET('Report &amp; Lookup Table'!$C$5,MATCH(SLRatio!B118,'Report &amp; Lookup Table'!$C$6:$C$45,0),MATCH(SLRatio!D118,'Report &amp; Lookup Table'!$D$5:$G$5,0))</f>
        <v>1.0840659854895671</v>
      </c>
      <c r="F118" s="391">
        <v>1.4862514481139999</v>
      </c>
      <c r="G118" s="393">
        <v>42772.583182870374</v>
      </c>
      <c r="H118" s="394" t="s">
        <v>499</v>
      </c>
    </row>
    <row r="119" spans="1:8" x14ac:dyDescent="0.3">
      <c r="A119" s="391">
        <v>3</v>
      </c>
      <c r="B119" s="391">
        <v>14</v>
      </c>
      <c r="C119" s="391">
        <v>3</v>
      </c>
      <c r="D119" s="391">
        <v>2</v>
      </c>
      <c r="E119" s="392">
        <f ca="1">OFFSET('Report &amp; Lookup Table'!$C$5,MATCH(SLRatio!B119,'Report &amp; Lookup Table'!$C$6:$C$45,0),MATCH(SLRatio!D119,'Report &amp; Lookup Table'!$D$5:$G$5,0))</f>
        <v>1.0840659854895671</v>
      </c>
      <c r="F119" s="391">
        <v>1.28110397169326</v>
      </c>
      <c r="G119" s="393">
        <v>42772.583182870374</v>
      </c>
      <c r="H119" s="394" t="s">
        <v>499</v>
      </c>
    </row>
    <row r="120" spans="1:8" x14ac:dyDescent="0.3">
      <c r="A120" s="391">
        <v>3</v>
      </c>
      <c r="B120" s="391">
        <v>14</v>
      </c>
      <c r="C120" s="391">
        <v>3</v>
      </c>
      <c r="D120" s="391">
        <v>3</v>
      </c>
      <c r="E120" s="392">
        <f ca="1">OFFSET('Report &amp; Lookup Table'!$C$5,MATCH(SLRatio!B120,'Report &amp; Lookup Table'!$C$6:$C$45,0),MATCH(SLRatio!D120,'Report &amp; Lookup Table'!$D$5:$G$5,0))</f>
        <v>1.0840659854895671</v>
      </c>
      <c r="F120" s="391">
        <v>1.8505195497042899</v>
      </c>
      <c r="G120" s="393">
        <v>42772.583182870374</v>
      </c>
      <c r="H120" s="394" t="s">
        <v>499</v>
      </c>
    </row>
    <row r="121" spans="1:8" x14ac:dyDescent="0.3">
      <c r="A121" s="391">
        <v>3</v>
      </c>
      <c r="B121" s="391">
        <v>14</v>
      </c>
      <c r="C121" s="391">
        <v>3</v>
      </c>
      <c r="D121" s="391">
        <v>4</v>
      </c>
      <c r="E121" s="392">
        <f ca="1">OFFSET('Report &amp; Lookup Table'!$C$5,MATCH(SLRatio!B121,'Report &amp; Lookup Table'!$C$6:$C$45,0),MATCH(SLRatio!D121,'Report &amp; Lookup Table'!$D$5:$G$5,0))</f>
        <v>1.0840659854895671</v>
      </c>
      <c r="F121" s="391">
        <v>1.0044845396381501</v>
      </c>
      <c r="G121" s="393">
        <v>42772.583182870374</v>
      </c>
      <c r="H121" s="394" t="s">
        <v>499</v>
      </c>
    </row>
    <row r="122" spans="1:8" x14ac:dyDescent="0.3">
      <c r="A122" s="391">
        <v>3</v>
      </c>
      <c r="B122" s="391">
        <v>14</v>
      </c>
      <c r="C122" s="391">
        <v>4</v>
      </c>
      <c r="D122" s="391">
        <v>1</v>
      </c>
      <c r="E122" s="392">
        <f ca="1">OFFSET('Report &amp; Lookup Table'!$C$5,MATCH(SLRatio!B122,'Report &amp; Lookup Table'!$C$6:$C$45,0),MATCH(SLRatio!D122,'Report &amp; Lookup Table'!$D$5:$G$5,0))</f>
        <v>1.0840659854895671</v>
      </c>
      <c r="F122" s="391">
        <v>1.4862514481139999</v>
      </c>
      <c r="G122" s="393">
        <v>42772.583182870374</v>
      </c>
      <c r="H122" s="394" t="s">
        <v>499</v>
      </c>
    </row>
    <row r="123" spans="1:8" x14ac:dyDescent="0.3">
      <c r="A123" s="391">
        <v>3</v>
      </c>
      <c r="B123" s="391">
        <v>14</v>
      </c>
      <c r="C123" s="391">
        <v>4</v>
      </c>
      <c r="D123" s="391">
        <v>2</v>
      </c>
      <c r="E123" s="392">
        <f ca="1">OFFSET('Report &amp; Lookup Table'!$C$5,MATCH(SLRatio!B123,'Report &amp; Lookup Table'!$C$6:$C$45,0),MATCH(SLRatio!D123,'Report &amp; Lookup Table'!$D$5:$G$5,0))</f>
        <v>1.0840659854895671</v>
      </c>
      <c r="F123" s="391">
        <v>1.28110397169326</v>
      </c>
      <c r="G123" s="393">
        <v>42772.583182870374</v>
      </c>
      <c r="H123" s="394" t="s">
        <v>499</v>
      </c>
    </row>
    <row r="124" spans="1:8" x14ac:dyDescent="0.3">
      <c r="A124" s="391">
        <v>3</v>
      </c>
      <c r="B124" s="391">
        <v>14</v>
      </c>
      <c r="C124" s="391">
        <v>4</v>
      </c>
      <c r="D124" s="391">
        <v>3</v>
      </c>
      <c r="E124" s="392">
        <f ca="1">OFFSET('Report &amp; Lookup Table'!$C$5,MATCH(SLRatio!B124,'Report &amp; Lookup Table'!$C$6:$C$45,0),MATCH(SLRatio!D124,'Report &amp; Lookup Table'!$D$5:$G$5,0))</f>
        <v>1.0840659854895671</v>
      </c>
      <c r="F124" s="391">
        <v>1.8505195497042899</v>
      </c>
      <c r="G124" s="393">
        <v>42772.583182870374</v>
      </c>
      <c r="H124" s="394" t="s">
        <v>499</v>
      </c>
    </row>
    <row r="125" spans="1:8" x14ac:dyDescent="0.3">
      <c r="A125" s="391">
        <v>3</v>
      </c>
      <c r="B125" s="391">
        <v>14</v>
      </c>
      <c r="C125" s="391">
        <v>4</v>
      </c>
      <c r="D125" s="391">
        <v>4</v>
      </c>
      <c r="E125" s="392">
        <f ca="1">OFFSET('Report &amp; Lookup Table'!$C$5,MATCH(SLRatio!B125,'Report &amp; Lookup Table'!$C$6:$C$45,0),MATCH(SLRatio!D125,'Report &amp; Lookup Table'!$D$5:$G$5,0))</f>
        <v>1.0840659854895671</v>
      </c>
      <c r="F125" s="391">
        <v>1.0044845396381501</v>
      </c>
      <c r="G125" s="393">
        <v>42772.583182870374</v>
      </c>
      <c r="H125" s="394" t="s">
        <v>499</v>
      </c>
    </row>
    <row r="126" spans="1:8" x14ac:dyDescent="0.3">
      <c r="A126" s="391">
        <v>3</v>
      </c>
      <c r="B126" s="391">
        <v>14</v>
      </c>
      <c r="C126" s="391">
        <v>5</v>
      </c>
      <c r="D126" s="391">
        <v>1</v>
      </c>
      <c r="E126" s="392">
        <f ca="1">OFFSET('Report &amp; Lookup Table'!$C$5,MATCH(SLRatio!B126,'Report &amp; Lookup Table'!$C$6:$C$45,0),MATCH(SLRatio!D126,'Report &amp; Lookup Table'!$D$5:$G$5,0))</f>
        <v>1.0840659854895671</v>
      </c>
      <c r="F126" s="391">
        <v>1.4862514481139999</v>
      </c>
      <c r="G126" s="393">
        <v>42772.583182870374</v>
      </c>
      <c r="H126" s="394" t="s">
        <v>499</v>
      </c>
    </row>
    <row r="127" spans="1:8" x14ac:dyDescent="0.3">
      <c r="A127" s="391">
        <v>3</v>
      </c>
      <c r="B127" s="391">
        <v>14</v>
      </c>
      <c r="C127" s="391">
        <v>5</v>
      </c>
      <c r="D127" s="391">
        <v>2</v>
      </c>
      <c r="E127" s="392">
        <f ca="1">OFFSET('Report &amp; Lookup Table'!$C$5,MATCH(SLRatio!B127,'Report &amp; Lookup Table'!$C$6:$C$45,0),MATCH(SLRatio!D127,'Report &amp; Lookup Table'!$D$5:$G$5,0))</f>
        <v>1.0840659854895671</v>
      </c>
      <c r="F127" s="391">
        <v>1.28110397169326</v>
      </c>
      <c r="G127" s="393">
        <v>42772.583182870374</v>
      </c>
      <c r="H127" s="394" t="s">
        <v>499</v>
      </c>
    </row>
    <row r="128" spans="1:8" x14ac:dyDescent="0.3">
      <c r="A128" s="391">
        <v>3</v>
      </c>
      <c r="B128" s="391">
        <v>14</v>
      </c>
      <c r="C128" s="391">
        <v>5</v>
      </c>
      <c r="D128" s="391">
        <v>3</v>
      </c>
      <c r="E128" s="392">
        <f ca="1">OFFSET('Report &amp; Lookup Table'!$C$5,MATCH(SLRatio!B128,'Report &amp; Lookup Table'!$C$6:$C$45,0),MATCH(SLRatio!D128,'Report &amp; Lookup Table'!$D$5:$G$5,0))</f>
        <v>1.0840659854895671</v>
      </c>
      <c r="F128" s="391">
        <v>1.8505195497042899</v>
      </c>
      <c r="G128" s="393">
        <v>42772.583182870374</v>
      </c>
      <c r="H128" s="394" t="s">
        <v>499</v>
      </c>
    </row>
    <row r="129" spans="1:8" x14ac:dyDescent="0.3">
      <c r="A129" s="391">
        <v>3</v>
      </c>
      <c r="B129" s="391">
        <v>14</v>
      </c>
      <c r="C129" s="391">
        <v>5</v>
      </c>
      <c r="D129" s="391">
        <v>4</v>
      </c>
      <c r="E129" s="392">
        <f ca="1">OFFSET('Report &amp; Lookup Table'!$C$5,MATCH(SLRatio!B129,'Report &amp; Lookup Table'!$C$6:$C$45,0),MATCH(SLRatio!D129,'Report &amp; Lookup Table'!$D$5:$G$5,0))</f>
        <v>1.0840659854895671</v>
      </c>
      <c r="F129" s="391">
        <v>1.0044845396381501</v>
      </c>
      <c r="G129" s="393">
        <v>42772.583182870374</v>
      </c>
      <c r="H129" s="394" t="s">
        <v>499</v>
      </c>
    </row>
    <row r="130" spans="1:8" x14ac:dyDescent="0.3">
      <c r="A130" s="391">
        <v>3</v>
      </c>
      <c r="B130" s="391">
        <v>15</v>
      </c>
      <c r="C130" s="391">
        <v>2</v>
      </c>
      <c r="D130" s="391">
        <v>1</v>
      </c>
      <c r="E130" s="392">
        <f ca="1">OFFSET('Report &amp; Lookup Table'!$C$5,MATCH(SLRatio!B130,'Report &amp; Lookup Table'!$C$6:$C$45,0),MATCH(SLRatio!D130,'Report &amp; Lookup Table'!$D$5:$G$5,0))</f>
        <v>0.42823844998242244</v>
      </c>
      <c r="F130" s="391">
        <v>1.5406743325699099</v>
      </c>
      <c r="G130" s="393">
        <v>42772.583182870374</v>
      </c>
      <c r="H130" s="394" t="s">
        <v>499</v>
      </c>
    </row>
    <row r="131" spans="1:8" x14ac:dyDescent="0.3">
      <c r="A131" s="391">
        <v>3</v>
      </c>
      <c r="B131" s="391">
        <v>15</v>
      </c>
      <c r="C131" s="391">
        <v>2</v>
      </c>
      <c r="D131" s="391">
        <v>2</v>
      </c>
      <c r="E131" s="392">
        <f ca="1">OFFSET('Report &amp; Lookup Table'!$C$5,MATCH(SLRatio!B131,'Report &amp; Lookup Table'!$C$6:$C$45,0),MATCH(SLRatio!D131,'Report &amp; Lookup Table'!$D$5:$G$5,0))</f>
        <v>0.42823844998242244</v>
      </c>
      <c r="F131" s="391">
        <v>2.7545002454013101</v>
      </c>
      <c r="G131" s="393">
        <v>42772.583182870374</v>
      </c>
      <c r="H131" s="394" t="s">
        <v>499</v>
      </c>
    </row>
    <row r="132" spans="1:8" x14ac:dyDescent="0.3">
      <c r="A132" s="391">
        <v>3</v>
      </c>
      <c r="B132" s="391">
        <v>15</v>
      </c>
      <c r="C132" s="391">
        <v>2</v>
      </c>
      <c r="D132" s="391">
        <v>3</v>
      </c>
      <c r="E132" s="392">
        <f ca="1">OFFSET('Report &amp; Lookup Table'!$C$5,MATCH(SLRatio!B132,'Report &amp; Lookup Table'!$C$6:$C$45,0),MATCH(SLRatio!D132,'Report &amp; Lookup Table'!$D$5:$G$5,0))</f>
        <v>0.42823844998242244</v>
      </c>
      <c r="F132" s="391">
        <v>3.1827905091278401</v>
      </c>
      <c r="G132" s="393">
        <v>42772.583182870374</v>
      </c>
      <c r="H132" s="394" t="s">
        <v>499</v>
      </c>
    </row>
    <row r="133" spans="1:8" x14ac:dyDescent="0.3">
      <c r="A133" s="391">
        <v>3</v>
      </c>
      <c r="B133" s="391">
        <v>15</v>
      </c>
      <c r="C133" s="391">
        <v>2</v>
      </c>
      <c r="D133" s="391">
        <v>4</v>
      </c>
      <c r="E133" s="392">
        <f ca="1">OFFSET('Report &amp; Lookup Table'!$C$5,MATCH(SLRatio!B133,'Report &amp; Lookup Table'!$C$6:$C$45,0),MATCH(SLRatio!D133,'Report &amp; Lookup Table'!$D$5:$G$5,0))</f>
        <v>0.42823844998242244</v>
      </c>
      <c r="F133" s="391">
        <v>1.12150016390971</v>
      </c>
      <c r="G133" s="393">
        <v>42772.583182870374</v>
      </c>
      <c r="H133" s="394" t="s">
        <v>499</v>
      </c>
    </row>
    <row r="134" spans="1:8" x14ac:dyDescent="0.3">
      <c r="A134" s="391">
        <v>3</v>
      </c>
      <c r="B134" s="391">
        <v>15</v>
      </c>
      <c r="C134" s="391">
        <v>3</v>
      </c>
      <c r="D134" s="391">
        <v>1</v>
      </c>
      <c r="E134" s="392">
        <f ca="1">OFFSET('Report &amp; Lookup Table'!$C$5,MATCH(SLRatio!B134,'Report &amp; Lookup Table'!$C$6:$C$45,0),MATCH(SLRatio!D134,'Report &amp; Lookup Table'!$D$5:$G$5,0))</f>
        <v>0.42823844998242244</v>
      </c>
      <c r="F134" s="391">
        <v>1.5406743325699099</v>
      </c>
      <c r="G134" s="393">
        <v>42772.583182870374</v>
      </c>
      <c r="H134" s="394" t="s">
        <v>499</v>
      </c>
    </row>
    <row r="135" spans="1:8" x14ac:dyDescent="0.3">
      <c r="A135" s="391">
        <v>3</v>
      </c>
      <c r="B135" s="391">
        <v>15</v>
      </c>
      <c r="C135" s="391">
        <v>3</v>
      </c>
      <c r="D135" s="391">
        <v>2</v>
      </c>
      <c r="E135" s="392">
        <f ca="1">OFFSET('Report &amp; Lookup Table'!$C$5,MATCH(SLRatio!B135,'Report &amp; Lookup Table'!$C$6:$C$45,0),MATCH(SLRatio!D135,'Report &amp; Lookup Table'!$D$5:$G$5,0))</f>
        <v>0.42823844998242244</v>
      </c>
      <c r="F135" s="391">
        <v>2.7545002454013101</v>
      </c>
      <c r="G135" s="393">
        <v>42772.583182870374</v>
      </c>
      <c r="H135" s="394" t="s">
        <v>499</v>
      </c>
    </row>
    <row r="136" spans="1:8" x14ac:dyDescent="0.3">
      <c r="A136" s="391">
        <v>3</v>
      </c>
      <c r="B136" s="391">
        <v>15</v>
      </c>
      <c r="C136" s="391">
        <v>3</v>
      </c>
      <c r="D136" s="391">
        <v>3</v>
      </c>
      <c r="E136" s="392">
        <f ca="1">OFFSET('Report &amp; Lookup Table'!$C$5,MATCH(SLRatio!B136,'Report &amp; Lookup Table'!$C$6:$C$45,0),MATCH(SLRatio!D136,'Report &amp; Lookup Table'!$D$5:$G$5,0))</f>
        <v>0.42823844998242244</v>
      </c>
      <c r="F136" s="391">
        <v>3.1827905091278401</v>
      </c>
      <c r="G136" s="393">
        <v>42772.583182870374</v>
      </c>
      <c r="H136" s="394" t="s">
        <v>499</v>
      </c>
    </row>
    <row r="137" spans="1:8" x14ac:dyDescent="0.3">
      <c r="A137" s="391">
        <v>3</v>
      </c>
      <c r="B137" s="391">
        <v>15</v>
      </c>
      <c r="C137" s="391">
        <v>3</v>
      </c>
      <c r="D137" s="391">
        <v>4</v>
      </c>
      <c r="E137" s="392">
        <f ca="1">OFFSET('Report &amp; Lookup Table'!$C$5,MATCH(SLRatio!B137,'Report &amp; Lookup Table'!$C$6:$C$45,0),MATCH(SLRatio!D137,'Report &amp; Lookup Table'!$D$5:$G$5,0))</f>
        <v>0.42823844998242244</v>
      </c>
      <c r="F137" s="391">
        <v>1.12150016390971</v>
      </c>
      <c r="G137" s="393">
        <v>42772.583182870374</v>
      </c>
      <c r="H137" s="394" t="s">
        <v>499</v>
      </c>
    </row>
    <row r="138" spans="1:8" x14ac:dyDescent="0.3">
      <c r="A138" s="391">
        <v>3</v>
      </c>
      <c r="B138" s="391">
        <v>15</v>
      </c>
      <c r="C138" s="391">
        <v>4</v>
      </c>
      <c r="D138" s="391">
        <v>1</v>
      </c>
      <c r="E138" s="392">
        <f ca="1">OFFSET('Report &amp; Lookup Table'!$C$5,MATCH(SLRatio!B138,'Report &amp; Lookup Table'!$C$6:$C$45,0),MATCH(SLRatio!D138,'Report &amp; Lookup Table'!$D$5:$G$5,0))</f>
        <v>0.42823844998242244</v>
      </c>
      <c r="F138" s="391">
        <v>1.5406743325699099</v>
      </c>
      <c r="G138" s="393">
        <v>42772.583182870374</v>
      </c>
      <c r="H138" s="394" t="s">
        <v>499</v>
      </c>
    </row>
    <row r="139" spans="1:8" x14ac:dyDescent="0.3">
      <c r="A139" s="391">
        <v>3</v>
      </c>
      <c r="B139" s="391">
        <v>15</v>
      </c>
      <c r="C139" s="391">
        <v>4</v>
      </c>
      <c r="D139" s="391">
        <v>2</v>
      </c>
      <c r="E139" s="392">
        <f ca="1">OFFSET('Report &amp; Lookup Table'!$C$5,MATCH(SLRatio!B139,'Report &amp; Lookup Table'!$C$6:$C$45,0),MATCH(SLRatio!D139,'Report &amp; Lookup Table'!$D$5:$G$5,0))</f>
        <v>0.42823844998242244</v>
      </c>
      <c r="F139" s="391">
        <v>2.7545002454013101</v>
      </c>
      <c r="G139" s="393">
        <v>42772.583182870374</v>
      </c>
      <c r="H139" s="394" t="s">
        <v>499</v>
      </c>
    </row>
    <row r="140" spans="1:8" x14ac:dyDescent="0.3">
      <c r="A140" s="391">
        <v>3</v>
      </c>
      <c r="B140" s="391">
        <v>15</v>
      </c>
      <c r="C140" s="391">
        <v>4</v>
      </c>
      <c r="D140" s="391">
        <v>3</v>
      </c>
      <c r="E140" s="392">
        <f ca="1">OFFSET('Report &amp; Lookup Table'!$C$5,MATCH(SLRatio!B140,'Report &amp; Lookup Table'!$C$6:$C$45,0),MATCH(SLRatio!D140,'Report &amp; Lookup Table'!$D$5:$G$5,0))</f>
        <v>0.42823844998242244</v>
      </c>
      <c r="F140" s="391">
        <v>3.1827905091278401</v>
      </c>
      <c r="G140" s="393">
        <v>42772.583182870374</v>
      </c>
      <c r="H140" s="394" t="s">
        <v>499</v>
      </c>
    </row>
    <row r="141" spans="1:8" x14ac:dyDescent="0.3">
      <c r="A141" s="391">
        <v>3</v>
      </c>
      <c r="B141" s="391">
        <v>15</v>
      </c>
      <c r="C141" s="391">
        <v>4</v>
      </c>
      <c r="D141" s="391">
        <v>4</v>
      </c>
      <c r="E141" s="392">
        <f ca="1">OFFSET('Report &amp; Lookup Table'!$C$5,MATCH(SLRatio!B141,'Report &amp; Lookup Table'!$C$6:$C$45,0),MATCH(SLRatio!D141,'Report &amp; Lookup Table'!$D$5:$G$5,0))</f>
        <v>0.42823844998242244</v>
      </c>
      <c r="F141" s="391">
        <v>1.12150016390971</v>
      </c>
      <c r="G141" s="393">
        <v>42772.583182870374</v>
      </c>
      <c r="H141" s="394" t="s">
        <v>499</v>
      </c>
    </row>
    <row r="142" spans="1:8" x14ac:dyDescent="0.3">
      <c r="A142" s="391">
        <v>3</v>
      </c>
      <c r="B142" s="391">
        <v>15</v>
      </c>
      <c r="C142" s="391">
        <v>5</v>
      </c>
      <c r="D142" s="391">
        <v>1</v>
      </c>
      <c r="E142" s="392">
        <f ca="1">OFFSET('Report &amp; Lookup Table'!$C$5,MATCH(SLRatio!B142,'Report &amp; Lookup Table'!$C$6:$C$45,0),MATCH(SLRatio!D142,'Report &amp; Lookup Table'!$D$5:$G$5,0))</f>
        <v>0.42823844998242244</v>
      </c>
      <c r="F142" s="391">
        <v>1.5406743325699099</v>
      </c>
      <c r="G142" s="393">
        <v>42772.583182870374</v>
      </c>
      <c r="H142" s="394" t="s">
        <v>499</v>
      </c>
    </row>
    <row r="143" spans="1:8" x14ac:dyDescent="0.3">
      <c r="A143" s="391">
        <v>3</v>
      </c>
      <c r="B143" s="391">
        <v>15</v>
      </c>
      <c r="C143" s="391">
        <v>5</v>
      </c>
      <c r="D143" s="391">
        <v>2</v>
      </c>
      <c r="E143" s="392">
        <f ca="1">OFFSET('Report &amp; Lookup Table'!$C$5,MATCH(SLRatio!B143,'Report &amp; Lookup Table'!$C$6:$C$45,0),MATCH(SLRatio!D143,'Report &amp; Lookup Table'!$D$5:$G$5,0))</f>
        <v>0.42823844998242244</v>
      </c>
      <c r="F143" s="391">
        <v>2.7545002454013101</v>
      </c>
      <c r="G143" s="393">
        <v>42772.583182870374</v>
      </c>
      <c r="H143" s="394" t="s">
        <v>499</v>
      </c>
    </row>
    <row r="144" spans="1:8" x14ac:dyDescent="0.3">
      <c r="A144" s="391">
        <v>3</v>
      </c>
      <c r="B144" s="391">
        <v>15</v>
      </c>
      <c r="C144" s="391">
        <v>5</v>
      </c>
      <c r="D144" s="391">
        <v>3</v>
      </c>
      <c r="E144" s="392">
        <f ca="1">OFFSET('Report &amp; Lookup Table'!$C$5,MATCH(SLRatio!B144,'Report &amp; Lookup Table'!$C$6:$C$45,0),MATCH(SLRatio!D144,'Report &amp; Lookup Table'!$D$5:$G$5,0))</f>
        <v>0.42823844998242244</v>
      </c>
      <c r="F144" s="391">
        <v>3.1827905091278401</v>
      </c>
      <c r="G144" s="393">
        <v>42772.583182870374</v>
      </c>
      <c r="H144" s="394" t="s">
        <v>499</v>
      </c>
    </row>
    <row r="145" spans="1:8" x14ac:dyDescent="0.3">
      <c r="A145" s="391">
        <v>3</v>
      </c>
      <c r="B145" s="391">
        <v>15</v>
      </c>
      <c r="C145" s="391">
        <v>5</v>
      </c>
      <c r="D145" s="391">
        <v>4</v>
      </c>
      <c r="E145" s="392">
        <f ca="1">OFFSET('Report &amp; Lookup Table'!$C$5,MATCH(SLRatio!B145,'Report &amp; Lookup Table'!$C$6:$C$45,0),MATCH(SLRatio!D145,'Report &amp; Lookup Table'!$D$5:$G$5,0))</f>
        <v>0.42823844998242244</v>
      </c>
      <c r="F145" s="391">
        <v>1.12150016390971</v>
      </c>
      <c r="G145" s="393">
        <v>42772.583182870374</v>
      </c>
      <c r="H145" s="394" t="s">
        <v>499</v>
      </c>
    </row>
    <row r="146" spans="1:8" x14ac:dyDescent="0.3">
      <c r="A146" s="391">
        <v>3</v>
      </c>
      <c r="B146" s="391">
        <v>16</v>
      </c>
      <c r="C146" s="391">
        <v>2</v>
      </c>
      <c r="D146" s="391">
        <v>2</v>
      </c>
      <c r="E146" s="392">
        <f ca="1">OFFSET('Report &amp; Lookup Table'!$C$5,MATCH(SLRatio!B146,'Report &amp; Lookup Table'!$C$6:$C$45,0),MATCH(SLRatio!D146,'Report &amp; Lookup Table'!$D$5:$G$5,0))</f>
        <v>1.0642345522078578</v>
      </c>
      <c r="F146" s="391">
        <v>1.59739837558533</v>
      </c>
      <c r="G146" s="393">
        <v>42772.583182870374</v>
      </c>
      <c r="H146" s="394" t="s">
        <v>499</v>
      </c>
    </row>
    <row r="147" spans="1:8" x14ac:dyDescent="0.3">
      <c r="A147" s="391">
        <v>3</v>
      </c>
      <c r="B147" s="391">
        <v>16</v>
      </c>
      <c r="C147" s="391">
        <v>2</v>
      </c>
      <c r="D147" s="391">
        <v>3</v>
      </c>
      <c r="E147" s="392">
        <f ca="1">OFFSET('Report &amp; Lookup Table'!$C$5,MATCH(SLRatio!B147,'Report &amp; Lookup Table'!$C$6:$C$45,0),MATCH(SLRatio!D147,'Report &amp; Lookup Table'!$D$5:$G$5,0))</f>
        <v>0.57226205993731771</v>
      </c>
      <c r="F147" s="391">
        <v>1.14273626881478</v>
      </c>
      <c r="G147" s="393">
        <v>42772.583182870374</v>
      </c>
      <c r="H147" s="394" t="s">
        <v>499</v>
      </c>
    </row>
    <row r="148" spans="1:8" x14ac:dyDescent="0.3">
      <c r="A148" s="391">
        <v>3</v>
      </c>
      <c r="B148" s="391">
        <v>16</v>
      </c>
      <c r="C148" s="391">
        <v>3</v>
      </c>
      <c r="D148" s="391">
        <v>2</v>
      </c>
      <c r="E148" s="392">
        <f ca="1">OFFSET('Report &amp; Lookup Table'!$C$5,MATCH(SLRatio!B148,'Report &amp; Lookup Table'!$C$6:$C$45,0),MATCH(SLRatio!D148,'Report &amp; Lookup Table'!$D$5:$G$5,0))</f>
        <v>1.0642345522078578</v>
      </c>
      <c r="F148" s="391">
        <v>1.59739837558533</v>
      </c>
      <c r="G148" s="393">
        <v>42772.583182870374</v>
      </c>
      <c r="H148" s="394" t="s">
        <v>499</v>
      </c>
    </row>
    <row r="149" spans="1:8" x14ac:dyDescent="0.3">
      <c r="A149" s="391">
        <v>3</v>
      </c>
      <c r="B149" s="391">
        <v>16</v>
      </c>
      <c r="C149" s="391">
        <v>3</v>
      </c>
      <c r="D149" s="391">
        <v>3</v>
      </c>
      <c r="E149" s="392">
        <f ca="1">OFFSET('Report &amp; Lookup Table'!$C$5,MATCH(SLRatio!B149,'Report &amp; Lookup Table'!$C$6:$C$45,0),MATCH(SLRatio!D149,'Report &amp; Lookup Table'!$D$5:$G$5,0))</f>
        <v>0.57226205993731771</v>
      </c>
      <c r="F149" s="391">
        <v>1.14273626881478</v>
      </c>
      <c r="G149" s="393">
        <v>42772.583182870374</v>
      </c>
      <c r="H149" s="394" t="s">
        <v>499</v>
      </c>
    </row>
    <row r="150" spans="1:8" x14ac:dyDescent="0.3">
      <c r="A150" s="391">
        <v>3</v>
      </c>
      <c r="B150" s="391">
        <v>16</v>
      </c>
      <c r="C150" s="391">
        <v>4</v>
      </c>
      <c r="D150" s="391">
        <v>2</v>
      </c>
      <c r="E150" s="392">
        <f ca="1">OFFSET('Report &amp; Lookup Table'!$C$5,MATCH(SLRatio!B150,'Report &amp; Lookup Table'!$C$6:$C$45,0),MATCH(SLRatio!D150,'Report &amp; Lookup Table'!$D$5:$G$5,0))</f>
        <v>1.0642345522078578</v>
      </c>
      <c r="F150" s="391">
        <v>1.59739837558533</v>
      </c>
      <c r="G150" s="393">
        <v>42772.583182870374</v>
      </c>
      <c r="H150" s="394" t="s">
        <v>499</v>
      </c>
    </row>
    <row r="151" spans="1:8" x14ac:dyDescent="0.3">
      <c r="A151" s="391">
        <v>3</v>
      </c>
      <c r="B151" s="391">
        <v>16</v>
      </c>
      <c r="C151" s="391">
        <v>4</v>
      </c>
      <c r="D151" s="391">
        <v>3</v>
      </c>
      <c r="E151" s="392">
        <f ca="1">OFFSET('Report &amp; Lookup Table'!$C$5,MATCH(SLRatio!B151,'Report &amp; Lookup Table'!$C$6:$C$45,0),MATCH(SLRatio!D151,'Report &amp; Lookup Table'!$D$5:$G$5,0))</f>
        <v>0.57226205993731771</v>
      </c>
      <c r="F151" s="391">
        <v>1.14273626881478</v>
      </c>
      <c r="G151" s="393">
        <v>42772.583182870374</v>
      </c>
      <c r="H151" s="394" t="s">
        <v>499</v>
      </c>
    </row>
    <row r="152" spans="1:8" x14ac:dyDescent="0.3">
      <c r="A152" s="391">
        <v>3</v>
      </c>
      <c r="B152" s="391">
        <v>16</v>
      </c>
      <c r="C152" s="391">
        <v>5</v>
      </c>
      <c r="D152" s="391">
        <v>2</v>
      </c>
      <c r="E152" s="392">
        <f ca="1">OFFSET('Report &amp; Lookup Table'!$C$5,MATCH(SLRatio!B152,'Report &amp; Lookup Table'!$C$6:$C$45,0),MATCH(SLRatio!D152,'Report &amp; Lookup Table'!$D$5:$G$5,0))</f>
        <v>1.0642345522078578</v>
      </c>
      <c r="F152" s="391">
        <v>1.59739837558533</v>
      </c>
      <c r="G152" s="393">
        <v>42772.583182870374</v>
      </c>
      <c r="H152" s="394" t="s">
        <v>499</v>
      </c>
    </row>
    <row r="153" spans="1:8" x14ac:dyDescent="0.3">
      <c r="A153" s="391">
        <v>3</v>
      </c>
      <c r="B153" s="391">
        <v>16</v>
      </c>
      <c r="C153" s="391">
        <v>5</v>
      </c>
      <c r="D153" s="391">
        <v>3</v>
      </c>
      <c r="E153" s="392">
        <f ca="1">OFFSET('Report &amp; Lookup Table'!$C$5,MATCH(SLRatio!B153,'Report &amp; Lookup Table'!$C$6:$C$45,0),MATCH(SLRatio!D153,'Report &amp; Lookup Table'!$D$5:$G$5,0))</f>
        <v>0.57226205993731771</v>
      </c>
      <c r="F153" s="391">
        <v>1.14273626881478</v>
      </c>
      <c r="G153" s="393">
        <v>42772.583182870374</v>
      </c>
      <c r="H153" s="394" t="s">
        <v>499</v>
      </c>
    </row>
    <row r="154" spans="1:8" x14ac:dyDescent="0.3">
      <c r="A154" s="391">
        <v>3</v>
      </c>
      <c r="B154" s="391">
        <v>17</v>
      </c>
      <c r="C154" s="391">
        <v>2</v>
      </c>
      <c r="D154" s="391">
        <v>1</v>
      </c>
      <c r="E154" s="392">
        <f ca="1">OFFSET('Report &amp; Lookup Table'!$C$5,MATCH(SLRatio!B154,'Report &amp; Lookup Table'!$C$6:$C$45,0),MATCH(SLRatio!D154,'Report &amp; Lookup Table'!$D$5:$G$5,0))</f>
        <v>2.1848404323313404</v>
      </c>
      <c r="F154" s="391">
        <v>1.0272339080677599</v>
      </c>
      <c r="G154" s="393">
        <v>42772.583182870374</v>
      </c>
      <c r="H154" s="394" t="s">
        <v>499</v>
      </c>
    </row>
    <row r="155" spans="1:8" x14ac:dyDescent="0.3">
      <c r="A155" s="391">
        <v>3</v>
      </c>
      <c r="B155" s="391">
        <v>17</v>
      </c>
      <c r="C155" s="391">
        <v>2</v>
      </c>
      <c r="D155" s="391">
        <v>2</v>
      </c>
      <c r="E155" s="392">
        <f ca="1">OFFSET('Report &amp; Lookup Table'!$C$5,MATCH(SLRatio!B155,'Report &amp; Lookup Table'!$C$6:$C$45,0),MATCH(SLRatio!D155,'Report &amp; Lookup Table'!$D$5:$G$5,0))</f>
        <v>0.17380358372775417</v>
      </c>
      <c r="F155" s="391">
        <v>1.4416491608187401</v>
      </c>
      <c r="G155" s="393">
        <v>42772.583182870374</v>
      </c>
      <c r="H155" s="394" t="s">
        <v>499</v>
      </c>
    </row>
    <row r="156" spans="1:8" x14ac:dyDescent="0.3">
      <c r="A156" s="391">
        <v>3</v>
      </c>
      <c r="B156" s="391">
        <v>17</v>
      </c>
      <c r="C156" s="391">
        <v>2</v>
      </c>
      <c r="D156" s="391">
        <v>3</v>
      </c>
      <c r="E156" s="392">
        <f ca="1">OFFSET('Report &amp; Lookup Table'!$C$5,MATCH(SLRatio!B156,'Report &amp; Lookup Table'!$C$6:$C$45,0),MATCH(SLRatio!D156,'Report &amp; Lookup Table'!$D$5:$G$5,0))</f>
        <v>0.22898059720909528</v>
      </c>
      <c r="F156" s="391">
        <v>1.9901027058516201</v>
      </c>
      <c r="G156" s="393">
        <v>42772.583182870374</v>
      </c>
      <c r="H156" s="394" t="s">
        <v>499</v>
      </c>
    </row>
    <row r="157" spans="1:8" x14ac:dyDescent="0.3">
      <c r="A157" s="391">
        <v>3</v>
      </c>
      <c r="B157" s="391">
        <v>17</v>
      </c>
      <c r="C157" s="391">
        <v>2</v>
      </c>
      <c r="D157" s="391">
        <v>4</v>
      </c>
      <c r="E157" s="392">
        <f ca="1">OFFSET('Report &amp; Lookup Table'!$C$5,MATCH(SLRatio!B157,'Report &amp; Lookup Table'!$C$6:$C$45,0),MATCH(SLRatio!D157,'Report &amp; Lookup Table'!$D$5:$G$5,0))</f>
        <v>2.1848404323313404</v>
      </c>
      <c r="F157" s="391">
        <v>0.82656950989387401</v>
      </c>
      <c r="G157" s="393">
        <v>42772.583182870374</v>
      </c>
      <c r="H157" s="394" t="s">
        <v>499</v>
      </c>
    </row>
    <row r="158" spans="1:8" x14ac:dyDescent="0.3">
      <c r="A158" s="391">
        <v>3</v>
      </c>
      <c r="B158" s="391">
        <v>17</v>
      </c>
      <c r="C158" s="391">
        <v>3</v>
      </c>
      <c r="D158" s="391">
        <v>1</v>
      </c>
      <c r="E158" s="392">
        <f ca="1">OFFSET('Report &amp; Lookup Table'!$C$5,MATCH(SLRatio!B158,'Report &amp; Lookup Table'!$C$6:$C$45,0),MATCH(SLRatio!D158,'Report &amp; Lookup Table'!$D$5:$G$5,0))</f>
        <v>2.1848404323313404</v>
      </c>
      <c r="F158" s="391">
        <v>1.0272339080677599</v>
      </c>
      <c r="G158" s="393">
        <v>42772.583182870374</v>
      </c>
      <c r="H158" s="394" t="s">
        <v>499</v>
      </c>
    </row>
    <row r="159" spans="1:8" x14ac:dyDescent="0.3">
      <c r="A159" s="391">
        <v>3</v>
      </c>
      <c r="B159" s="391">
        <v>17</v>
      </c>
      <c r="C159" s="391">
        <v>3</v>
      </c>
      <c r="D159" s="391">
        <v>2</v>
      </c>
      <c r="E159" s="392">
        <f ca="1">OFFSET('Report &amp; Lookup Table'!$C$5,MATCH(SLRatio!B159,'Report &amp; Lookup Table'!$C$6:$C$45,0),MATCH(SLRatio!D159,'Report &amp; Lookup Table'!$D$5:$G$5,0))</f>
        <v>0.17380358372775417</v>
      </c>
      <c r="F159" s="391">
        <v>1.4416491608187401</v>
      </c>
      <c r="G159" s="393">
        <v>42772.583182870374</v>
      </c>
      <c r="H159" s="394" t="s">
        <v>499</v>
      </c>
    </row>
    <row r="160" spans="1:8" x14ac:dyDescent="0.3">
      <c r="A160" s="391">
        <v>3</v>
      </c>
      <c r="B160" s="391">
        <v>17</v>
      </c>
      <c r="C160" s="391">
        <v>3</v>
      </c>
      <c r="D160" s="391">
        <v>3</v>
      </c>
      <c r="E160" s="392">
        <f ca="1">OFFSET('Report &amp; Lookup Table'!$C$5,MATCH(SLRatio!B160,'Report &amp; Lookup Table'!$C$6:$C$45,0),MATCH(SLRatio!D160,'Report &amp; Lookup Table'!$D$5:$G$5,0))</f>
        <v>0.22898059720909528</v>
      </c>
      <c r="F160" s="391">
        <v>1.9901027058516201</v>
      </c>
      <c r="G160" s="393">
        <v>42772.583182870374</v>
      </c>
      <c r="H160" s="394" t="s">
        <v>499</v>
      </c>
    </row>
    <row r="161" spans="1:8" x14ac:dyDescent="0.3">
      <c r="A161" s="391">
        <v>3</v>
      </c>
      <c r="B161" s="391">
        <v>17</v>
      </c>
      <c r="C161" s="391">
        <v>3</v>
      </c>
      <c r="D161" s="391">
        <v>4</v>
      </c>
      <c r="E161" s="392">
        <f ca="1">OFFSET('Report &amp; Lookup Table'!$C$5,MATCH(SLRatio!B161,'Report &amp; Lookup Table'!$C$6:$C$45,0),MATCH(SLRatio!D161,'Report &amp; Lookup Table'!$D$5:$G$5,0))</f>
        <v>2.1848404323313404</v>
      </c>
      <c r="F161" s="391">
        <v>0.82656950989387401</v>
      </c>
      <c r="G161" s="393">
        <v>42772.583182870374</v>
      </c>
      <c r="H161" s="394" t="s">
        <v>499</v>
      </c>
    </row>
    <row r="162" spans="1:8" x14ac:dyDescent="0.3">
      <c r="A162" s="391">
        <v>3</v>
      </c>
      <c r="B162" s="391">
        <v>17</v>
      </c>
      <c r="C162" s="391">
        <v>4</v>
      </c>
      <c r="D162" s="391">
        <v>1</v>
      </c>
      <c r="E162" s="392">
        <f ca="1">OFFSET('Report &amp; Lookup Table'!$C$5,MATCH(SLRatio!B162,'Report &amp; Lookup Table'!$C$6:$C$45,0),MATCH(SLRatio!D162,'Report &amp; Lookup Table'!$D$5:$G$5,0))</f>
        <v>2.1848404323313404</v>
      </c>
      <c r="F162" s="391">
        <v>1.0272339080677599</v>
      </c>
      <c r="G162" s="393">
        <v>42772.583182870374</v>
      </c>
      <c r="H162" s="394" t="s">
        <v>499</v>
      </c>
    </row>
    <row r="163" spans="1:8" x14ac:dyDescent="0.3">
      <c r="A163" s="391">
        <v>3</v>
      </c>
      <c r="B163" s="391">
        <v>17</v>
      </c>
      <c r="C163" s="391">
        <v>4</v>
      </c>
      <c r="D163" s="391">
        <v>2</v>
      </c>
      <c r="E163" s="392">
        <f ca="1">OFFSET('Report &amp; Lookup Table'!$C$5,MATCH(SLRatio!B163,'Report &amp; Lookup Table'!$C$6:$C$45,0),MATCH(SLRatio!D163,'Report &amp; Lookup Table'!$D$5:$G$5,0))</f>
        <v>0.17380358372775417</v>
      </c>
      <c r="F163" s="391">
        <v>1.4416491608187401</v>
      </c>
      <c r="G163" s="393">
        <v>42772.583182870374</v>
      </c>
      <c r="H163" s="394" t="s">
        <v>499</v>
      </c>
    </row>
    <row r="164" spans="1:8" x14ac:dyDescent="0.3">
      <c r="A164" s="391">
        <v>3</v>
      </c>
      <c r="B164" s="391">
        <v>17</v>
      </c>
      <c r="C164" s="391">
        <v>4</v>
      </c>
      <c r="D164" s="391">
        <v>3</v>
      </c>
      <c r="E164" s="392">
        <f ca="1">OFFSET('Report &amp; Lookup Table'!$C$5,MATCH(SLRatio!B164,'Report &amp; Lookup Table'!$C$6:$C$45,0),MATCH(SLRatio!D164,'Report &amp; Lookup Table'!$D$5:$G$5,0))</f>
        <v>0.22898059720909528</v>
      </c>
      <c r="F164" s="391">
        <v>1.9901027058516201</v>
      </c>
      <c r="G164" s="393">
        <v>42772.583182870374</v>
      </c>
      <c r="H164" s="394" t="s">
        <v>499</v>
      </c>
    </row>
    <row r="165" spans="1:8" x14ac:dyDescent="0.3">
      <c r="A165" s="391">
        <v>3</v>
      </c>
      <c r="B165" s="391">
        <v>17</v>
      </c>
      <c r="C165" s="391">
        <v>4</v>
      </c>
      <c r="D165" s="391">
        <v>4</v>
      </c>
      <c r="E165" s="392">
        <f ca="1">OFFSET('Report &amp; Lookup Table'!$C$5,MATCH(SLRatio!B165,'Report &amp; Lookup Table'!$C$6:$C$45,0),MATCH(SLRatio!D165,'Report &amp; Lookup Table'!$D$5:$G$5,0))</f>
        <v>2.1848404323313404</v>
      </c>
      <c r="F165" s="391">
        <v>0.82656950989387401</v>
      </c>
      <c r="G165" s="393">
        <v>42772.583182870374</v>
      </c>
      <c r="H165" s="394" t="s">
        <v>499</v>
      </c>
    </row>
    <row r="166" spans="1:8" x14ac:dyDescent="0.3">
      <c r="A166" s="391">
        <v>3</v>
      </c>
      <c r="B166" s="391">
        <v>17</v>
      </c>
      <c r="C166" s="391">
        <v>5</v>
      </c>
      <c r="D166" s="391">
        <v>1</v>
      </c>
      <c r="E166" s="392">
        <f ca="1">OFFSET('Report &amp; Lookup Table'!$C$5,MATCH(SLRatio!B166,'Report &amp; Lookup Table'!$C$6:$C$45,0),MATCH(SLRatio!D166,'Report &amp; Lookup Table'!$D$5:$G$5,0))</f>
        <v>2.1848404323313404</v>
      </c>
      <c r="F166" s="391">
        <v>1.0272339080677599</v>
      </c>
      <c r="G166" s="393">
        <v>42772.583182870374</v>
      </c>
      <c r="H166" s="394" t="s">
        <v>499</v>
      </c>
    </row>
    <row r="167" spans="1:8" x14ac:dyDescent="0.3">
      <c r="A167" s="391">
        <v>3</v>
      </c>
      <c r="B167" s="391">
        <v>17</v>
      </c>
      <c r="C167" s="391">
        <v>5</v>
      </c>
      <c r="D167" s="391">
        <v>2</v>
      </c>
      <c r="E167" s="392">
        <f ca="1">OFFSET('Report &amp; Lookup Table'!$C$5,MATCH(SLRatio!B167,'Report &amp; Lookup Table'!$C$6:$C$45,0),MATCH(SLRatio!D167,'Report &amp; Lookup Table'!$D$5:$G$5,0))</f>
        <v>0.17380358372775417</v>
      </c>
      <c r="F167" s="391">
        <v>1.4416491608187401</v>
      </c>
      <c r="G167" s="393">
        <v>42772.583182870374</v>
      </c>
      <c r="H167" s="394" t="s">
        <v>499</v>
      </c>
    </row>
    <row r="168" spans="1:8" x14ac:dyDescent="0.3">
      <c r="A168" s="391">
        <v>3</v>
      </c>
      <c r="B168" s="391">
        <v>17</v>
      </c>
      <c r="C168" s="391">
        <v>5</v>
      </c>
      <c r="D168" s="391">
        <v>3</v>
      </c>
      <c r="E168" s="392">
        <f ca="1">OFFSET('Report &amp; Lookup Table'!$C$5,MATCH(SLRatio!B168,'Report &amp; Lookup Table'!$C$6:$C$45,0),MATCH(SLRatio!D168,'Report &amp; Lookup Table'!$D$5:$G$5,0))</f>
        <v>0.22898059720909528</v>
      </c>
      <c r="F168" s="391">
        <v>1.9901027058516201</v>
      </c>
      <c r="G168" s="393">
        <v>42772.583182870374</v>
      </c>
      <c r="H168" s="394" t="s">
        <v>499</v>
      </c>
    </row>
    <row r="169" spans="1:8" x14ac:dyDescent="0.3">
      <c r="A169" s="391">
        <v>3</v>
      </c>
      <c r="B169" s="391">
        <v>17</v>
      </c>
      <c r="C169" s="391">
        <v>5</v>
      </c>
      <c r="D169" s="391">
        <v>4</v>
      </c>
      <c r="E169" s="392">
        <f ca="1">OFFSET('Report &amp; Lookup Table'!$C$5,MATCH(SLRatio!B169,'Report &amp; Lookup Table'!$C$6:$C$45,0),MATCH(SLRatio!D169,'Report &amp; Lookup Table'!$D$5:$G$5,0))</f>
        <v>2.1848404323313404</v>
      </c>
      <c r="F169" s="391">
        <v>0.82656950989387401</v>
      </c>
      <c r="G169" s="393">
        <v>42772.583182870374</v>
      </c>
      <c r="H169" s="394" t="s">
        <v>499</v>
      </c>
    </row>
    <row r="170" spans="1:8" x14ac:dyDescent="0.3">
      <c r="A170" s="391">
        <v>3</v>
      </c>
      <c r="B170" s="391">
        <v>18</v>
      </c>
      <c r="C170" s="391">
        <v>2</v>
      </c>
      <c r="D170" s="391">
        <v>2</v>
      </c>
      <c r="E170" s="392">
        <f ca="1">OFFSET('Report &amp; Lookup Table'!$C$5,MATCH(SLRatio!B170,'Report &amp; Lookup Table'!$C$6:$C$45,0),MATCH(SLRatio!D170,'Report &amp; Lookup Table'!$D$5:$G$5,0))</f>
        <v>0.32078591391796729</v>
      </c>
      <c r="F170" s="391">
        <v>1.8458794197828099</v>
      </c>
      <c r="G170" s="393">
        <v>42772.583182870374</v>
      </c>
      <c r="H170" s="394" t="s">
        <v>499</v>
      </c>
    </row>
    <row r="171" spans="1:8" x14ac:dyDescent="0.3">
      <c r="A171" s="391">
        <v>3</v>
      </c>
      <c r="B171" s="391">
        <v>18</v>
      </c>
      <c r="C171" s="391">
        <v>2</v>
      </c>
      <c r="D171" s="391">
        <v>3</v>
      </c>
      <c r="E171" s="392">
        <f ca="1">OFFSET('Report &amp; Lookup Table'!$C$5,MATCH(SLRatio!B171,'Report &amp; Lookup Table'!$C$6:$C$45,0),MATCH(SLRatio!D171,'Report &amp; Lookup Table'!$D$5:$G$5,0))</f>
        <v>1.1666532458067691</v>
      </c>
      <c r="F171" s="391">
        <v>0.80080073236478999</v>
      </c>
      <c r="G171" s="393">
        <v>42772.583182870374</v>
      </c>
      <c r="H171" s="394" t="s">
        <v>499</v>
      </c>
    </row>
    <row r="172" spans="1:8" x14ac:dyDescent="0.3">
      <c r="A172" s="391">
        <v>3</v>
      </c>
      <c r="B172" s="391">
        <v>18</v>
      </c>
      <c r="C172" s="391">
        <v>3</v>
      </c>
      <c r="D172" s="391">
        <v>2</v>
      </c>
      <c r="E172" s="392">
        <f ca="1">OFFSET('Report &amp; Lookup Table'!$C$5,MATCH(SLRatio!B172,'Report &amp; Lookup Table'!$C$6:$C$45,0),MATCH(SLRatio!D172,'Report &amp; Lookup Table'!$D$5:$G$5,0))</f>
        <v>0.32078591391796729</v>
      </c>
      <c r="F172" s="391">
        <v>1.8458794197828099</v>
      </c>
      <c r="G172" s="393">
        <v>42772.583182870374</v>
      </c>
      <c r="H172" s="394" t="s">
        <v>499</v>
      </c>
    </row>
    <row r="173" spans="1:8" x14ac:dyDescent="0.3">
      <c r="A173" s="391">
        <v>3</v>
      </c>
      <c r="B173" s="391">
        <v>18</v>
      </c>
      <c r="C173" s="391">
        <v>3</v>
      </c>
      <c r="D173" s="391">
        <v>3</v>
      </c>
      <c r="E173" s="392">
        <f ca="1">OFFSET('Report &amp; Lookup Table'!$C$5,MATCH(SLRatio!B173,'Report &amp; Lookup Table'!$C$6:$C$45,0),MATCH(SLRatio!D173,'Report &amp; Lookup Table'!$D$5:$G$5,0))</f>
        <v>1.1666532458067691</v>
      </c>
      <c r="F173" s="391">
        <v>0.80080073236478999</v>
      </c>
      <c r="G173" s="393">
        <v>42772.583182870374</v>
      </c>
      <c r="H173" s="394" t="s">
        <v>499</v>
      </c>
    </row>
    <row r="174" spans="1:8" x14ac:dyDescent="0.3">
      <c r="A174" s="391">
        <v>3</v>
      </c>
      <c r="B174" s="391">
        <v>18</v>
      </c>
      <c r="C174" s="391">
        <v>4</v>
      </c>
      <c r="D174" s="391">
        <v>2</v>
      </c>
      <c r="E174" s="392">
        <f ca="1">OFFSET('Report &amp; Lookup Table'!$C$5,MATCH(SLRatio!B174,'Report &amp; Lookup Table'!$C$6:$C$45,0),MATCH(SLRatio!D174,'Report &amp; Lookup Table'!$D$5:$G$5,0))</f>
        <v>0.32078591391796729</v>
      </c>
      <c r="F174" s="391">
        <v>1.8458794197828099</v>
      </c>
      <c r="G174" s="393">
        <v>42772.583182870374</v>
      </c>
      <c r="H174" s="394" t="s">
        <v>499</v>
      </c>
    </row>
    <row r="175" spans="1:8" x14ac:dyDescent="0.3">
      <c r="A175" s="391">
        <v>3</v>
      </c>
      <c r="B175" s="391">
        <v>18</v>
      </c>
      <c r="C175" s="391">
        <v>4</v>
      </c>
      <c r="D175" s="391">
        <v>3</v>
      </c>
      <c r="E175" s="392">
        <f ca="1">OFFSET('Report &amp; Lookup Table'!$C$5,MATCH(SLRatio!B175,'Report &amp; Lookup Table'!$C$6:$C$45,0),MATCH(SLRatio!D175,'Report &amp; Lookup Table'!$D$5:$G$5,0))</f>
        <v>1.1666532458067691</v>
      </c>
      <c r="F175" s="391">
        <v>0.80080073236478999</v>
      </c>
      <c r="G175" s="393">
        <v>42772.583182870374</v>
      </c>
      <c r="H175" s="394" t="s">
        <v>499</v>
      </c>
    </row>
    <row r="176" spans="1:8" x14ac:dyDescent="0.3">
      <c r="A176" s="391">
        <v>3</v>
      </c>
      <c r="B176" s="391">
        <v>18</v>
      </c>
      <c r="C176" s="391">
        <v>5</v>
      </c>
      <c r="D176" s="391">
        <v>2</v>
      </c>
      <c r="E176" s="392">
        <f ca="1">OFFSET('Report &amp; Lookup Table'!$C$5,MATCH(SLRatio!B176,'Report &amp; Lookup Table'!$C$6:$C$45,0),MATCH(SLRatio!D176,'Report &amp; Lookup Table'!$D$5:$G$5,0))</f>
        <v>0.32078591391796729</v>
      </c>
      <c r="F176" s="391">
        <v>1.8458794197828099</v>
      </c>
      <c r="G176" s="393">
        <v>42772.583182870374</v>
      </c>
      <c r="H176" s="394" t="s">
        <v>499</v>
      </c>
    </row>
    <row r="177" spans="1:8" x14ac:dyDescent="0.3">
      <c r="A177" s="391">
        <v>3</v>
      </c>
      <c r="B177" s="391">
        <v>18</v>
      </c>
      <c r="C177" s="391">
        <v>5</v>
      </c>
      <c r="D177" s="391">
        <v>3</v>
      </c>
      <c r="E177" s="392">
        <f ca="1">OFFSET('Report &amp; Lookup Table'!$C$5,MATCH(SLRatio!B177,'Report &amp; Lookup Table'!$C$6:$C$45,0),MATCH(SLRatio!D177,'Report &amp; Lookup Table'!$D$5:$G$5,0))</f>
        <v>1.1666532458067691</v>
      </c>
      <c r="F177" s="391">
        <v>0.80080073236478999</v>
      </c>
      <c r="G177" s="393">
        <v>42772.583182870374</v>
      </c>
      <c r="H177" s="394" t="s">
        <v>499</v>
      </c>
    </row>
    <row r="178" spans="1:8" x14ac:dyDescent="0.3">
      <c r="A178" s="391">
        <v>3</v>
      </c>
      <c r="B178" s="391">
        <v>20</v>
      </c>
      <c r="C178" s="391">
        <v>2</v>
      </c>
      <c r="D178" s="391">
        <v>2</v>
      </c>
      <c r="E178" s="392">
        <f ca="1">OFFSET('Report &amp; Lookup Table'!$C$5,MATCH(SLRatio!B178,'Report &amp; Lookup Table'!$C$6:$C$45,0),MATCH(SLRatio!D178,'Report &amp; Lookup Table'!$D$5:$G$5,0))</f>
        <v>1.0539072308689836</v>
      </c>
      <c r="F178" s="391">
        <v>0.95566025952244704</v>
      </c>
      <c r="G178" s="393">
        <v>42772.583182870374</v>
      </c>
      <c r="H178" s="394" t="s">
        <v>499</v>
      </c>
    </row>
    <row r="179" spans="1:8" x14ac:dyDescent="0.3">
      <c r="A179" s="391">
        <v>3</v>
      </c>
      <c r="B179" s="391">
        <v>20</v>
      </c>
      <c r="C179" s="391">
        <v>2</v>
      </c>
      <c r="D179" s="391">
        <v>3</v>
      </c>
      <c r="E179" s="392">
        <f ca="1">OFFSET('Report &amp; Lookup Table'!$C$5,MATCH(SLRatio!B179,'Report &amp; Lookup Table'!$C$6:$C$45,0),MATCH(SLRatio!D179,'Report &amp; Lookup Table'!$D$5:$G$5,0))</f>
        <v>1.1880722082413424</v>
      </c>
      <c r="F179" s="391">
        <v>0.891962276874251</v>
      </c>
      <c r="G179" s="393">
        <v>42772.583182870374</v>
      </c>
      <c r="H179" s="394" t="s">
        <v>499</v>
      </c>
    </row>
    <row r="180" spans="1:8" x14ac:dyDescent="0.3">
      <c r="A180" s="391">
        <v>3</v>
      </c>
      <c r="B180" s="391">
        <v>20</v>
      </c>
      <c r="C180" s="391">
        <v>3</v>
      </c>
      <c r="D180" s="391">
        <v>2</v>
      </c>
      <c r="E180" s="392">
        <f ca="1">OFFSET('Report &amp; Lookup Table'!$C$5,MATCH(SLRatio!B180,'Report &amp; Lookup Table'!$C$6:$C$45,0),MATCH(SLRatio!D180,'Report &amp; Lookup Table'!$D$5:$G$5,0))</f>
        <v>1.0539072308689836</v>
      </c>
      <c r="F180" s="391">
        <v>0.95566025952244704</v>
      </c>
      <c r="G180" s="393">
        <v>42772.583182870374</v>
      </c>
      <c r="H180" s="394" t="s">
        <v>499</v>
      </c>
    </row>
    <row r="181" spans="1:8" x14ac:dyDescent="0.3">
      <c r="A181" s="391">
        <v>3</v>
      </c>
      <c r="B181" s="391">
        <v>20</v>
      </c>
      <c r="C181" s="391">
        <v>3</v>
      </c>
      <c r="D181" s="391">
        <v>3</v>
      </c>
      <c r="E181" s="392">
        <f ca="1">OFFSET('Report &amp; Lookup Table'!$C$5,MATCH(SLRatio!B181,'Report &amp; Lookup Table'!$C$6:$C$45,0),MATCH(SLRatio!D181,'Report &amp; Lookup Table'!$D$5:$G$5,0))</f>
        <v>1.1880722082413424</v>
      </c>
      <c r="F181" s="391">
        <v>0.891962276874251</v>
      </c>
      <c r="G181" s="393">
        <v>42772.583182870374</v>
      </c>
      <c r="H181" s="394" t="s">
        <v>499</v>
      </c>
    </row>
    <row r="182" spans="1:8" x14ac:dyDescent="0.3">
      <c r="A182" s="391">
        <v>3</v>
      </c>
      <c r="B182" s="391">
        <v>20</v>
      </c>
      <c r="C182" s="391">
        <v>4</v>
      </c>
      <c r="D182" s="391">
        <v>2</v>
      </c>
      <c r="E182" s="392">
        <f ca="1">OFFSET('Report &amp; Lookup Table'!$C$5,MATCH(SLRatio!B182,'Report &amp; Lookup Table'!$C$6:$C$45,0),MATCH(SLRatio!D182,'Report &amp; Lookup Table'!$D$5:$G$5,0))</f>
        <v>1.0539072308689836</v>
      </c>
      <c r="F182" s="391">
        <v>0.95566025952244704</v>
      </c>
      <c r="G182" s="393">
        <v>42772.583182870374</v>
      </c>
      <c r="H182" s="394" t="s">
        <v>499</v>
      </c>
    </row>
    <row r="183" spans="1:8" x14ac:dyDescent="0.3">
      <c r="A183" s="391">
        <v>3</v>
      </c>
      <c r="B183" s="391">
        <v>20</v>
      </c>
      <c r="C183" s="391">
        <v>4</v>
      </c>
      <c r="D183" s="391">
        <v>3</v>
      </c>
      <c r="E183" s="392">
        <f ca="1">OFFSET('Report &amp; Lookup Table'!$C$5,MATCH(SLRatio!B183,'Report &amp; Lookup Table'!$C$6:$C$45,0),MATCH(SLRatio!D183,'Report &amp; Lookup Table'!$D$5:$G$5,0))</f>
        <v>1.1880722082413424</v>
      </c>
      <c r="F183" s="391">
        <v>0.891962276874251</v>
      </c>
      <c r="G183" s="393">
        <v>42772.583182870374</v>
      </c>
      <c r="H183" s="394" t="s">
        <v>499</v>
      </c>
    </row>
    <row r="184" spans="1:8" x14ac:dyDescent="0.3">
      <c r="A184" s="391">
        <v>3</v>
      </c>
      <c r="B184" s="391">
        <v>20</v>
      </c>
      <c r="C184" s="391">
        <v>5</v>
      </c>
      <c r="D184" s="391">
        <v>2</v>
      </c>
      <c r="E184" s="392">
        <f ca="1">OFFSET('Report &amp; Lookup Table'!$C$5,MATCH(SLRatio!B184,'Report &amp; Lookup Table'!$C$6:$C$45,0),MATCH(SLRatio!D184,'Report &amp; Lookup Table'!$D$5:$G$5,0))</f>
        <v>1.0539072308689836</v>
      </c>
      <c r="F184" s="391">
        <v>0.95566025952244704</v>
      </c>
      <c r="G184" s="393">
        <v>42772.583182870374</v>
      </c>
      <c r="H184" s="394" t="s">
        <v>499</v>
      </c>
    </row>
    <row r="185" spans="1:8" x14ac:dyDescent="0.3">
      <c r="A185" s="391">
        <v>3</v>
      </c>
      <c r="B185" s="391">
        <v>20</v>
      </c>
      <c r="C185" s="391">
        <v>5</v>
      </c>
      <c r="D185" s="391">
        <v>3</v>
      </c>
      <c r="E185" s="392">
        <f ca="1">OFFSET('Report &amp; Lookup Table'!$C$5,MATCH(SLRatio!B185,'Report &amp; Lookup Table'!$C$6:$C$45,0),MATCH(SLRatio!D185,'Report &amp; Lookup Table'!$D$5:$G$5,0))</f>
        <v>1.1880722082413424</v>
      </c>
      <c r="F185" s="391">
        <v>0.891962276874251</v>
      </c>
      <c r="G185" s="393">
        <v>42772.583182870374</v>
      </c>
      <c r="H185" s="394" t="s">
        <v>499</v>
      </c>
    </row>
    <row r="186" spans="1:8" x14ac:dyDescent="0.3">
      <c r="A186" s="391">
        <v>3</v>
      </c>
      <c r="B186" s="391">
        <v>21</v>
      </c>
      <c r="C186" s="391">
        <v>2</v>
      </c>
      <c r="D186" s="391">
        <v>2</v>
      </c>
      <c r="E186" s="392">
        <f ca="1">OFFSET('Report &amp; Lookup Table'!$C$5,MATCH(SLRatio!B186,'Report &amp; Lookup Table'!$C$6:$C$45,0),MATCH(SLRatio!D186,'Report &amp; Lookup Table'!$D$5:$G$5,0))</f>
        <v>0.17211699550781648</v>
      </c>
      <c r="F186" s="391">
        <v>1.1647359668175601</v>
      </c>
      <c r="G186" s="393">
        <v>42772.583182870374</v>
      </c>
      <c r="H186" s="394" t="s">
        <v>499</v>
      </c>
    </row>
    <row r="187" spans="1:8" x14ac:dyDescent="0.3">
      <c r="A187" s="391">
        <v>3</v>
      </c>
      <c r="B187" s="391">
        <v>21</v>
      </c>
      <c r="C187" s="391">
        <v>2</v>
      </c>
      <c r="D187" s="391">
        <v>3</v>
      </c>
      <c r="E187" s="392">
        <f ca="1">OFFSET('Report &amp; Lookup Table'!$C$5,MATCH(SLRatio!B187,'Report &amp; Lookup Table'!$C$6:$C$45,0),MATCH(SLRatio!D187,'Report &amp; Lookup Table'!$D$5:$G$5,0))</f>
        <v>0.47538619596838116</v>
      </c>
      <c r="F187" s="391">
        <v>0.93107809826444798</v>
      </c>
      <c r="G187" s="393">
        <v>42772.583182870374</v>
      </c>
      <c r="H187" s="394" t="s">
        <v>499</v>
      </c>
    </row>
    <row r="188" spans="1:8" x14ac:dyDescent="0.3">
      <c r="A188" s="391">
        <v>3</v>
      </c>
      <c r="B188" s="391">
        <v>21</v>
      </c>
      <c r="C188" s="391">
        <v>3</v>
      </c>
      <c r="D188" s="391">
        <v>2</v>
      </c>
      <c r="E188" s="392">
        <f ca="1">OFFSET('Report &amp; Lookup Table'!$C$5,MATCH(SLRatio!B188,'Report &amp; Lookup Table'!$C$6:$C$45,0),MATCH(SLRatio!D188,'Report &amp; Lookup Table'!$D$5:$G$5,0))</f>
        <v>0.17211699550781648</v>
      </c>
      <c r="F188" s="391">
        <v>1.1647359668175601</v>
      </c>
      <c r="G188" s="393">
        <v>42772.583182870374</v>
      </c>
      <c r="H188" s="394" t="s">
        <v>499</v>
      </c>
    </row>
    <row r="189" spans="1:8" x14ac:dyDescent="0.3">
      <c r="A189" s="391">
        <v>3</v>
      </c>
      <c r="B189" s="391">
        <v>21</v>
      </c>
      <c r="C189" s="391">
        <v>3</v>
      </c>
      <c r="D189" s="391">
        <v>3</v>
      </c>
      <c r="E189" s="392">
        <f ca="1">OFFSET('Report &amp; Lookup Table'!$C$5,MATCH(SLRatio!B189,'Report &amp; Lookup Table'!$C$6:$C$45,0),MATCH(SLRatio!D189,'Report &amp; Lookup Table'!$D$5:$G$5,0))</f>
        <v>0.47538619596838116</v>
      </c>
      <c r="F189" s="391">
        <v>0.93107809826444798</v>
      </c>
      <c r="G189" s="393">
        <v>42772.583182870374</v>
      </c>
      <c r="H189" s="394" t="s">
        <v>499</v>
      </c>
    </row>
    <row r="190" spans="1:8" x14ac:dyDescent="0.3">
      <c r="A190" s="391">
        <v>3</v>
      </c>
      <c r="B190" s="391">
        <v>21</v>
      </c>
      <c r="C190" s="391">
        <v>4</v>
      </c>
      <c r="D190" s="391">
        <v>2</v>
      </c>
      <c r="E190" s="392">
        <f ca="1">OFFSET('Report &amp; Lookup Table'!$C$5,MATCH(SLRatio!B190,'Report &amp; Lookup Table'!$C$6:$C$45,0),MATCH(SLRatio!D190,'Report &amp; Lookup Table'!$D$5:$G$5,0))</f>
        <v>0.17211699550781648</v>
      </c>
      <c r="F190" s="391">
        <v>1.1647359668175601</v>
      </c>
      <c r="G190" s="393">
        <v>42772.583182870374</v>
      </c>
      <c r="H190" s="394" t="s">
        <v>499</v>
      </c>
    </row>
    <row r="191" spans="1:8" x14ac:dyDescent="0.3">
      <c r="A191" s="391">
        <v>3</v>
      </c>
      <c r="B191" s="391">
        <v>21</v>
      </c>
      <c r="C191" s="391">
        <v>4</v>
      </c>
      <c r="D191" s="391">
        <v>3</v>
      </c>
      <c r="E191" s="392">
        <f ca="1">OFFSET('Report &amp; Lookup Table'!$C$5,MATCH(SLRatio!B191,'Report &amp; Lookup Table'!$C$6:$C$45,0),MATCH(SLRatio!D191,'Report &amp; Lookup Table'!$D$5:$G$5,0))</f>
        <v>0.47538619596838116</v>
      </c>
      <c r="F191" s="391">
        <v>0.93107809826444798</v>
      </c>
      <c r="G191" s="393">
        <v>42772.583182870374</v>
      </c>
      <c r="H191" s="394" t="s">
        <v>499</v>
      </c>
    </row>
    <row r="192" spans="1:8" x14ac:dyDescent="0.3">
      <c r="A192" s="391">
        <v>3</v>
      </c>
      <c r="B192" s="391">
        <v>21</v>
      </c>
      <c r="C192" s="391">
        <v>5</v>
      </c>
      <c r="D192" s="391">
        <v>2</v>
      </c>
      <c r="E192" s="392">
        <f ca="1">OFFSET('Report &amp; Lookup Table'!$C$5,MATCH(SLRatio!B192,'Report &amp; Lookup Table'!$C$6:$C$45,0),MATCH(SLRatio!D192,'Report &amp; Lookup Table'!$D$5:$G$5,0))</f>
        <v>0.17211699550781648</v>
      </c>
      <c r="F192" s="391">
        <v>1.1647359668175601</v>
      </c>
      <c r="G192" s="393">
        <v>42772.583182870374</v>
      </c>
      <c r="H192" s="394" t="s">
        <v>499</v>
      </c>
    </row>
    <row r="193" spans="1:8" x14ac:dyDescent="0.3">
      <c r="A193" s="391">
        <v>3</v>
      </c>
      <c r="B193" s="391">
        <v>21</v>
      </c>
      <c r="C193" s="391">
        <v>5</v>
      </c>
      <c r="D193" s="391">
        <v>3</v>
      </c>
      <c r="E193" s="392">
        <f ca="1">OFFSET('Report &amp; Lookup Table'!$C$5,MATCH(SLRatio!B193,'Report &amp; Lookup Table'!$C$6:$C$45,0),MATCH(SLRatio!D193,'Report &amp; Lookup Table'!$D$5:$G$5,0))</f>
        <v>0.47538619596838116</v>
      </c>
      <c r="F193" s="391">
        <v>0.93107809826444798</v>
      </c>
      <c r="G193" s="393">
        <v>42772.583182870374</v>
      </c>
      <c r="H193" s="394" t="s">
        <v>499</v>
      </c>
    </row>
    <row r="194" spans="1:8" x14ac:dyDescent="0.3">
      <c r="A194" s="391">
        <v>3</v>
      </c>
      <c r="B194" s="391">
        <v>22</v>
      </c>
      <c r="C194" s="391">
        <v>2</v>
      </c>
      <c r="D194" s="391">
        <v>2</v>
      </c>
      <c r="E194" s="392">
        <f ca="1">OFFSET('Report &amp; Lookup Table'!$C$5,MATCH(SLRatio!B194,'Report &amp; Lookup Table'!$C$6:$C$45,0),MATCH(SLRatio!D194,'Report &amp; Lookup Table'!$D$5:$G$5,0))</f>
        <v>0.31591049114194031</v>
      </c>
      <c r="F194" s="391">
        <v>1.04564908701322</v>
      </c>
      <c r="G194" s="393">
        <v>42772.583182870374</v>
      </c>
      <c r="H194" s="394" t="s">
        <v>499</v>
      </c>
    </row>
    <row r="195" spans="1:8" x14ac:dyDescent="0.3">
      <c r="A195" s="391">
        <v>3</v>
      </c>
      <c r="B195" s="391">
        <v>22</v>
      </c>
      <c r="C195" s="391">
        <v>2</v>
      </c>
      <c r="D195" s="391">
        <v>3</v>
      </c>
      <c r="E195" s="392">
        <f ca="1">OFFSET('Report &amp; Lookup Table'!$C$5,MATCH(SLRatio!B195,'Report &amp; Lookup Table'!$C$6:$C$45,0),MATCH(SLRatio!D195,'Report &amp; Lookup Table'!$D$5:$G$5,0))</f>
        <v>0.74012983611958238</v>
      </c>
      <c r="F195" s="391">
        <v>0.698209133786583</v>
      </c>
      <c r="G195" s="393">
        <v>42772.583182870374</v>
      </c>
      <c r="H195" s="394" t="s">
        <v>499</v>
      </c>
    </row>
    <row r="196" spans="1:8" x14ac:dyDescent="0.3">
      <c r="A196" s="391">
        <v>3</v>
      </c>
      <c r="B196" s="391">
        <v>22</v>
      </c>
      <c r="C196" s="391">
        <v>3</v>
      </c>
      <c r="D196" s="391">
        <v>2</v>
      </c>
      <c r="E196" s="392">
        <f ca="1">OFFSET('Report &amp; Lookup Table'!$C$5,MATCH(SLRatio!B196,'Report &amp; Lookup Table'!$C$6:$C$45,0),MATCH(SLRatio!D196,'Report &amp; Lookup Table'!$D$5:$G$5,0))</f>
        <v>0.31591049114194031</v>
      </c>
      <c r="F196" s="391">
        <v>1.04564908701322</v>
      </c>
      <c r="G196" s="393">
        <v>42772.583182870374</v>
      </c>
      <c r="H196" s="394" t="s">
        <v>499</v>
      </c>
    </row>
    <row r="197" spans="1:8" x14ac:dyDescent="0.3">
      <c r="A197" s="391">
        <v>3</v>
      </c>
      <c r="B197" s="391">
        <v>22</v>
      </c>
      <c r="C197" s="391">
        <v>3</v>
      </c>
      <c r="D197" s="391">
        <v>3</v>
      </c>
      <c r="E197" s="392">
        <f ca="1">OFFSET('Report &amp; Lookup Table'!$C$5,MATCH(SLRatio!B197,'Report &amp; Lookup Table'!$C$6:$C$45,0),MATCH(SLRatio!D197,'Report &amp; Lookup Table'!$D$5:$G$5,0))</f>
        <v>0.74012983611958238</v>
      </c>
      <c r="F197" s="391">
        <v>0.698209133786583</v>
      </c>
      <c r="G197" s="393">
        <v>42772.583182870374</v>
      </c>
      <c r="H197" s="394" t="s">
        <v>499</v>
      </c>
    </row>
    <row r="198" spans="1:8" x14ac:dyDescent="0.3">
      <c r="A198" s="391">
        <v>3</v>
      </c>
      <c r="B198" s="391">
        <v>22</v>
      </c>
      <c r="C198" s="391">
        <v>4</v>
      </c>
      <c r="D198" s="391">
        <v>2</v>
      </c>
      <c r="E198" s="392">
        <f ca="1">OFFSET('Report &amp; Lookup Table'!$C$5,MATCH(SLRatio!B198,'Report &amp; Lookup Table'!$C$6:$C$45,0),MATCH(SLRatio!D198,'Report &amp; Lookup Table'!$D$5:$G$5,0))</f>
        <v>0.31591049114194031</v>
      </c>
      <c r="F198" s="391">
        <v>1.04564908701322</v>
      </c>
      <c r="G198" s="393">
        <v>42772.583182870374</v>
      </c>
      <c r="H198" s="394" t="s">
        <v>499</v>
      </c>
    </row>
    <row r="199" spans="1:8" x14ac:dyDescent="0.3">
      <c r="A199" s="391">
        <v>3</v>
      </c>
      <c r="B199" s="391">
        <v>22</v>
      </c>
      <c r="C199" s="391">
        <v>4</v>
      </c>
      <c r="D199" s="391">
        <v>3</v>
      </c>
      <c r="E199" s="392">
        <f ca="1">OFFSET('Report &amp; Lookup Table'!$C$5,MATCH(SLRatio!B199,'Report &amp; Lookup Table'!$C$6:$C$45,0),MATCH(SLRatio!D199,'Report &amp; Lookup Table'!$D$5:$G$5,0))</f>
        <v>0.74012983611958238</v>
      </c>
      <c r="F199" s="391">
        <v>0.698209133786583</v>
      </c>
      <c r="G199" s="393">
        <v>42772.583182870374</v>
      </c>
      <c r="H199" s="394" t="s">
        <v>499</v>
      </c>
    </row>
    <row r="200" spans="1:8" x14ac:dyDescent="0.3">
      <c r="A200" s="391">
        <v>3</v>
      </c>
      <c r="B200" s="391">
        <v>22</v>
      </c>
      <c r="C200" s="391">
        <v>5</v>
      </c>
      <c r="D200" s="391">
        <v>2</v>
      </c>
      <c r="E200" s="392">
        <f ca="1">OFFSET('Report &amp; Lookup Table'!$C$5,MATCH(SLRatio!B200,'Report &amp; Lookup Table'!$C$6:$C$45,0),MATCH(SLRatio!D200,'Report &amp; Lookup Table'!$D$5:$G$5,0))</f>
        <v>0.31591049114194031</v>
      </c>
      <c r="F200" s="391">
        <v>1.04564908701322</v>
      </c>
      <c r="G200" s="393">
        <v>42772.583182870374</v>
      </c>
      <c r="H200" s="394" t="s">
        <v>499</v>
      </c>
    </row>
    <row r="201" spans="1:8" x14ac:dyDescent="0.3">
      <c r="A201" s="391">
        <v>3</v>
      </c>
      <c r="B201" s="391">
        <v>22</v>
      </c>
      <c r="C201" s="391">
        <v>5</v>
      </c>
      <c r="D201" s="391">
        <v>3</v>
      </c>
      <c r="E201" s="392">
        <f ca="1">OFFSET('Report &amp; Lookup Table'!$C$5,MATCH(SLRatio!B201,'Report &amp; Lookup Table'!$C$6:$C$45,0),MATCH(SLRatio!D201,'Report &amp; Lookup Table'!$D$5:$G$5,0))</f>
        <v>0.74012983611958238</v>
      </c>
      <c r="F201" s="391">
        <v>0.698209133786583</v>
      </c>
      <c r="G201" s="393">
        <v>42772.583182870374</v>
      </c>
      <c r="H201" s="394" t="s">
        <v>499</v>
      </c>
    </row>
    <row r="202" spans="1:8" x14ac:dyDescent="0.3">
      <c r="A202" s="391">
        <v>3</v>
      </c>
      <c r="B202" s="391">
        <v>26</v>
      </c>
      <c r="C202" s="391">
        <v>2</v>
      </c>
      <c r="D202" s="391">
        <v>2</v>
      </c>
      <c r="E202" s="392">
        <f ca="1">OFFSET('Report &amp; Lookup Table'!$C$5,MATCH(SLRatio!B202,'Report &amp; Lookup Table'!$C$6:$C$45,0),MATCH(SLRatio!D202,'Report &amp; Lookup Table'!$D$5:$G$5,0))</f>
        <v>4.4749999999999996</v>
      </c>
      <c r="F202" s="391">
        <v>0.82434734362330697</v>
      </c>
      <c r="G202" s="393">
        <v>42772.583182870374</v>
      </c>
      <c r="H202" s="394" t="s">
        <v>499</v>
      </c>
    </row>
    <row r="203" spans="1:8" x14ac:dyDescent="0.3">
      <c r="A203" s="391">
        <v>3</v>
      </c>
      <c r="B203" s="391">
        <v>26</v>
      </c>
      <c r="C203" s="391">
        <v>2</v>
      </c>
      <c r="D203" s="391">
        <v>3</v>
      </c>
      <c r="E203" s="392">
        <f ca="1">OFFSET('Report &amp; Lookup Table'!$C$5,MATCH(SLRatio!B203,'Report &amp; Lookup Table'!$C$6:$C$45,0),MATCH(SLRatio!D203,'Report &amp; Lookup Table'!$D$5:$G$5,0))</f>
        <v>4.6820000000000004</v>
      </c>
      <c r="F203" s="391">
        <v>0.72093571602327899</v>
      </c>
      <c r="G203" s="393">
        <v>42772.583182870374</v>
      </c>
      <c r="H203" s="394" t="s">
        <v>499</v>
      </c>
    </row>
    <row r="204" spans="1:8" x14ac:dyDescent="0.3">
      <c r="A204" s="391">
        <v>3</v>
      </c>
      <c r="B204" s="391">
        <v>26</v>
      </c>
      <c r="C204" s="391">
        <v>3</v>
      </c>
      <c r="D204" s="391">
        <v>2</v>
      </c>
      <c r="E204" s="392">
        <f ca="1">OFFSET('Report &amp; Lookup Table'!$C$5,MATCH(SLRatio!B204,'Report &amp; Lookup Table'!$C$6:$C$45,0),MATCH(SLRatio!D204,'Report &amp; Lookup Table'!$D$5:$G$5,0))</f>
        <v>4.4749999999999996</v>
      </c>
      <c r="F204" s="391">
        <v>0.82434734362330697</v>
      </c>
      <c r="G204" s="393">
        <v>42772.583182870374</v>
      </c>
      <c r="H204" s="394" t="s">
        <v>499</v>
      </c>
    </row>
    <row r="205" spans="1:8" x14ac:dyDescent="0.3">
      <c r="A205" s="391">
        <v>3</v>
      </c>
      <c r="B205" s="391">
        <v>26</v>
      </c>
      <c r="C205" s="391">
        <v>3</v>
      </c>
      <c r="D205" s="391">
        <v>3</v>
      </c>
      <c r="E205" s="392">
        <f ca="1">OFFSET('Report &amp; Lookup Table'!$C$5,MATCH(SLRatio!B205,'Report &amp; Lookup Table'!$C$6:$C$45,0),MATCH(SLRatio!D205,'Report &amp; Lookup Table'!$D$5:$G$5,0))</f>
        <v>4.6820000000000004</v>
      </c>
      <c r="F205" s="391">
        <v>0.72093571602327899</v>
      </c>
      <c r="G205" s="393">
        <v>42772.583182870374</v>
      </c>
      <c r="H205" s="394" t="s">
        <v>499</v>
      </c>
    </row>
    <row r="206" spans="1:8" x14ac:dyDescent="0.3">
      <c r="A206" s="391">
        <v>3</v>
      </c>
      <c r="B206" s="391">
        <v>26</v>
      </c>
      <c r="C206" s="391">
        <v>4</v>
      </c>
      <c r="D206" s="391">
        <v>2</v>
      </c>
      <c r="E206" s="392">
        <f ca="1">OFFSET('Report &amp; Lookup Table'!$C$5,MATCH(SLRatio!B206,'Report &amp; Lookup Table'!$C$6:$C$45,0),MATCH(SLRatio!D206,'Report &amp; Lookup Table'!$D$5:$G$5,0))</f>
        <v>4.4749999999999996</v>
      </c>
      <c r="F206" s="391">
        <v>0.82434734362330697</v>
      </c>
      <c r="G206" s="393">
        <v>42772.583182870374</v>
      </c>
      <c r="H206" s="394" t="s">
        <v>499</v>
      </c>
    </row>
    <row r="207" spans="1:8" x14ac:dyDescent="0.3">
      <c r="A207" s="391">
        <v>3</v>
      </c>
      <c r="B207" s="391">
        <v>26</v>
      </c>
      <c r="C207" s="391">
        <v>4</v>
      </c>
      <c r="D207" s="391">
        <v>3</v>
      </c>
      <c r="E207" s="392">
        <f ca="1">OFFSET('Report &amp; Lookup Table'!$C$5,MATCH(SLRatio!B207,'Report &amp; Lookup Table'!$C$6:$C$45,0),MATCH(SLRatio!D207,'Report &amp; Lookup Table'!$D$5:$G$5,0))</f>
        <v>4.6820000000000004</v>
      </c>
      <c r="F207" s="391">
        <v>0.72093571602327899</v>
      </c>
      <c r="G207" s="393">
        <v>42772.583182870374</v>
      </c>
      <c r="H207" s="394" t="s">
        <v>499</v>
      </c>
    </row>
    <row r="208" spans="1:8" x14ac:dyDescent="0.3">
      <c r="A208" s="391">
        <v>3</v>
      </c>
      <c r="B208" s="391">
        <v>26</v>
      </c>
      <c r="C208" s="391">
        <v>5</v>
      </c>
      <c r="D208" s="391">
        <v>2</v>
      </c>
      <c r="E208" s="392">
        <f ca="1">OFFSET('Report &amp; Lookup Table'!$C$5,MATCH(SLRatio!B208,'Report &amp; Lookup Table'!$C$6:$C$45,0),MATCH(SLRatio!D208,'Report &amp; Lookup Table'!$D$5:$G$5,0))</f>
        <v>4.4749999999999996</v>
      </c>
      <c r="F208" s="391">
        <v>0.82434734362330697</v>
      </c>
      <c r="G208" s="393">
        <v>42772.583182870374</v>
      </c>
      <c r="H208" s="394" t="s">
        <v>499</v>
      </c>
    </row>
    <row r="209" spans="1:8" x14ac:dyDescent="0.3">
      <c r="A209" s="391">
        <v>3</v>
      </c>
      <c r="B209" s="391">
        <v>26</v>
      </c>
      <c r="C209" s="391">
        <v>5</v>
      </c>
      <c r="D209" s="391">
        <v>3</v>
      </c>
      <c r="E209" s="392">
        <f ca="1">OFFSET('Report &amp; Lookup Table'!$C$5,MATCH(SLRatio!B209,'Report &amp; Lookup Table'!$C$6:$C$45,0),MATCH(SLRatio!D209,'Report &amp; Lookup Table'!$D$5:$G$5,0))</f>
        <v>4.6820000000000004</v>
      </c>
      <c r="F209" s="391">
        <v>0.72093571602327899</v>
      </c>
      <c r="G209" s="393">
        <v>42772.583182870374</v>
      </c>
      <c r="H209" s="394" t="s">
        <v>499</v>
      </c>
    </row>
    <row r="210" spans="1:8" x14ac:dyDescent="0.3">
      <c r="A210" s="391">
        <v>3</v>
      </c>
      <c r="B210" s="391">
        <v>27</v>
      </c>
      <c r="C210" s="391">
        <v>2</v>
      </c>
      <c r="D210" s="391">
        <v>2</v>
      </c>
      <c r="E210" s="392">
        <f ca="1">OFFSET('Report &amp; Lookup Table'!$C$5,MATCH(SLRatio!B210,'Report &amp; Lookup Table'!$C$6:$C$45,0),MATCH(SLRatio!D210,'Report &amp; Lookup Table'!$D$5:$G$5,0))</f>
        <v>1.8152777234245165</v>
      </c>
      <c r="F210" s="391">
        <v>0.83753100871155195</v>
      </c>
      <c r="G210" s="393">
        <v>42772.583182870374</v>
      </c>
      <c r="H210" s="394" t="s">
        <v>499</v>
      </c>
    </row>
    <row r="211" spans="1:8" x14ac:dyDescent="0.3">
      <c r="A211" s="391">
        <v>3</v>
      </c>
      <c r="B211" s="391">
        <v>27</v>
      </c>
      <c r="C211" s="391">
        <v>2</v>
      </c>
      <c r="D211" s="391">
        <v>3</v>
      </c>
      <c r="E211" s="392">
        <f ca="1">OFFSET('Report &amp; Lookup Table'!$C$5,MATCH(SLRatio!B211,'Report &amp; Lookup Table'!$C$6:$C$45,0),MATCH(SLRatio!D211,'Report &amp; Lookup Table'!$D$5:$G$5,0))</f>
        <v>2.35549202187994</v>
      </c>
      <c r="F211" s="391">
        <v>1.0491208326967001</v>
      </c>
      <c r="G211" s="393">
        <v>42772.583182870374</v>
      </c>
      <c r="H211" s="394" t="s">
        <v>499</v>
      </c>
    </row>
    <row r="212" spans="1:8" x14ac:dyDescent="0.3">
      <c r="A212" s="391">
        <v>3</v>
      </c>
      <c r="B212" s="391">
        <v>27</v>
      </c>
      <c r="C212" s="391">
        <v>3</v>
      </c>
      <c r="D212" s="391">
        <v>2</v>
      </c>
      <c r="E212" s="392">
        <f ca="1">OFFSET('Report &amp; Lookup Table'!$C$5,MATCH(SLRatio!B212,'Report &amp; Lookup Table'!$C$6:$C$45,0),MATCH(SLRatio!D212,'Report &amp; Lookup Table'!$D$5:$G$5,0))</f>
        <v>1.8152777234245165</v>
      </c>
      <c r="F212" s="391">
        <v>0.83753100871155195</v>
      </c>
      <c r="G212" s="393">
        <v>42772.583182870374</v>
      </c>
      <c r="H212" s="394" t="s">
        <v>499</v>
      </c>
    </row>
    <row r="213" spans="1:8" x14ac:dyDescent="0.3">
      <c r="A213" s="391">
        <v>3</v>
      </c>
      <c r="B213" s="391">
        <v>27</v>
      </c>
      <c r="C213" s="391">
        <v>3</v>
      </c>
      <c r="D213" s="391">
        <v>3</v>
      </c>
      <c r="E213" s="392">
        <f ca="1">OFFSET('Report &amp; Lookup Table'!$C$5,MATCH(SLRatio!B213,'Report &amp; Lookup Table'!$C$6:$C$45,0),MATCH(SLRatio!D213,'Report &amp; Lookup Table'!$D$5:$G$5,0))</f>
        <v>2.35549202187994</v>
      </c>
      <c r="F213" s="391">
        <v>1.0491208326967001</v>
      </c>
      <c r="G213" s="393">
        <v>42772.583182870374</v>
      </c>
      <c r="H213" s="394" t="s">
        <v>499</v>
      </c>
    </row>
    <row r="214" spans="1:8" x14ac:dyDescent="0.3">
      <c r="A214" s="391">
        <v>3</v>
      </c>
      <c r="B214" s="391">
        <v>27</v>
      </c>
      <c r="C214" s="391">
        <v>4</v>
      </c>
      <c r="D214" s="391">
        <v>2</v>
      </c>
      <c r="E214" s="392">
        <f ca="1">OFFSET('Report &amp; Lookup Table'!$C$5,MATCH(SLRatio!B214,'Report &amp; Lookup Table'!$C$6:$C$45,0),MATCH(SLRatio!D214,'Report &amp; Lookup Table'!$D$5:$G$5,0))</f>
        <v>1.8152777234245165</v>
      </c>
      <c r="F214" s="391">
        <v>0.83753100871155195</v>
      </c>
      <c r="G214" s="393">
        <v>42772.583182870374</v>
      </c>
      <c r="H214" s="394" t="s">
        <v>499</v>
      </c>
    </row>
    <row r="215" spans="1:8" x14ac:dyDescent="0.3">
      <c r="A215" s="391">
        <v>3</v>
      </c>
      <c r="B215" s="391">
        <v>27</v>
      </c>
      <c r="C215" s="391">
        <v>4</v>
      </c>
      <c r="D215" s="391">
        <v>3</v>
      </c>
      <c r="E215" s="392">
        <f ca="1">OFFSET('Report &amp; Lookup Table'!$C$5,MATCH(SLRatio!B215,'Report &amp; Lookup Table'!$C$6:$C$45,0),MATCH(SLRatio!D215,'Report &amp; Lookup Table'!$D$5:$G$5,0))</f>
        <v>2.35549202187994</v>
      </c>
      <c r="F215" s="391">
        <v>1.0491208326967001</v>
      </c>
      <c r="G215" s="393">
        <v>42772.583182870374</v>
      </c>
      <c r="H215" s="394" t="s">
        <v>499</v>
      </c>
    </row>
    <row r="216" spans="1:8" x14ac:dyDescent="0.3">
      <c r="A216" s="391">
        <v>3</v>
      </c>
      <c r="B216" s="391">
        <v>27</v>
      </c>
      <c r="C216" s="391">
        <v>5</v>
      </c>
      <c r="D216" s="391">
        <v>2</v>
      </c>
      <c r="E216" s="392">
        <f ca="1">OFFSET('Report &amp; Lookup Table'!$C$5,MATCH(SLRatio!B216,'Report &amp; Lookup Table'!$C$6:$C$45,0),MATCH(SLRatio!D216,'Report &amp; Lookup Table'!$D$5:$G$5,0))</f>
        <v>1.8152777234245165</v>
      </c>
      <c r="F216" s="391">
        <v>0.83753100871155195</v>
      </c>
      <c r="G216" s="393">
        <v>42772.583182870374</v>
      </c>
      <c r="H216" s="394" t="s">
        <v>499</v>
      </c>
    </row>
    <row r="217" spans="1:8" x14ac:dyDescent="0.3">
      <c r="A217" s="391">
        <v>3</v>
      </c>
      <c r="B217" s="391">
        <v>27</v>
      </c>
      <c r="C217" s="391">
        <v>5</v>
      </c>
      <c r="D217" s="391">
        <v>3</v>
      </c>
      <c r="E217" s="392">
        <f ca="1">OFFSET('Report &amp; Lookup Table'!$C$5,MATCH(SLRatio!B217,'Report &amp; Lookup Table'!$C$6:$C$45,0),MATCH(SLRatio!D217,'Report &amp; Lookup Table'!$D$5:$G$5,0))</f>
        <v>2.35549202187994</v>
      </c>
      <c r="F217" s="391">
        <v>1.0491208326967001</v>
      </c>
      <c r="G217" s="393">
        <v>42772.583182870374</v>
      </c>
      <c r="H217" s="394" t="s">
        <v>499</v>
      </c>
    </row>
    <row r="218" spans="1:8" x14ac:dyDescent="0.3">
      <c r="A218" s="391">
        <v>3</v>
      </c>
      <c r="B218" s="391">
        <v>30</v>
      </c>
      <c r="C218" s="391">
        <v>2</v>
      </c>
      <c r="D218" s="391">
        <v>1</v>
      </c>
      <c r="E218" s="392">
        <f ca="1">OFFSET('Report &amp; Lookup Table'!$C$5,MATCH(SLRatio!B218,'Report &amp; Lookup Table'!$C$6:$C$45,0),MATCH(SLRatio!D218,'Report &amp; Lookup Table'!$D$5:$G$5,0))</f>
        <v>0.47399999999999998</v>
      </c>
      <c r="F218" s="391">
        <v>3.7032554364901902</v>
      </c>
      <c r="G218" s="393">
        <v>42772.583182870374</v>
      </c>
      <c r="H218" s="394" t="s">
        <v>499</v>
      </c>
    </row>
    <row r="219" spans="1:8" x14ac:dyDescent="0.3">
      <c r="A219" s="391">
        <v>3</v>
      </c>
      <c r="B219" s="391">
        <v>30</v>
      </c>
      <c r="C219" s="391">
        <v>2</v>
      </c>
      <c r="D219" s="391">
        <v>2</v>
      </c>
      <c r="E219" s="392">
        <f ca="1">OFFSET('Report &amp; Lookup Table'!$C$5,MATCH(SLRatio!B219,'Report &amp; Lookup Table'!$C$6:$C$45,0),MATCH(SLRatio!D219,'Report &amp; Lookup Table'!$D$5:$G$5,0))</f>
        <v>1.0860000000000001</v>
      </c>
      <c r="F219" s="391">
        <v>1.09165104091308</v>
      </c>
      <c r="G219" s="393">
        <v>42772.583182870374</v>
      </c>
      <c r="H219" s="394" t="s">
        <v>499</v>
      </c>
    </row>
    <row r="220" spans="1:8" x14ac:dyDescent="0.3">
      <c r="A220" s="391">
        <v>3</v>
      </c>
      <c r="B220" s="391">
        <v>30</v>
      </c>
      <c r="C220" s="391">
        <v>2</v>
      </c>
      <c r="D220" s="391">
        <v>3</v>
      </c>
      <c r="E220" s="392">
        <f ca="1">OFFSET('Report &amp; Lookup Table'!$C$5,MATCH(SLRatio!B220,'Report &amp; Lookup Table'!$C$6:$C$45,0),MATCH(SLRatio!D220,'Report &amp; Lookup Table'!$D$5:$G$5,0))</f>
        <v>1.0860000000000001</v>
      </c>
      <c r="F220" s="391">
        <v>0.93445503272347596</v>
      </c>
      <c r="G220" s="393">
        <v>42772.583182870374</v>
      </c>
      <c r="H220" s="394" t="s">
        <v>499</v>
      </c>
    </row>
    <row r="221" spans="1:8" x14ac:dyDescent="0.3">
      <c r="A221" s="391">
        <v>3</v>
      </c>
      <c r="B221" s="391">
        <v>30</v>
      </c>
      <c r="C221" s="391">
        <v>2</v>
      </c>
      <c r="D221" s="391">
        <v>4</v>
      </c>
      <c r="E221" s="392">
        <f ca="1">OFFSET('Report &amp; Lookup Table'!$C$5,MATCH(SLRatio!B221,'Report &amp; Lookup Table'!$C$6:$C$45,0),MATCH(SLRatio!D221,'Report &amp; Lookup Table'!$D$5:$G$5,0))</f>
        <v>0.47399999999999998</v>
      </c>
      <c r="F221" s="391">
        <v>2.7994576491888301</v>
      </c>
      <c r="G221" s="393">
        <v>42772.583182870374</v>
      </c>
      <c r="H221" s="394" t="s">
        <v>499</v>
      </c>
    </row>
    <row r="222" spans="1:8" x14ac:dyDescent="0.3">
      <c r="A222" s="391">
        <v>3</v>
      </c>
      <c r="B222" s="391">
        <v>30</v>
      </c>
      <c r="C222" s="391">
        <v>3</v>
      </c>
      <c r="D222" s="391">
        <v>1</v>
      </c>
      <c r="E222" s="392">
        <f ca="1">OFFSET('Report &amp; Lookup Table'!$C$5,MATCH(SLRatio!B222,'Report &amp; Lookup Table'!$C$6:$C$45,0),MATCH(SLRatio!D222,'Report &amp; Lookup Table'!$D$5:$G$5,0))</f>
        <v>0.47399999999999998</v>
      </c>
      <c r="F222" s="391">
        <v>3.7032554364901902</v>
      </c>
      <c r="G222" s="393">
        <v>42772.583182870374</v>
      </c>
      <c r="H222" s="394" t="s">
        <v>499</v>
      </c>
    </row>
    <row r="223" spans="1:8" x14ac:dyDescent="0.3">
      <c r="A223" s="391">
        <v>3</v>
      </c>
      <c r="B223" s="391">
        <v>30</v>
      </c>
      <c r="C223" s="391">
        <v>3</v>
      </c>
      <c r="D223" s="391">
        <v>2</v>
      </c>
      <c r="E223" s="392">
        <f ca="1">OFFSET('Report &amp; Lookup Table'!$C$5,MATCH(SLRatio!B223,'Report &amp; Lookup Table'!$C$6:$C$45,0),MATCH(SLRatio!D223,'Report &amp; Lookup Table'!$D$5:$G$5,0))</f>
        <v>1.0860000000000001</v>
      </c>
      <c r="F223" s="391">
        <v>1.09165104091308</v>
      </c>
      <c r="G223" s="393">
        <v>42772.583182870374</v>
      </c>
      <c r="H223" s="394" t="s">
        <v>499</v>
      </c>
    </row>
    <row r="224" spans="1:8" x14ac:dyDescent="0.3">
      <c r="A224" s="391">
        <v>3</v>
      </c>
      <c r="B224" s="391">
        <v>30</v>
      </c>
      <c r="C224" s="391">
        <v>3</v>
      </c>
      <c r="D224" s="391">
        <v>3</v>
      </c>
      <c r="E224" s="392">
        <f ca="1">OFFSET('Report &amp; Lookup Table'!$C$5,MATCH(SLRatio!B224,'Report &amp; Lookup Table'!$C$6:$C$45,0),MATCH(SLRatio!D224,'Report &amp; Lookup Table'!$D$5:$G$5,0))</f>
        <v>1.0860000000000001</v>
      </c>
      <c r="F224" s="391">
        <v>0.93445503272347596</v>
      </c>
      <c r="G224" s="393">
        <v>42772.583182870374</v>
      </c>
      <c r="H224" s="394" t="s">
        <v>499</v>
      </c>
    </row>
    <row r="225" spans="1:8" x14ac:dyDescent="0.3">
      <c r="A225" s="391">
        <v>3</v>
      </c>
      <c r="B225" s="391">
        <v>30</v>
      </c>
      <c r="C225" s="391">
        <v>3</v>
      </c>
      <c r="D225" s="391">
        <v>4</v>
      </c>
      <c r="E225" s="392">
        <f ca="1">OFFSET('Report &amp; Lookup Table'!$C$5,MATCH(SLRatio!B225,'Report &amp; Lookup Table'!$C$6:$C$45,0),MATCH(SLRatio!D225,'Report &amp; Lookup Table'!$D$5:$G$5,0))</f>
        <v>0.47399999999999998</v>
      </c>
      <c r="F225" s="391">
        <v>2.7994576491888301</v>
      </c>
      <c r="G225" s="393">
        <v>42772.583182870374</v>
      </c>
      <c r="H225" s="394" t="s">
        <v>499</v>
      </c>
    </row>
    <row r="226" spans="1:8" x14ac:dyDescent="0.3">
      <c r="A226" s="391">
        <v>3</v>
      </c>
      <c r="B226" s="391">
        <v>30</v>
      </c>
      <c r="C226" s="391">
        <v>4</v>
      </c>
      <c r="D226" s="391">
        <v>1</v>
      </c>
      <c r="E226" s="392">
        <f ca="1">OFFSET('Report &amp; Lookup Table'!$C$5,MATCH(SLRatio!B226,'Report &amp; Lookup Table'!$C$6:$C$45,0),MATCH(SLRatio!D226,'Report &amp; Lookup Table'!$D$5:$G$5,0))</f>
        <v>0.47399999999999998</v>
      </c>
      <c r="F226" s="391">
        <v>3.7032554364901902</v>
      </c>
      <c r="G226" s="393">
        <v>42772.583182870374</v>
      </c>
      <c r="H226" s="394" t="s">
        <v>499</v>
      </c>
    </row>
    <row r="227" spans="1:8" x14ac:dyDescent="0.3">
      <c r="A227" s="391">
        <v>3</v>
      </c>
      <c r="B227" s="391">
        <v>30</v>
      </c>
      <c r="C227" s="391">
        <v>4</v>
      </c>
      <c r="D227" s="391">
        <v>2</v>
      </c>
      <c r="E227" s="392">
        <f ca="1">OFFSET('Report &amp; Lookup Table'!$C$5,MATCH(SLRatio!B227,'Report &amp; Lookup Table'!$C$6:$C$45,0),MATCH(SLRatio!D227,'Report &amp; Lookup Table'!$D$5:$G$5,0))</f>
        <v>1.0860000000000001</v>
      </c>
      <c r="F227" s="391">
        <v>1.09165104091308</v>
      </c>
      <c r="G227" s="393">
        <v>42772.583182870374</v>
      </c>
      <c r="H227" s="394" t="s">
        <v>499</v>
      </c>
    </row>
    <row r="228" spans="1:8" x14ac:dyDescent="0.3">
      <c r="A228" s="391">
        <v>3</v>
      </c>
      <c r="B228" s="391">
        <v>30</v>
      </c>
      <c r="C228" s="391">
        <v>4</v>
      </c>
      <c r="D228" s="391">
        <v>3</v>
      </c>
      <c r="E228" s="392">
        <f ca="1">OFFSET('Report &amp; Lookup Table'!$C$5,MATCH(SLRatio!B228,'Report &amp; Lookup Table'!$C$6:$C$45,0),MATCH(SLRatio!D228,'Report &amp; Lookup Table'!$D$5:$G$5,0))</f>
        <v>1.0860000000000001</v>
      </c>
      <c r="F228" s="391">
        <v>0.93445503272347596</v>
      </c>
      <c r="G228" s="393">
        <v>42772.583182870374</v>
      </c>
      <c r="H228" s="394" t="s">
        <v>499</v>
      </c>
    </row>
    <row r="229" spans="1:8" x14ac:dyDescent="0.3">
      <c r="A229" s="391">
        <v>3</v>
      </c>
      <c r="B229" s="391">
        <v>30</v>
      </c>
      <c r="C229" s="391">
        <v>4</v>
      </c>
      <c r="D229" s="391">
        <v>4</v>
      </c>
      <c r="E229" s="392">
        <f ca="1">OFFSET('Report &amp; Lookup Table'!$C$5,MATCH(SLRatio!B229,'Report &amp; Lookup Table'!$C$6:$C$45,0),MATCH(SLRatio!D229,'Report &amp; Lookup Table'!$D$5:$G$5,0))</f>
        <v>0.47399999999999998</v>
      </c>
      <c r="F229" s="391">
        <v>2.7994576491888301</v>
      </c>
      <c r="G229" s="393">
        <v>42772.583182870374</v>
      </c>
      <c r="H229" s="394" t="s">
        <v>499</v>
      </c>
    </row>
    <row r="230" spans="1:8" x14ac:dyDescent="0.3">
      <c r="A230" s="391">
        <v>3</v>
      </c>
      <c r="B230" s="391">
        <v>30</v>
      </c>
      <c r="C230" s="391">
        <v>5</v>
      </c>
      <c r="D230" s="391">
        <v>1</v>
      </c>
      <c r="E230" s="392">
        <f ca="1">OFFSET('Report &amp; Lookup Table'!$C$5,MATCH(SLRatio!B230,'Report &amp; Lookup Table'!$C$6:$C$45,0),MATCH(SLRatio!D230,'Report &amp; Lookup Table'!$D$5:$G$5,0))</f>
        <v>0.47399999999999998</v>
      </c>
      <c r="F230" s="391">
        <v>3.7032554364901902</v>
      </c>
      <c r="G230" s="393">
        <v>42772.583182870374</v>
      </c>
      <c r="H230" s="394" t="s">
        <v>499</v>
      </c>
    </row>
    <row r="231" spans="1:8" x14ac:dyDescent="0.3">
      <c r="A231" s="391">
        <v>3</v>
      </c>
      <c r="B231" s="391">
        <v>30</v>
      </c>
      <c r="C231" s="391">
        <v>5</v>
      </c>
      <c r="D231" s="391">
        <v>2</v>
      </c>
      <c r="E231" s="392">
        <f ca="1">OFFSET('Report &amp; Lookup Table'!$C$5,MATCH(SLRatio!B231,'Report &amp; Lookup Table'!$C$6:$C$45,0),MATCH(SLRatio!D231,'Report &amp; Lookup Table'!$D$5:$G$5,0))</f>
        <v>1.0860000000000001</v>
      </c>
      <c r="F231" s="391">
        <v>1.09165104091308</v>
      </c>
      <c r="G231" s="393">
        <v>42772.583182870374</v>
      </c>
      <c r="H231" s="394" t="s">
        <v>499</v>
      </c>
    </row>
    <row r="232" spans="1:8" x14ac:dyDescent="0.3">
      <c r="A232" s="391">
        <v>3</v>
      </c>
      <c r="B232" s="391">
        <v>30</v>
      </c>
      <c r="C232" s="391">
        <v>5</v>
      </c>
      <c r="D232" s="391">
        <v>3</v>
      </c>
      <c r="E232" s="392">
        <f ca="1">OFFSET('Report &amp; Lookup Table'!$C$5,MATCH(SLRatio!B232,'Report &amp; Lookup Table'!$C$6:$C$45,0),MATCH(SLRatio!D232,'Report &amp; Lookup Table'!$D$5:$G$5,0))</f>
        <v>1.0860000000000001</v>
      </c>
      <c r="F232" s="391">
        <v>0.93445503272347596</v>
      </c>
      <c r="G232" s="393">
        <v>42772.583182870374</v>
      </c>
      <c r="H232" s="394" t="s">
        <v>499</v>
      </c>
    </row>
    <row r="233" spans="1:8" x14ac:dyDescent="0.3">
      <c r="A233" s="391">
        <v>3</v>
      </c>
      <c r="B233" s="391">
        <v>30</v>
      </c>
      <c r="C233" s="391">
        <v>5</v>
      </c>
      <c r="D233" s="391">
        <v>4</v>
      </c>
      <c r="E233" s="392">
        <f ca="1">OFFSET('Report &amp; Lookup Table'!$C$5,MATCH(SLRatio!B233,'Report &amp; Lookup Table'!$C$6:$C$45,0),MATCH(SLRatio!D233,'Report &amp; Lookup Table'!$D$5:$G$5,0))</f>
        <v>0.47399999999999998</v>
      </c>
      <c r="F233" s="391">
        <v>2.7994576491888301</v>
      </c>
      <c r="G233" s="393">
        <v>42772</v>
      </c>
      <c r="H233" s="394" t="s">
        <v>499</v>
      </c>
    </row>
    <row r="234" spans="1:8" x14ac:dyDescent="0.3">
      <c r="A234" s="391">
        <v>3</v>
      </c>
      <c r="B234" s="391">
        <v>31</v>
      </c>
      <c r="C234" s="391">
        <v>2</v>
      </c>
      <c r="D234" s="391">
        <v>1</v>
      </c>
      <c r="E234" s="392">
        <f ca="1">OFFSET('Report &amp; Lookup Table'!$C$5,MATCH(SLRatio!B234,'Report &amp; Lookup Table'!$C$6:$C$45,0),MATCH(SLRatio!D234,'Report &amp; Lookup Table'!$D$5:$G$5,0))</f>
        <v>0.92</v>
      </c>
      <c r="F234" s="391">
        <v>1</v>
      </c>
      <c r="G234" s="393">
        <v>42772</v>
      </c>
      <c r="H234" s="394" t="s">
        <v>499</v>
      </c>
    </row>
    <row r="235" spans="1:8" x14ac:dyDescent="0.3">
      <c r="A235" s="391">
        <v>3</v>
      </c>
      <c r="B235" s="391">
        <v>31</v>
      </c>
      <c r="C235" s="391">
        <v>2</v>
      </c>
      <c r="D235" s="391">
        <v>2</v>
      </c>
      <c r="E235" s="392">
        <f ca="1">OFFSET('Report &amp; Lookup Table'!$C$5,MATCH(SLRatio!B235,'Report &amp; Lookup Table'!$C$6:$C$45,0),MATCH(SLRatio!D235,'Report &amp; Lookup Table'!$D$5:$G$5,0))</f>
        <v>0.58299999999999996</v>
      </c>
      <c r="F235" s="391">
        <v>0.967910056208931</v>
      </c>
      <c r="G235" s="393">
        <v>42772</v>
      </c>
      <c r="H235" s="394" t="s">
        <v>499</v>
      </c>
    </row>
    <row r="236" spans="1:8" x14ac:dyDescent="0.3">
      <c r="A236" s="391">
        <v>3</v>
      </c>
      <c r="B236" s="391">
        <v>31</v>
      </c>
      <c r="C236" s="391">
        <v>2</v>
      </c>
      <c r="D236" s="391">
        <v>3</v>
      </c>
      <c r="E236" s="392">
        <f ca="1">OFFSET('Report &amp; Lookup Table'!$C$5,MATCH(SLRatio!B236,'Report &amp; Lookup Table'!$C$6:$C$45,0),MATCH(SLRatio!D236,'Report &amp; Lookup Table'!$D$5:$G$5,0))</f>
        <v>0.68899999999999995</v>
      </c>
      <c r="F236" s="391">
        <v>1.6164497780796301</v>
      </c>
      <c r="G236" s="393">
        <v>42772</v>
      </c>
      <c r="H236" s="394" t="s">
        <v>499</v>
      </c>
    </row>
    <row r="237" spans="1:8" x14ac:dyDescent="0.3">
      <c r="A237" s="391">
        <v>3</v>
      </c>
      <c r="B237" s="391">
        <v>31</v>
      </c>
      <c r="C237" s="391">
        <v>2</v>
      </c>
      <c r="D237" s="391">
        <v>4</v>
      </c>
      <c r="E237" s="392">
        <f ca="1">OFFSET('Report &amp; Lookup Table'!$C$5,MATCH(SLRatio!B237,'Report &amp; Lookup Table'!$C$6:$C$45,0),MATCH(SLRatio!D237,'Report &amp; Lookup Table'!$D$5:$G$5,0))</f>
        <v>0.92</v>
      </c>
      <c r="F237" s="391">
        <v>1</v>
      </c>
      <c r="G237" s="393">
        <v>42772</v>
      </c>
      <c r="H237" s="394" t="s">
        <v>499</v>
      </c>
    </row>
    <row r="238" spans="1:8" x14ac:dyDescent="0.3">
      <c r="A238" s="391">
        <v>3</v>
      </c>
      <c r="B238" s="391">
        <v>31</v>
      </c>
      <c r="C238" s="391">
        <v>3</v>
      </c>
      <c r="D238" s="391">
        <v>1</v>
      </c>
      <c r="E238" s="392">
        <f ca="1">OFFSET('Report &amp; Lookup Table'!$C$5,MATCH(SLRatio!B238,'Report &amp; Lookup Table'!$C$6:$C$45,0),MATCH(SLRatio!D238,'Report &amp; Lookup Table'!$D$5:$G$5,0))</f>
        <v>0.92</v>
      </c>
      <c r="F238" s="391">
        <v>1</v>
      </c>
      <c r="G238" s="393">
        <v>42772</v>
      </c>
      <c r="H238" s="394" t="s">
        <v>499</v>
      </c>
    </row>
    <row r="239" spans="1:8" x14ac:dyDescent="0.3">
      <c r="A239" s="391">
        <v>3</v>
      </c>
      <c r="B239" s="391">
        <v>31</v>
      </c>
      <c r="C239" s="391">
        <v>3</v>
      </c>
      <c r="D239" s="391">
        <v>2</v>
      </c>
      <c r="E239" s="392">
        <f ca="1">OFFSET('Report &amp; Lookup Table'!$C$5,MATCH(SLRatio!B239,'Report &amp; Lookup Table'!$C$6:$C$45,0),MATCH(SLRatio!D239,'Report &amp; Lookup Table'!$D$5:$G$5,0))</f>
        <v>0.58299999999999996</v>
      </c>
      <c r="F239" s="391">
        <v>0.967910056208931</v>
      </c>
      <c r="G239" s="393">
        <v>42772</v>
      </c>
      <c r="H239" s="394" t="s">
        <v>499</v>
      </c>
    </row>
    <row r="240" spans="1:8" x14ac:dyDescent="0.3">
      <c r="A240" s="391">
        <v>3</v>
      </c>
      <c r="B240" s="391">
        <v>31</v>
      </c>
      <c r="C240" s="391">
        <v>3</v>
      </c>
      <c r="D240" s="391">
        <v>3</v>
      </c>
      <c r="E240" s="392">
        <f ca="1">OFFSET('Report &amp; Lookup Table'!$C$5,MATCH(SLRatio!B240,'Report &amp; Lookup Table'!$C$6:$C$45,0),MATCH(SLRatio!D240,'Report &amp; Lookup Table'!$D$5:$G$5,0))</f>
        <v>0.68899999999999995</v>
      </c>
      <c r="F240" s="391">
        <v>1.6164497780796301</v>
      </c>
      <c r="G240" s="393">
        <v>42772</v>
      </c>
      <c r="H240" s="394" t="s">
        <v>499</v>
      </c>
    </row>
    <row r="241" spans="1:8" x14ac:dyDescent="0.3">
      <c r="A241" s="391">
        <v>3</v>
      </c>
      <c r="B241" s="391">
        <v>31</v>
      </c>
      <c r="C241" s="391">
        <v>3</v>
      </c>
      <c r="D241" s="391">
        <v>4</v>
      </c>
      <c r="E241" s="392">
        <f ca="1">OFFSET('Report &amp; Lookup Table'!$C$5,MATCH(SLRatio!B241,'Report &amp; Lookup Table'!$C$6:$C$45,0),MATCH(SLRatio!D241,'Report &amp; Lookup Table'!$D$5:$G$5,0))</f>
        <v>0.92</v>
      </c>
      <c r="F241" s="391">
        <v>1</v>
      </c>
      <c r="G241" s="393">
        <v>42772</v>
      </c>
      <c r="H241" s="394" t="s">
        <v>499</v>
      </c>
    </row>
    <row r="242" spans="1:8" x14ac:dyDescent="0.3">
      <c r="A242" s="391">
        <v>3</v>
      </c>
      <c r="B242" s="391">
        <v>31</v>
      </c>
      <c r="C242" s="391">
        <v>4</v>
      </c>
      <c r="D242" s="391">
        <v>1</v>
      </c>
      <c r="E242" s="392">
        <f ca="1">OFFSET('Report &amp; Lookup Table'!$C$5,MATCH(SLRatio!B242,'Report &amp; Lookup Table'!$C$6:$C$45,0),MATCH(SLRatio!D242,'Report &amp; Lookup Table'!$D$5:$G$5,0))</f>
        <v>0.92</v>
      </c>
      <c r="F242" s="391">
        <v>1</v>
      </c>
      <c r="G242" s="393">
        <v>42772</v>
      </c>
      <c r="H242" s="394" t="s">
        <v>499</v>
      </c>
    </row>
    <row r="243" spans="1:8" x14ac:dyDescent="0.3">
      <c r="A243" s="391">
        <v>3</v>
      </c>
      <c r="B243" s="391">
        <v>31</v>
      </c>
      <c r="C243" s="391">
        <v>4</v>
      </c>
      <c r="D243" s="391">
        <v>2</v>
      </c>
      <c r="E243" s="392">
        <f ca="1">OFFSET('Report &amp; Lookup Table'!$C$5,MATCH(SLRatio!B243,'Report &amp; Lookup Table'!$C$6:$C$45,0),MATCH(SLRatio!D243,'Report &amp; Lookup Table'!$D$5:$G$5,0))</f>
        <v>0.58299999999999996</v>
      </c>
      <c r="F243" s="391">
        <v>0.967910056208931</v>
      </c>
      <c r="G243" s="393">
        <v>42772</v>
      </c>
      <c r="H243" s="394" t="s">
        <v>499</v>
      </c>
    </row>
    <row r="244" spans="1:8" x14ac:dyDescent="0.3">
      <c r="A244" s="391">
        <v>3</v>
      </c>
      <c r="B244" s="391">
        <v>31</v>
      </c>
      <c r="C244" s="391">
        <v>4</v>
      </c>
      <c r="D244" s="391">
        <v>3</v>
      </c>
      <c r="E244" s="392">
        <f ca="1">OFFSET('Report &amp; Lookup Table'!$C$5,MATCH(SLRatio!B244,'Report &amp; Lookup Table'!$C$6:$C$45,0),MATCH(SLRatio!D244,'Report &amp; Lookup Table'!$D$5:$G$5,0))</f>
        <v>0.68899999999999995</v>
      </c>
      <c r="F244" s="391">
        <v>1.6164497780796301</v>
      </c>
      <c r="G244" s="393">
        <v>42772</v>
      </c>
      <c r="H244" s="394" t="s">
        <v>499</v>
      </c>
    </row>
    <row r="245" spans="1:8" x14ac:dyDescent="0.3">
      <c r="A245" s="391">
        <v>3</v>
      </c>
      <c r="B245" s="391">
        <v>31</v>
      </c>
      <c r="C245" s="391">
        <v>4</v>
      </c>
      <c r="D245" s="391">
        <v>4</v>
      </c>
      <c r="E245" s="392">
        <f ca="1">OFFSET('Report &amp; Lookup Table'!$C$5,MATCH(SLRatio!B245,'Report &amp; Lookup Table'!$C$6:$C$45,0),MATCH(SLRatio!D245,'Report &amp; Lookup Table'!$D$5:$G$5,0))</f>
        <v>0.92</v>
      </c>
      <c r="F245" s="391">
        <v>1</v>
      </c>
      <c r="G245" s="393">
        <v>42772</v>
      </c>
      <c r="H245" s="394" t="s">
        <v>499</v>
      </c>
    </row>
    <row r="246" spans="1:8" x14ac:dyDescent="0.3">
      <c r="A246" s="391">
        <v>3</v>
      </c>
      <c r="B246" s="391">
        <v>31</v>
      </c>
      <c r="C246" s="391">
        <v>5</v>
      </c>
      <c r="D246" s="391">
        <v>1</v>
      </c>
      <c r="E246" s="392">
        <f ca="1">OFFSET('Report &amp; Lookup Table'!$C$5,MATCH(SLRatio!B246,'Report &amp; Lookup Table'!$C$6:$C$45,0),MATCH(SLRatio!D246,'Report &amp; Lookup Table'!$D$5:$G$5,0))</f>
        <v>0.92</v>
      </c>
      <c r="F246" s="391">
        <v>1</v>
      </c>
      <c r="G246" s="393">
        <v>42772</v>
      </c>
      <c r="H246" s="394" t="s">
        <v>499</v>
      </c>
    </row>
    <row r="247" spans="1:8" x14ac:dyDescent="0.3">
      <c r="A247" s="391">
        <v>3</v>
      </c>
      <c r="B247" s="391">
        <v>31</v>
      </c>
      <c r="C247" s="391">
        <v>5</v>
      </c>
      <c r="D247" s="391">
        <v>2</v>
      </c>
      <c r="E247" s="392">
        <f ca="1">OFFSET('Report &amp; Lookup Table'!$C$5,MATCH(SLRatio!B247,'Report &amp; Lookup Table'!$C$6:$C$45,0),MATCH(SLRatio!D247,'Report &amp; Lookup Table'!$D$5:$G$5,0))</f>
        <v>0.58299999999999996</v>
      </c>
      <c r="F247" s="391">
        <v>0.967910056208931</v>
      </c>
      <c r="G247" s="393">
        <v>42772</v>
      </c>
      <c r="H247" s="394" t="s">
        <v>499</v>
      </c>
    </row>
    <row r="248" spans="1:8" x14ac:dyDescent="0.3">
      <c r="A248" s="391">
        <v>3</v>
      </c>
      <c r="B248" s="391">
        <v>31</v>
      </c>
      <c r="C248" s="391">
        <v>5</v>
      </c>
      <c r="D248" s="391">
        <v>3</v>
      </c>
      <c r="E248" s="392">
        <f ca="1">OFFSET('Report &amp; Lookup Table'!$C$5,MATCH(SLRatio!B248,'Report &amp; Lookup Table'!$C$6:$C$45,0),MATCH(SLRatio!D248,'Report &amp; Lookup Table'!$D$5:$G$5,0))</f>
        <v>0.68899999999999995</v>
      </c>
      <c r="F248" s="391">
        <v>1.6164497780796301</v>
      </c>
      <c r="G248" s="393">
        <v>42772</v>
      </c>
      <c r="H248" s="394" t="s">
        <v>499</v>
      </c>
    </row>
    <row r="249" spans="1:8" x14ac:dyDescent="0.3">
      <c r="A249" s="391">
        <v>3</v>
      </c>
      <c r="B249" s="391">
        <v>31</v>
      </c>
      <c r="C249" s="391">
        <v>5</v>
      </c>
      <c r="D249" s="391">
        <v>4</v>
      </c>
      <c r="E249" s="392">
        <f ca="1">OFFSET('Report &amp; Lookup Table'!$C$5,MATCH(SLRatio!B249,'Report &amp; Lookup Table'!$C$6:$C$45,0),MATCH(SLRatio!D249,'Report &amp; Lookup Table'!$D$5:$G$5,0))</f>
        <v>0.92</v>
      </c>
      <c r="F249" s="391">
        <v>1</v>
      </c>
      <c r="G249" s="393">
        <v>42772</v>
      </c>
      <c r="H249" s="394" t="s">
        <v>499</v>
      </c>
    </row>
    <row r="250" spans="1:8" x14ac:dyDescent="0.3">
      <c r="A250" s="391">
        <v>3</v>
      </c>
      <c r="B250" s="391">
        <f>B234+1</f>
        <v>32</v>
      </c>
      <c r="C250" s="391">
        <f>C234</f>
        <v>2</v>
      </c>
      <c r="D250" s="391">
        <f>D234</f>
        <v>1</v>
      </c>
      <c r="E250" s="392">
        <f ca="1">OFFSET('Report &amp; Lookup Table'!$C$5,MATCH(SLRatio!B250,'Report &amp; Lookup Table'!$C$6:$C$45,0),MATCH(SLRatio!D250,'Report &amp; Lookup Table'!$D$5:$G$5,0))</f>
        <v>0.47399999999999998</v>
      </c>
      <c r="F250" s="391">
        <v>1</v>
      </c>
      <c r="G250" s="393">
        <v>42772</v>
      </c>
      <c r="H250" s="394" t="s">
        <v>499</v>
      </c>
    </row>
    <row r="251" spans="1:8" x14ac:dyDescent="0.3">
      <c r="A251" s="391">
        <v>3</v>
      </c>
      <c r="B251" s="391">
        <f t="shared" ref="B251:B297" si="0">B235+1</f>
        <v>32</v>
      </c>
      <c r="C251" s="391">
        <f t="shared" ref="C251:D251" si="1">C235</f>
        <v>2</v>
      </c>
      <c r="D251" s="391">
        <f t="shared" si="1"/>
        <v>2</v>
      </c>
      <c r="E251" s="392">
        <f ca="1">OFFSET('Report &amp; Lookup Table'!$C$5,MATCH(SLRatio!B251,'Report &amp; Lookup Table'!$C$6:$C$45,0),MATCH(SLRatio!D251,'Report &amp; Lookup Table'!$D$5:$G$5,0))</f>
        <v>1.0860000000000001</v>
      </c>
      <c r="F251" s="391">
        <v>0.83125468229695598</v>
      </c>
      <c r="G251" s="393">
        <v>42772</v>
      </c>
      <c r="H251" s="394" t="s">
        <v>499</v>
      </c>
    </row>
    <row r="252" spans="1:8" x14ac:dyDescent="0.3">
      <c r="A252" s="391">
        <v>3</v>
      </c>
      <c r="B252" s="391">
        <f t="shared" si="0"/>
        <v>32</v>
      </c>
      <c r="C252" s="391">
        <f t="shared" ref="C252:D252" si="2">C236</f>
        <v>2</v>
      </c>
      <c r="D252" s="391">
        <f t="shared" si="2"/>
        <v>3</v>
      </c>
      <c r="E252" s="392">
        <f ca="1">OFFSET('Report &amp; Lookup Table'!$C$5,MATCH(SLRatio!B252,'Report &amp; Lookup Table'!$C$6:$C$45,0),MATCH(SLRatio!D252,'Report &amp; Lookup Table'!$D$5:$G$5,0))</f>
        <v>1.0860000000000001</v>
      </c>
      <c r="F252" s="391">
        <v>0.88501803962889403</v>
      </c>
      <c r="G252" s="393">
        <v>42772</v>
      </c>
      <c r="H252" s="394" t="s">
        <v>499</v>
      </c>
    </row>
    <row r="253" spans="1:8" x14ac:dyDescent="0.3">
      <c r="A253" s="391">
        <v>3</v>
      </c>
      <c r="B253" s="391">
        <f t="shared" si="0"/>
        <v>32</v>
      </c>
      <c r="C253" s="391">
        <f t="shared" ref="C253:D253" si="3">C237</f>
        <v>2</v>
      </c>
      <c r="D253" s="391">
        <f t="shared" si="3"/>
        <v>4</v>
      </c>
      <c r="E253" s="392">
        <f ca="1">OFFSET('Report &amp; Lookup Table'!$C$5,MATCH(SLRatio!B253,'Report &amp; Lookup Table'!$C$6:$C$45,0),MATCH(SLRatio!D253,'Report &amp; Lookup Table'!$D$5:$G$5,0))</f>
        <v>0.47399999999999998</v>
      </c>
      <c r="F253" s="391">
        <v>1</v>
      </c>
      <c r="G253" s="393">
        <v>42772</v>
      </c>
      <c r="H253" s="394" t="s">
        <v>499</v>
      </c>
    </row>
    <row r="254" spans="1:8" x14ac:dyDescent="0.3">
      <c r="A254" s="391">
        <v>3</v>
      </c>
      <c r="B254" s="391">
        <f t="shared" si="0"/>
        <v>32</v>
      </c>
      <c r="C254" s="391">
        <f t="shared" ref="C254:D254" si="4">C238</f>
        <v>3</v>
      </c>
      <c r="D254" s="391">
        <f t="shared" si="4"/>
        <v>1</v>
      </c>
      <c r="E254" s="392">
        <f ca="1">OFFSET('Report &amp; Lookup Table'!$C$5,MATCH(SLRatio!B254,'Report &amp; Lookup Table'!$C$6:$C$45,0),MATCH(SLRatio!D254,'Report &amp; Lookup Table'!$D$5:$G$5,0))</f>
        <v>0.47399999999999998</v>
      </c>
      <c r="F254" s="391">
        <v>1</v>
      </c>
      <c r="G254" s="393">
        <v>42772</v>
      </c>
      <c r="H254" s="394" t="s">
        <v>499</v>
      </c>
    </row>
    <row r="255" spans="1:8" x14ac:dyDescent="0.3">
      <c r="A255" s="391">
        <v>3</v>
      </c>
      <c r="B255" s="391">
        <f t="shared" si="0"/>
        <v>32</v>
      </c>
      <c r="C255" s="391">
        <f t="shared" ref="C255:D255" si="5">C239</f>
        <v>3</v>
      </c>
      <c r="D255" s="391">
        <f t="shared" si="5"/>
        <v>2</v>
      </c>
      <c r="E255" s="392">
        <f ca="1">OFFSET('Report &amp; Lookup Table'!$C$5,MATCH(SLRatio!B255,'Report &amp; Lookup Table'!$C$6:$C$45,0),MATCH(SLRatio!D255,'Report &amp; Lookup Table'!$D$5:$G$5,0))</f>
        <v>1.0860000000000001</v>
      </c>
      <c r="F255" s="391">
        <v>0.83125468229695598</v>
      </c>
      <c r="G255" s="393">
        <v>42772</v>
      </c>
      <c r="H255" s="394" t="s">
        <v>499</v>
      </c>
    </row>
    <row r="256" spans="1:8" x14ac:dyDescent="0.3">
      <c r="A256" s="391">
        <v>3</v>
      </c>
      <c r="B256" s="391">
        <f t="shared" si="0"/>
        <v>32</v>
      </c>
      <c r="C256" s="391">
        <f t="shared" ref="C256:D256" si="6">C240</f>
        <v>3</v>
      </c>
      <c r="D256" s="391">
        <f t="shared" si="6"/>
        <v>3</v>
      </c>
      <c r="E256" s="392">
        <f ca="1">OFFSET('Report &amp; Lookup Table'!$C$5,MATCH(SLRatio!B256,'Report &amp; Lookup Table'!$C$6:$C$45,0),MATCH(SLRatio!D256,'Report &amp; Lookup Table'!$D$5:$G$5,0))</f>
        <v>1.0860000000000001</v>
      </c>
      <c r="F256" s="391">
        <v>0.88501803962889403</v>
      </c>
      <c r="G256" s="393">
        <v>42772</v>
      </c>
      <c r="H256" s="394" t="s">
        <v>499</v>
      </c>
    </row>
    <row r="257" spans="1:8" x14ac:dyDescent="0.3">
      <c r="A257" s="391">
        <v>3</v>
      </c>
      <c r="B257" s="391">
        <f t="shared" si="0"/>
        <v>32</v>
      </c>
      <c r="C257" s="391">
        <f t="shared" ref="C257:D257" si="7">C241</f>
        <v>3</v>
      </c>
      <c r="D257" s="391">
        <f t="shared" si="7"/>
        <v>4</v>
      </c>
      <c r="E257" s="392">
        <f ca="1">OFFSET('Report &amp; Lookup Table'!$C$5,MATCH(SLRatio!B257,'Report &amp; Lookup Table'!$C$6:$C$45,0),MATCH(SLRatio!D257,'Report &amp; Lookup Table'!$D$5:$G$5,0))</f>
        <v>0.47399999999999998</v>
      </c>
      <c r="F257" s="391">
        <v>1</v>
      </c>
      <c r="G257" s="393">
        <v>42772</v>
      </c>
      <c r="H257" s="394" t="s">
        <v>499</v>
      </c>
    </row>
    <row r="258" spans="1:8" x14ac:dyDescent="0.3">
      <c r="A258" s="391">
        <v>3</v>
      </c>
      <c r="B258" s="391">
        <f t="shared" si="0"/>
        <v>32</v>
      </c>
      <c r="C258" s="391">
        <f t="shared" ref="C258:D258" si="8">C242</f>
        <v>4</v>
      </c>
      <c r="D258" s="391">
        <f t="shared" si="8"/>
        <v>1</v>
      </c>
      <c r="E258" s="392">
        <f ca="1">OFFSET('Report &amp; Lookup Table'!$C$5,MATCH(SLRatio!B258,'Report &amp; Lookup Table'!$C$6:$C$45,0),MATCH(SLRatio!D258,'Report &amp; Lookup Table'!$D$5:$G$5,0))</f>
        <v>0.47399999999999998</v>
      </c>
      <c r="F258" s="391">
        <v>1</v>
      </c>
      <c r="G258" s="393">
        <v>42772</v>
      </c>
      <c r="H258" s="394" t="s">
        <v>499</v>
      </c>
    </row>
    <row r="259" spans="1:8" x14ac:dyDescent="0.3">
      <c r="A259" s="391">
        <v>3</v>
      </c>
      <c r="B259" s="391">
        <f t="shared" si="0"/>
        <v>32</v>
      </c>
      <c r="C259" s="391">
        <f t="shared" ref="C259:D259" si="9">C243</f>
        <v>4</v>
      </c>
      <c r="D259" s="391">
        <f t="shared" si="9"/>
        <v>2</v>
      </c>
      <c r="E259" s="392">
        <f ca="1">OFFSET('Report &amp; Lookup Table'!$C$5,MATCH(SLRatio!B259,'Report &amp; Lookup Table'!$C$6:$C$45,0),MATCH(SLRatio!D259,'Report &amp; Lookup Table'!$D$5:$G$5,0))</f>
        <v>1.0860000000000001</v>
      </c>
      <c r="F259" s="391">
        <v>0.83125468229695598</v>
      </c>
      <c r="G259" s="393">
        <v>42772</v>
      </c>
      <c r="H259" s="394" t="s">
        <v>499</v>
      </c>
    </row>
    <row r="260" spans="1:8" x14ac:dyDescent="0.3">
      <c r="A260" s="391">
        <v>3</v>
      </c>
      <c r="B260" s="391">
        <f t="shared" si="0"/>
        <v>32</v>
      </c>
      <c r="C260" s="391">
        <f t="shared" ref="C260:D260" si="10">C244</f>
        <v>4</v>
      </c>
      <c r="D260" s="391">
        <f t="shared" si="10"/>
        <v>3</v>
      </c>
      <c r="E260" s="392">
        <f ca="1">OFFSET('Report &amp; Lookup Table'!$C$5,MATCH(SLRatio!B260,'Report &amp; Lookup Table'!$C$6:$C$45,0),MATCH(SLRatio!D260,'Report &amp; Lookup Table'!$D$5:$G$5,0))</f>
        <v>1.0860000000000001</v>
      </c>
      <c r="F260" s="391">
        <v>0.88501803962889403</v>
      </c>
      <c r="G260" s="393">
        <v>42772</v>
      </c>
      <c r="H260" s="394" t="s">
        <v>499</v>
      </c>
    </row>
    <row r="261" spans="1:8" x14ac:dyDescent="0.3">
      <c r="A261" s="391">
        <v>3</v>
      </c>
      <c r="B261" s="391">
        <f t="shared" si="0"/>
        <v>32</v>
      </c>
      <c r="C261" s="391">
        <f t="shared" ref="C261:D261" si="11">C245</f>
        <v>4</v>
      </c>
      <c r="D261" s="391">
        <f t="shared" si="11"/>
        <v>4</v>
      </c>
      <c r="E261" s="392">
        <f ca="1">OFFSET('Report &amp; Lookup Table'!$C$5,MATCH(SLRatio!B261,'Report &amp; Lookup Table'!$C$6:$C$45,0),MATCH(SLRatio!D261,'Report &amp; Lookup Table'!$D$5:$G$5,0))</f>
        <v>0.47399999999999998</v>
      </c>
      <c r="F261" s="391">
        <v>1</v>
      </c>
      <c r="G261" s="393">
        <v>42772</v>
      </c>
      <c r="H261" s="394" t="s">
        <v>499</v>
      </c>
    </row>
    <row r="262" spans="1:8" x14ac:dyDescent="0.3">
      <c r="A262" s="391">
        <v>3</v>
      </c>
      <c r="B262" s="391">
        <f t="shared" si="0"/>
        <v>32</v>
      </c>
      <c r="C262" s="391">
        <f t="shared" ref="C262:D262" si="12">C246</f>
        <v>5</v>
      </c>
      <c r="D262" s="391">
        <f t="shared" si="12"/>
        <v>1</v>
      </c>
      <c r="E262" s="392">
        <f ca="1">OFFSET('Report &amp; Lookup Table'!$C$5,MATCH(SLRatio!B262,'Report &amp; Lookup Table'!$C$6:$C$45,0),MATCH(SLRatio!D262,'Report &amp; Lookup Table'!$D$5:$G$5,0))</f>
        <v>0.47399999999999998</v>
      </c>
      <c r="F262" s="391">
        <v>1</v>
      </c>
      <c r="G262" s="393">
        <v>42772</v>
      </c>
      <c r="H262" s="394" t="s">
        <v>499</v>
      </c>
    </row>
    <row r="263" spans="1:8" x14ac:dyDescent="0.3">
      <c r="A263" s="391">
        <v>3</v>
      </c>
      <c r="B263" s="391">
        <f t="shared" si="0"/>
        <v>32</v>
      </c>
      <c r="C263" s="391">
        <f t="shared" ref="C263:D263" si="13">C247</f>
        <v>5</v>
      </c>
      <c r="D263" s="391">
        <f t="shared" si="13"/>
        <v>2</v>
      </c>
      <c r="E263" s="392">
        <f ca="1">OFFSET('Report &amp; Lookup Table'!$C$5,MATCH(SLRatio!B263,'Report &amp; Lookup Table'!$C$6:$C$45,0),MATCH(SLRatio!D263,'Report &amp; Lookup Table'!$D$5:$G$5,0))</f>
        <v>1.0860000000000001</v>
      </c>
      <c r="F263" s="391">
        <v>0.83125468229695598</v>
      </c>
      <c r="G263" s="393">
        <v>42772</v>
      </c>
      <c r="H263" s="394" t="s">
        <v>499</v>
      </c>
    </row>
    <row r="264" spans="1:8" x14ac:dyDescent="0.3">
      <c r="A264" s="391">
        <v>3</v>
      </c>
      <c r="B264" s="391">
        <f t="shared" si="0"/>
        <v>32</v>
      </c>
      <c r="C264" s="391">
        <f t="shared" ref="C264:D264" si="14">C248</f>
        <v>5</v>
      </c>
      <c r="D264" s="391">
        <f t="shared" si="14"/>
        <v>3</v>
      </c>
      <c r="E264" s="392">
        <f ca="1">OFFSET('Report &amp; Lookup Table'!$C$5,MATCH(SLRatio!B264,'Report &amp; Lookup Table'!$C$6:$C$45,0),MATCH(SLRatio!D264,'Report &amp; Lookup Table'!$D$5:$G$5,0))</f>
        <v>1.0860000000000001</v>
      </c>
      <c r="F264" s="391">
        <v>0.88501803962889403</v>
      </c>
      <c r="G264" s="393">
        <v>42772</v>
      </c>
      <c r="H264" s="394" t="s">
        <v>499</v>
      </c>
    </row>
    <row r="265" spans="1:8" x14ac:dyDescent="0.3">
      <c r="A265" s="391">
        <v>3</v>
      </c>
      <c r="B265" s="391">
        <f t="shared" si="0"/>
        <v>32</v>
      </c>
      <c r="C265" s="391">
        <f t="shared" ref="C265:D265" si="15">C249</f>
        <v>5</v>
      </c>
      <c r="D265" s="391">
        <f t="shared" si="15"/>
        <v>4</v>
      </c>
      <c r="E265" s="392">
        <f ca="1">OFFSET('Report &amp; Lookup Table'!$C$5,MATCH(SLRatio!B265,'Report &amp; Lookup Table'!$C$6:$C$45,0),MATCH(SLRatio!D265,'Report &amp; Lookup Table'!$D$5:$G$5,0))</f>
        <v>0.47399999999999998</v>
      </c>
      <c r="F265" s="391">
        <v>1</v>
      </c>
      <c r="G265" s="393">
        <v>42772</v>
      </c>
      <c r="H265" s="394" t="s">
        <v>499</v>
      </c>
    </row>
    <row r="266" spans="1:8" x14ac:dyDescent="0.3">
      <c r="A266" s="391">
        <v>3</v>
      </c>
      <c r="B266" s="391">
        <f t="shared" si="0"/>
        <v>33</v>
      </c>
      <c r="C266" s="391">
        <f t="shared" ref="C266:D266" si="16">C250</f>
        <v>2</v>
      </c>
      <c r="D266" s="391">
        <f t="shared" si="16"/>
        <v>1</v>
      </c>
      <c r="E266" s="392">
        <f ca="1">OFFSET('Report &amp; Lookup Table'!$C$5,MATCH(SLRatio!B266,'Report &amp; Lookup Table'!$C$6:$C$45,0),MATCH(SLRatio!D266,'Report &amp; Lookup Table'!$D$5:$G$5,0))</f>
        <v>0.92</v>
      </c>
      <c r="F266" s="391">
        <v>1</v>
      </c>
      <c r="G266" s="393">
        <v>42772</v>
      </c>
      <c r="H266" s="394" t="s">
        <v>499</v>
      </c>
    </row>
    <row r="267" spans="1:8" x14ac:dyDescent="0.3">
      <c r="A267" s="391">
        <v>3</v>
      </c>
      <c r="B267" s="391">
        <f t="shared" si="0"/>
        <v>33</v>
      </c>
      <c r="C267" s="391">
        <f t="shared" ref="C267:D267" si="17">C251</f>
        <v>2</v>
      </c>
      <c r="D267" s="391">
        <f t="shared" si="17"/>
        <v>2</v>
      </c>
      <c r="E267" s="392">
        <f ca="1">OFFSET('Report &amp; Lookup Table'!$C$5,MATCH(SLRatio!B267,'Report &amp; Lookup Table'!$C$6:$C$45,0),MATCH(SLRatio!D267,'Report &amp; Lookup Table'!$D$5:$G$5,0))</f>
        <v>0.58299999999999996</v>
      </c>
      <c r="F267" s="391">
        <v>1.93450191218612</v>
      </c>
      <c r="G267" s="393">
        <v>42772</v>
      </c>
      <c r="H267" s="394" t="s">
        <v>499</v>
      </c>
    </row>
    <row r="268" spans="1:8" x14ac:dyDescent="0.3">
      <c r="A268" s="391">
        <v>3</v>
      </c>
      <c r="B268" s="391">
        <f t="shared" si="0"/>
        <v>33</v>
      </c>
      <c r="C268" s="391">
        <f t="shared" ref="C268:D268" si="18">C252</f>
        <v>2</v>
      </c>
      <c r="D268" s="391">
        <f t="shared" si="18"/>
        <v>3</v>
      </c>
      <c r="E268" s="392">
        <f ca="1">OFFSET('Report &amp; Lookup Table'!$C$5,MATCH(SLRatio!B268,'Report &amp; Lookup Table'!$C$6:$C$45,0),MATCH(SLRatio!D268,'Report &amp; Lookup Table'!$D$5:$G$5,0))</f>
        <v>0.68899999999999995</v>
      </c>
      <c r="F268" s="391">
        <v>1.1975949862587101</v>
      </c>
      <c r="G268" s="393">
        <v>42772</v>
      </c>
      <c r="H268" s="394" t="s">
        <v>499</v>
      </c>
    </row>
    <row r="269" spans="1:8" x14ac:dyDescent="0.3">
      <c r="A269" s="391">
        <v>3</v>
      </c>
      <c r="B269" s="391">
        <f t="shared" si="0"/>
        <v>33</v>
      </c>
      <c r="C269" s="391">
        <f t="shared" ref="C269:D269" si="19">C253</f>
        <v>2</v>
      </c>
      <c r="D269" s="391">
        <f t="shared" si="19"/>
        <v>4</v>
      </c>
      <c r="E269" s="392">
        <f ca="1">OFFSET('Report &amp; Lookup Table'!$C$5,MATCH(SLRatio!B269,'Report &amp; Lookup Table'!$C$6:$C$45,0),MATCH(SLRatio!D269,'Report &amp; Lookup Table'!$D$5:$G$5,0))</f>
        <v>0.92</v>
      </c>
      <c r="F269" s="391">
        <v>1</v>
      </c>
      <c r="G269" s="393">
        <v>42772</v>
      </c>
      <c r="H269" s="394" t="s">
        <v>499</v>
      </c>
    </row>
    <row r="270" spans="1:8" x14ac:dyDescent="0.3">
      <c r="A270" s="391">
        <v>3</v>
      </c>
      <c r="B270" s="391">
        <f t="shared" si="0"/>
        <v>33</v>
      </c>
      <c r="C270" s="391">
        <f t="shared" ref="C270:D270" si="20">C254</f>
        <v>3</v>
      </c>
      <c r="D270" s="391">
        <f t="shared" si="20"/>
        <v>1</v>
      </c>
      <c r="E270" s="392">
        <f ca="1">OFFSET('Report &amp; Lookup Table'!$C$5,MATCH(SLRatio!B270,'Report &amp; Lookup Table'!$C$6:$C$45,0),MATCH(SLRatio!D270,'Report &amp; Lookup Table'!$D$5:$G$5,0))</f>
        <v>0.92</v>
      </c>
      <c r="F270" s="391">
        <v>1</v>
      </c>
      <c r="G270" s="393">
        <v>42772</v>
      </c>
      <c r="H270" s="394" t="s">
        <v>499</v>
      </c>
    </row>
    <row r="271" spans="1:8" x14ac:dyDescent="0.3">
      <c r="A271" s="391">
        <v>3</v>
      </c>
      <c r="B271" s="391">
        <f t="shared" si="0"/>
        <v>33</v>
      </c>
      <c r="C271" s="391">
        <f t="shared" ref="C271:D271" si="21">C255</f>
        <v>3</v>
      </c>
      <c r="D271" s="391">
        <f t="shared" si="21"/>
        <v>2</v>
      </c>
      <c r="E271" s="392">
        <f ca="1">OFFSET('Report &amp; Lookup Table'!$C$5,MATCH(SLRatio!B271,'Report &amp; Lookup Table'!$C$6:$C$45,0),MATCH(SLRatio!D271,'Report &amp; Lookup Table'!$D$5:$G$5,0))</f>
        <v>0.58299999999999996</v>
      </c>
      <c r="F271" s="391">
        <v>1.93450191218612</v>
      </c>
      <c r="G271" s="393">
        <v>42772</v>
      </c>
      <c r="H271" s="394" t="s">
        <v>499</v>
      </c>
    </row>
    <row r="272" spans="1:8" x14ac:dyDescent="0.3">
      <c r="A272" s="391">
        <v>3</v>
      </c>
      <c r="B272" s="391">
        <f t="shared" si="0"/>
        <v>33</v>
      </c>
      <c r="C272" s="391">
        <f t="shared" ref="C272:D272" si="22">C256</f>
        <v>3</v>
      </c>
      <c r="D272" s="391">
        <f t="shared" si="22"/>
        <v>3</v>
      </c>
      <c r="E272" s="392">
        <f ca="1">OFFSET('Report &amp; Lookup Table'!$C$5,MATCH(SLRatio!B272,'Report &amp; Lookup Table'!$C$6:$C$45,0),MATCH(SLRatio!D272,'Report &amp; Lookup Table'!$D$5:$G$5,0))</f>
        <v>0.68899999999999995</v>
      </c>
      <c r="F272" s="391">
        <v>1.1975949862587101</v>
      </c>
      <c r="G272" s="393">
        <v>42772</v>
      </c>
      <c r="H272" s="394" t="s">
        <v>499</v>
      </c>
    </row>
    <row r="273" spans="1:8" x14ac:dyDescent="0.3">
      <c r="A273" s="391">
        <v>3</v>
      </c>
      <c r="B273" s="391">
        <f t="shared" si="0"/>
        <v>33</v>
      </c>
      <c r="C273" s="391">
        <f t="shared" ref="C273:D273" si="23">C257</f>
        <v>3</v>
      </c>
      <c r="D273" s="391">
        <f t="shared" si="23"/>
        <v>4</v>
      </c>
      <c r="E273" s="392">
        <f ca="1">OFFSET('Report &amp; Lookup Table'!$C$5,MATCH(SLRatio!B273,'Report &amp; Lookup Table'!$C$6:$C$45,0),MATCH(SLRatio!D273,'Report &amp; Lookup Table'!$D$5:$G$5,0))</f>
        <v>0.92</v>
      </c>
      <c r="F273" s="391">
        <v>1</v>
      </c>
      <c r="G273" s="393">
        <v>42772</v>
      </c>
      <c r="H273" s="394" t="s">
        <v>499</v>
      </c>
    </row>
    <row r="274" spans="1:8" x14ac:dyDescent="0.3">
      <c r="A274" s="391">
        <v>3</v>
      </c>
      <c r="B274" s="391">
        <f t="shared" si="0"/>
        <v>33</v>
      </c>
      <c r="C274" s="391">
        <f t="shared" ref="C274:D274" si="24">C258</f>
        <v>4</v>
      </c>
      <c r="D274" s="391">
        <f t="shared" si="24"/>
        <v>1</v>
      </c>
      <c r="E274" s="392">
        <f ca="1">OFFSET('Report &amp; Lookup Table'!$C$5,MATCH(SLRatio!B274,'Report &amp; Lookup Table'!$C$6:$C$45,0),MATCH(SLRatio!D274,'Report &amp; Lookup Table'!$D$5:$G$5,0))</f>
        <v>0.92</v>
      </c>
      <c r="F274" s="391">
        <v>1</v>
      </c>
      <c r="G274" s="393">
        <v>42772</v>
      </c>
      <c r="H274" s="394" t="s">
        <v>499</v>
      </c>
    </row>
    <row r="275" spans="1:8" x14ac:dyDescent="0.3">
      <c r="A275" s="391">
        <v>3</v>
      </c>
      <c r="B275" s="391">
        <f t="shared" si="0"/>
        <v>33</v>
      </c>
      <c r="C275" s="391">
        <f t="shared" ref="C275:D275" si="25">C259</f>
        <v>4</v>
      </c>
      <c r="D275" s="391">
        <f t="shared" si="25"/>
        <v>2</v>
      </c>
      <c r="E275" s="392">
        <f ca="1">OFFSET('Report &amp; Lookup Table'!$C$5,MATCH(SLRatio!B275,'Report &amp; Lookup Table'!$C$6:$C$45,0),MATCH(SLRatio!D275,'Report &amp; Lookup Table'!$D$5:$G$5,0))</f>
        <v>0.58299999999999996</v>
      </c>
      <c r="F275" s="391">
        <v>1.93450191218612</v>
      </c>
      <c r="G275" s="393">
        <v>42772</v>
      </c>
      <c r="H275" s="394" t="s">
        <v>499</v>
      </c>
    </row>
    <row r="276" spans="1:8" x14ac:dyDescent="0.3">
      <c r="A276" s="391">
        <v>3</v>
      </c>
      <c r="B276" s="391">
        <f t="shared" si="0"/>
        <v>33</v>
      </c>
      <c r="C276" s="391">
        <f t="shared" ref="C276:D276" si="26">C260</f>
        <v>4</v>
      </c>
      <c r="D276" s="391">
        <f t="shared" si="26"/>
        <v>3</v>
      </c>
      <c r="E276" s="392">
        <f ca="1">OFFSET('Report &amp; Lookup Table'!$C$5,MATCH(SLRatio!B276,'Report &amp; Lookup Table'!$C$6:$C$45,0),MATCH(SLRatio!D276,'Report &amp; Lookup Table'!$D$5:$G$5,0))</f>
        <v>0.68899999999999995</v>
      </c>
      <c r="F276" s="391">
        <v>1.1975949862587101</v>
      </c>
      <c r="G276" s="393">
        <v>42772</v>
      </c>
      <c r="H276" s="394" t="s">
        <v>499</v>
      </c>
    </row>
    <row r="277" spans="1:8" x14ac:dyDescent="0.3">
      <c r="A277" s="391">
        <v>3</v>
      </c>
      <c r="B277" s="391">
        <f t="shared" si="0"/>
        <v>33</v>
      </c>
      <c r="C277" s="391">
        <f t="shared" ref="C277:D277" si="27">C261</f>
        <v>4</v>
      </c>
      <c r="D277" s="391">
        <f t="shared" si="27"/>
        <v>4</v>
      </c>
      <c r="E277" s="392">
        <f ca="1">OFFSET('Report &amp; Lookup Table'!$C$5,MATCH(SLRatio!B277,'Report &amp; Lookup Table'!$C$6:$C$45,0),MATCH(SLRatio!D277,'Report &amp; Lookup Table'!$D$5:$G$5,0))</f>
        <v>0.92</v>
      </c>
      <c r="F277" s="391">
        <v>1</v>
      </c>
      <c r="G277" s="393">
        <v>42772</v>
      </c>
      <c r="H277" s="394" t="s">
        <v>499</v>
      </c>
    </row>
    <row r="278" spans="1:8" x14ac:dyDescent="0.3">
      <c r="A278" s="391">
        <v>3</v>
      </c>
      <c r="B278" s="391">
        <f t="shared" si="0"/>
        <v>33</v>
      </c>
      <c r="C278" s="391">
        <f t="shared" ref="C278:D278" si="28">C262</f>
        <v>5</v>
      </c>
      <c r="D278" s="391">
        <f t="shared" si="28"/>
        <v>1</v>
      </c>
      <c r="E278" s="392">
        <f ca="1">OFFSET('Report &amp; Lookup Table'!$C$5,MATCH(SLRatio!B278,'Report &amp; Lookup Table'!$C$6:$C$45,0),MATCH(SLRatio!D278,'Report &amp; Lookup Table'!$D$5:$G$5,0))</f>
        <v>0.92</v>
      </c>
      <c r="F278" s="391">
        <v>1</v>
      </c>
      <c r="G278" s="393">
        <v>42772</v>
      </c>
      <c r="H278" s="394" t="s">
        <v>499</v>
      </c>
    </row>
    <row r="279" spans="1:8" x14ac:dyDescent="0.3">
      <c r="A279" s="391">
        <v>3</v>
      </c>
      <c r="B279" s="391">
        <f t="shared" si="0"/>
        <v>33</v>
      </c>
      <c r="C279" s="391">
        <f t="shared" ref="C279:D279" si="29">C263</f>
        <v>5</v>
      </c>
      <c r="D279" s="391">
        <f t="shared" si="29"/>
        <v>2</v>
      </c>
      <c r="E279" s="392">
        <f ca="1">OFFSET('Report &amp; Lookup Table'!$C$5,MATCH(SLRatio!B279,'Report &amp; Lookup Table'!$C$6:$C$45,0),MATCH(SLRatio!D279,'Report &amp; Lookup Table'!$D$5:$G$5,0))</f>
        <v>0.58299999999999996</v>
      </c>
      <c r="F279" s="391">
        <v>1.93450191218612</v>
      </c>
      <c r="G279" s="393">
        <v>42772</v>
      </c>
      <c r="H279" s="394" t="s">
        <v>499</v>
      </c>
    </row>
    <row r="280" spans="1:8" x14ac:dyDescent="0.3">
      <c r="A280" s="391">
        <v>3</v>
      </c>
      <c r="B280" s="391">
        <f t="shared" si="0"/>
        <v>33</v>
      </c>
      <c r="C280" s="391">
        <f t="shared" ref="C280:D280" si="30">C264</f>
        <v>5</v>
      </c>
      <c r="D280" s="391">
        <f t="shared" si="30"/>
        <v>3</v>
      </c>
      <c r="E280" s="392">
        <f ca="1">OFFSET('Report &amp; Lookup Table'!$C$5,MATCH(SLRatio!B280,'Report &amp; Lookup Table'!$C$6:$C$45,0),MATCH(SLRatio!D280,'Report &amp; Lookup Table'!$D$5:$G$5,0))</f>
        <v>0.68899999999999995</v>
      </c>
      <c r="F280" s="391">
        <v>1.1975949862587101</v>
      </c>
      <c r="G280" s="393">
        <v>42772</v>
      </c>
      <c r="H280" s="394" t="s">
        <v>499</v>
      </c>
    </row>
    <row r="281" spans="1:8" x14ac:dyDescent="0.3">
      <c r="A281" s="391">
        <v>3</v>
      </c>
      <c r="B281" s="391">
        <f t="shared" si="0"/>
        <v>33</v>
      </c>
      <c r="C281" s="391">
        <f t="shared" ref="C281:D281" si="31">C265</f>
        <v>5</v>
      </c>
      <c r="D281" s="391">
        <f t="shared" si="31"/>
        <v>4</v>
      </c>
      <c r="E281" s="392">
        <f ca="1">OFFSET('Report &amp; Lookup Table'!$C$5,MATCH(SLRatio!B281,'Report &amp; Lookup Table'!$C$6:$C$45,0),MATCH(SLRatio!D281,'Report &amp; Lookup Table'!$D$5:$G$5,0))</f>
        <v>0.92</v>
      </c>
      <c r="F281" s="391">
        <v>1</v>
      </c>
      <c r="G281" s="393">
        <v>42772</v>
      </c>
      <c r="H281" s="394" t="s">
        <v>499</v>
      </c>
    </row>
    <row r="282" spans="1:8" x14ac:dyDescent="0.3">
      <c r="A282" s="391">
        <v>3</v>
      </c>
      <c r="B282" s="391">
        <f t="shared" si="0"/>
        <v>34</v>
      </c>
      <c r="C282" s="391">
        <f t="shared" ref="C282:D282" si="32">C266</f>
        <v>2</v>
      </c>
      <c r="D282" s="391">
        <f t="shared" si="32"/>
        <v>1</v>
      </c>
      <c r="E282" s="392">
        <f ca="1">OFFSET('Report &amp; Lookup Table'!$C$5,MATCH(SLRatio!B282,'Report &amp; Lookup Table'!$C$6:$C$45,0),MATCH(SLRatio!D282,'Report &amp; Lookup Table'!$D$5:$G$5,0))</f>
        <v>0.47399999999999998</v>
      </c>
      <c r="F282" s="391">
        <v>1</v>
      </c>
      <c r="G282" s="393">
        <v>42772</v>
      </c>
      <c r="H282" s="394" t="s">
        <v>499</v>
      </c>
    </row>
    <row r="283" spans="1:8" x14ac:dyDescent="0.3">
      <c r="A283" s="391">
        <v>3</v>
      </c>
      <c r="B283" s="391">
        <f t="shared" si="0"/>
        <v>34</v>
      </c>
      <c r="C283" s="391">
        <f t="shared" ref="C283:D283" si="33">C267</f>
        <v>2</v>
      </c>
      <c r="D283" s="391">
        <f t="shared" si="33"/>
        <v>2</v>
      </c>
      <c r="E283" s="392">
        <f ca="1">OFFSET('Report &amp; Lookup Table'!$C$5,MATCH(SLRatio!B283,'Report &amp; Lookup Table'!$C$6:$C$45,0),MATCH(SLRatio!D283,'Report &amp; Lookup Table'!$D$5:$G$5,0))</f>
        <v>0.36799999999999999</v>
      </c>
      <c r="F283" s="391">
        <v>0.93759507033356604</v>
      </c>
      <c r="G283" s="393">
        <v>42772</v>
      </c>
      <c r="H283" s="394" t="s">
        <v>499</v>
      </c>
    </row>
    <row r="284" spans="1:8" x14ac:dyDescent="0.3">
      <c r="A284" s="391">
        <v>3</v>
      </c>
      <c r="B284" s="391">
        <f t="shared" si="0"/>
        <v>34</v>
      </c>
      <c r="C284" s="391">
        <f t="shared" ref="C284:D284" si="34">C268</f>
        <v>2</v>
      </c>
      <c r="D284" s="391">
        <f t="shared" si="34"/>
        <v>3</v>
      </c>
      <c r="E284" s="392">
        <f ca="1">OFFSET('Report &amp; Lookup Table'!$C$5,MATCH(SLRatio!B284,'Report &amp; Lookup Table'!$C$6:$C$45,0),MATCH(SLRatio!D284,'Report &amp; Lookup Table'!$D$5:$G$5,0))</f>
        <v>0.6</v>
      </c>
      <c r="F284" s="391">
        <v>0.86006342968044402</v>
      </c>
      <c r="G284" s="393">
        <v>42772</v>
      </c>
      <c r="H284" s="394" t="s">
        <v>499</v>
      </c>
    </row>
    <row r="285" spans="1:8" x14ac:dyDescent="0.3">
      <c r="A285" s="391">
        <v>3</v>
      </c>
      <c r="B285" s="391">
        <f t="shared" si="0"/>
        <v>34</v>
      </c>
      <c r="C285" s="391">
        <f t="shared" ref="C285:D285" si="35">C269</f>
        <v>2</v>
      </c>
      <c r="D285" s="391">
        <f t="shared" si="35"/>
        <v>4</v>
      </c>
      <c r="E285" s="392">
        <f ca="1">OFFSET('Report &amp; Lookup Table'!$C$5,MATCH(SLRatio!B285,'Report &amp; Lookup Table'!$C$6:$C$45,0),MATCH(SLRatio!D285,'Report &amp; Lookup Table'!$D$5:$G$5,0))</f>
        <v>0.47399999999999998</v>
      </c>
      <c r="F285" s="391">
        <v>1</v>
      </c>
      <c r="G285" s="393">
        <v>42772</v>
      </c>
      <c r="H285" s="394" t="s">
        <v>499</v>
      </c>
    </row>
    <row r="286" spans="1:8" x14ac:dyDescent="0.3">
      <c r="A286" s="391">
        <v>3</v>
      </c>
      <c r="B286" s="391">
        <f t="shared" si="0"/>
        <v>34</v>
      </c>
      <c r="C286" s="391">
        <f t="shared" ref="C286:D286" si="36">C270</f>
        <v>3</v>
      </c>
      <c r="D286" s="391">
        <f t="shared" si="36"/>
        <v>1</v>
      </c>
      <c r="E286" s="392">
        <f ca="1">OFFSET('Report &amp; Lookup Table'!$C$5,MATCH(SLRatio!B286,'Report &amp; Lookup Table'!$C$6:$C$45,0),MATCH(SLRatio!D286,'Report &amp; Lookup Table'!$D$5:$G$5,0))</f>
        <v>0.47399999999999998</v>
      </c>
      <c r="F286" s="391">
        <v>1</v>
      </c>
      <c r="G286" s="393">
        <v>42772</v>
      </c>
      <c r="H286" s="394" t="s">
        <v>499</v>
      </c>
    </row>
    <row r="287" spans="1:8" x14ac:dyDescent="0.3">
      <c r="A287" s="391">
        <v>3</v>
      </c>
      <c r="B287" s="391">
        <f t="shared" si="0"/>
        <v>34</v>
      </c>
      <c r="C287" s="391">
        <f t="shared" ref="C287:D287" si="37">C271</f>
        <v>3</v>
      </c>
      <c r="D287" s="391">
        <f t="shared" si="37"/>
        <v>2</v>
      </c>
      <c r="E287" s="392">
        <f ca="1">OFFSET('Report &amp; Lookup Table'!$C$5,MATCH(SLRatio!B287,'Report &amp; Lookup Table'!$C$6:$C$45,0),MATCH(SLRatio!D287,'Report &amp; Lookup Table'!$D$5:$G$5,0))</f>
        <v>0.36799999999999999</v>
      </c>
      <c r="F287" s="391">
        <v>0.93759507033356604</v>
      </c>
      <c r="G287" s="393">
        <v>42772</v>
      </c>
      <c r="H287" s="394" t="s">
        <v>499</v>
      </c>
    </row>
    <row r="288" spans="1:8" x14ac:dyDescent="0.3">
      <c r="A288" s="391">
        <v>3</v>
      </c>
      <c r="B288" s="391">
        <f t="shared" si="0"/>
        <v>34</v>
      </c>
      <c r="C288" s="391">
        <f t="shared" ref="C288:D288" si="38">C272</f>
        <v>3</v>
      </c>
      <c r="D288" s="391">
        <f t="shared" si="38"/>
        <v>3</v>
      </c>
      <c r="E288" s="392">
        <f ca="1">OFFSET('Report &amp; Lookup Table'!$C$5,MATCH(SLRatio!B288,'Report &amp; Lookup Table'!$C$6:$C$45,0),MATCH(SLRatio!D288,'Report &amp; Lookup Table'!$D$5:$G$5,0))</f>
        <v>0.6</v>
      </c>
      <c r="F288" s="391">
        <v>0.86006342968044402</v>
      </c>
      <c r="G288" s="393">
        <v>42772</v>
      </c>
      <c r="H288" s="394" t="s">
        <v>499</v>
      </c>
    </row>
    <row r="289" spans="1:8" x14ac:dyDescent="0.3">
      <c r="A289" s="391">
        <v>3</v>
      </c>
      <c r="B289" s="391">
        <f t="shared" si="0"/>
        <v>34</v>
      </c>
      <c r="C289" s="391">
        <f t="shared" ref="C289:D289" si="39">C273</f>
        <v>3</v>
      </c>
      <c r="D289" s="391">
        <f t="shared" si="39"/>
        <v>4</v>
      </c>
      <c r="E289" s="392">
        <f ca="1">OFFSET('Report &amp; Lookup Table'!$C$5,MATCH(SLRatio!B289,'Report &amp; Lookup Table'!$C$6:$C$45,0),MATCH(SLRatio!D289,'Report &amp; Lookup Table'!$D$5:$G$5,0))</f>
        <v>0.47399999999999998</v>
      </c>
      <c r="F289" s="391">
        <v>1</v>
      </c>
      <c r="G289" s="393">
        <v>42772</v>
      </c>
      <c r="H289" s="394" t="s">
        <v>499</v>
      </c>
    </row>
    <row r="290" spans="1:8" x14ac:dyDescent="0.3">
      <c r="A290" s="391">
        <v>3</v>
      </c>
      <c r="B290" s="391">
        <f t="shared" si="0"/>
        <v>34</v>
      </c>
      <c r="C290" s="391">
        <f t="shared" ref="C290:D290" si="40">C274</f>
        <v>4</v>
      </c>
      <c r="D290" s="391">
        <f t="shared" si="40"/>
        <v>1</v>
      </c>
      <c r="E290" s="392">
        <f ca="1">OFFSET('Report &amp; Lookup Table'!$C$5,MATCH(SLRatio!B290,'Report &amp; Lookup Table'!$C$6:$C$45,0),MATCH(SLRatio!D290,'Report &amp; Lookup Table'!$D$5:$G$5,0))</f>
        <v>0.47399999999999998</v>
      </c>
      <c r="F290" s="391">
        <v>1</v>
      </c>
      <c r="G290" s="393">
        <v>42772</v>
      </c>
      <c r="H290" s="394" t="s">
        <v>499</v>
      </c>
    </row>
    <row r="291" spans="1:8" x14ac:dyDescent="0.3">
      <c r="A291" s="391">
        <v>3</v>
      </c>
      <c r="B291" s="391">
        <f t="shared" si="0"/>
        <v>34</v>
      </c>
      <c r="C291" s="391">
        <f t="shared" ref="C291:D291" si="41">C275</f>
        <v>4</v>
      </c>
      <c r="D291" s="391">
        <f t="shared" si="41"/>
        <v>2</v>
      </c>
      <c r="E291" s="392">
        <f ca="1">OFFSET('Report &amp; Lookup Table'!$C$5,MATCH(SLRatio!B291,'Report &amp; Lookup Table'!$C$6:$C$45,0),MATCH(SLRatio!D291,'Report &amp; Lookup Table'!$D$5:$G$5,0))</f>
        <v>0.36799999999999999</v>
      </c>
      <c r="F291" s="391">
        <v>0.93759507033356604</v>
      </c>
      <c r="G291" s="393">
        <v>42772</v>
      </c>
      <c r="H291" s="394" t="s">
        <v>499</v>
      </c>
    </row>
    <row r="292" spans="1:8" x14ac:dyDescent="0.3">
      <c r="A292" s="391">
        <v>3</v>
      </c>
      <c r="B292" s="391">
        <f t="shared" si="0"/>
        <v>34</v>
      </c>
      <c r="C292" s="391">
        <f t="shared" ref="C292:D292" si="42">C276</f>
        <v>4</v>
      </c>
      <c r="D292" s="391">
        <f t="shared" si="42"/>
        <v>3</v>
      </c>
      <c r="E292" s="392">
        <f ca="1">OFFSET('Report &amp; Lookup Table'!$C$5,MATCH(SLRatio!B292,'Report &amp; Lookup Table'!$C$6:$C$45,0),MATCH(SLRatio!D292,'Report &amp; Lookup Table'!$D$5:$G$5,0))</f>
        <v>0.6</v>
      </c>
      <c r="F292" s="391">
        <v>0.86006342968044402</v>
      </c>
      <c r="G292" s="393">
        <v>42772</v>
      </c>
      <c r="H292" s="394" t="s">
        <v>499</v>
      </c>
    </row>
    <row r="293" spans="1:8" x14ac:dyDescent="0.3">
      <c r="A293" s="391">
        <v>3</v>
      </c>
      <c r="B293" s="391">
        <f t="shared" si="0"/>
        <v>34</v>
      </c>
      <c r="C293" s="391">
        <f t="shared" ref="C293:D293" si="43">C277</f>
        <v>4</v>
      </c>
      <c r="D293" s="391">
        <f t="shared" si="43"/>
        <v>4</v>
      </c>
      <c r="E293" s="392">
        <f ca="1">OFFSET('Report &amp; Lookup Table'!$C$5,MATCH(SLRatio!B293,'Report &amp; Lookup Table'!$C$6:$C$45,0),MATCH(SLRatio!D293,'Report &amp; Lookup Table'!$D$5:$G$5,0))</f>
        <v>0.47399999999999998</v>
      </c>
      <c r="F293" s="391">
        <v>1</v>
      </c>
      <c r="G293" s="393">
        <v>42772</v>
      </c>
      <c r="H293" s="394" t="s">
        <v>499</v>
      </c>
    </row>
    <row r="294" spans="1:8" x14ac:dyDescent="0.3">
      <c r="A294" s="391">
        <v>3</v>
      </c>
      <c r="B294" s="391">
        <f t="shared" si="0"/>
        <v>34</v>
      </c>
      <c r="C294" s="391">
        <f t="shared" ref="C294:D294" si="44">C278</f>
        <v>5</v>
      </c>
      <c r="D294" s="391">
        <f t="shared" si="44"/>
        <v>1</v>
      </c>
      <c r="E294" s="392">
        <f ca="1">OFFSET('Report &amp; Lookup Table'!$C$5,MATCH(SLRatio!B294,'Report &amp; Lookup Table'!$C$6:$C$45,0),MATCH(SLRatio!D294,'Report &amp; Lookup Table'!$D$5:$G$5,0))</f>
        <v>0.47399999999999998</v>
      </c>
      <c r="F294" s="391">
        <v>1</v>
      </c>
      <c r="G294" s="393">
        <v>42772</v>
      </c>
      <c r="H294" s="394" t="s">
        <v>499</v>
      </c>
    </row>
    <row r="295" spans="1:8" x14ac:dyDescent="0.3">
      <c r="A295" s="391">
        <v>3</v>
      </c>
      <c r="B295" s="391">
        <f t="shared" si="0"/>
        <v>34</v>
      </c>
      <c r="C295" s="391">
        <f t="shared" ref="C295:D295" si="45">C279</f>
        <v>5</v>
      </c>
      <c r="D295" s="391">
        <f t="shared" si="45"/>
        <v>2</v>
      </c>
      <c r="E295" s="392">
        <f ca="1">OFFSET('Report &amp; Lookup Table'!$C$5,MATCH(SLRatio!B295,'Report &amp; Lookup Table'!$C$6:$C$45,0),MATCH(SLRatio!D295,'Report &amp; Lookup Table'!$D$5:$G$5,0))</f>
        <v>0.36799999999999999</v>
      </c>
      <c r="F295" s="391">
        <v>0.93759507033356604</v>
      </c>
      <c r="G295" s="393">
        <v>42772</v>
      </c>
      <c r="H295" s="394" t="s">
        <v>499</v>
      </c>
    </row>
    <row r="296" spans="1:8" x14ac:dyDescent="0.3">
      <c r="A296" s="391">
        <v>3</v>
      </c>
      <c r="B296" s="391">
        <f t="shared" si="0"/>
        <v>34</v>
      </c>
      <c r="C296" s="391">
        <f t="shared" ref="C296:D296" si="46">C280</f>
        <v>5</v>
      </c>
      <c r="D296" s="391">
        <f t="shared" si="46"/>
        <v>3</v>
      </c>
      <c r="E296" s="392">
        <f ca="1">OFFSET('Report &amp; Lookup Table'!$C$5,MATCH(SLRatio!B296,'Report &amp; Lookup Table'!$C$6:$C$45,0),MATCH(SLRatio!D296,'Report &amp; Lookup Table'!$D$5:$G$5,0))</f>
        <v>0.6</v>
      </c>
      <c r="F296" s="391">
        <v>0.86006342968044402</v>
      </c>
      <c r="G296" s="393">
        <v>42772</v>
      </c>
      <c r="H296" s="394" t="s">
        <v>499</v>
      </c>
    </row>
    <row r="297" spans="1:8" x14ac:dyDescent="0.3">
      <c r="A297" s="391">
        <v>3</v>
      </c>
      <c r="B297" s="391">
        <f t="shared" si="0"/>
        <v>34</v>
      </c>
      <c r="C297" s="391">
        <f t="shared" ref="C297:D297" si="47">C281</f>
        <v>5</v>
      </c>
      <c r="D297" s="391">
        <f t="shared" si="47"/>
        <v>4</v>
      </c>
      <c r="E297" s="392">
        <f ca="1">OFFSET('Report &amp; Lookup Table'!$C$5,MATCH(SLRatio!B297,'Report &amp; Lookup Table'!$C$6:$C$45,0),MATCH(SLRatio!D297,'Report &amp; Lookup Table'!$D$5:$G$5,0))</f>
        <v>0.47399999999999998</v>
      </c>
      <c r="F297" s="391">
        <v>1</v>
      </c>
      <c r="G297" s="393">
        <v>42772</v>
      </c>
      <c r="H297" s="394" t="s">
        <v>499</v>
      </c>
    </row>
    <row r="298" spans="1:8" x14ac:dyDescent="0.3">
      <c r="A298" s="391">
        <v>3</v>
      </c>
      <c r="B298" s="391">
        <v>35</v>
      </c>
      <c r="C298" s="391">
        <v>2</v>
      </c>
      <c r="D298" s="391">
        <v>1</v>
      </c>
      <c r="E298" s="392">
        <f ca="1">OFFSET('Report &amp; Lookup Table'!$C$5,MATCH(SLRatio!B298,'Report &amp; Lookup Table'!$C$6:$C$45,0),MATCH(SLRatio!D298,'Report &amp; Lookup Table'!$D$5:$G$5,0))</f>
        <v>0.92</v>
      </c>
      <c r="F298" s="391">
        <v>1.1766113885042</v>
      </c>
      <c r="G298" s="393">
        <v>42772</v>
      </c>
      <c r="H298" s="394" t="s">
        <v>499</v>
      </c>
    </row>
    <row r="299" spans="1:8" x14ac:dyDescent="0.3">
      <c r="A299" s="391">
        <v>3</v>
      </c>
      <c r="B299" s="391">
        <v>35</v>
      </c>
      <c r="C299" s="391">
        <v>2</v>
      </c>
      <c r="D299" s="391">
        <v>2</v>
      </c>
      <c r="E299" s="392">
        <f ca="1">OFFSET('Report &amp; Lookup Table'!$C$5,MATCH(SLRatio!B299,'Report &amp; Lookup Table'!$C$6:$C$45,0),MATCH(SLRatio!D299,'Report &amp; Lookup Table'!$D$5:$G$5,0))</f>
        <v>0.61</v>
      </c>
      <c r="F299" s="391">
        <v>0.98625165870395903</v>
      </c>
      <c r="G299" s="393">
        <v>42772.583182870374</v>
      </c>
      <c r="H299" s="394" t="s">
        <v>499</v>
      </c>
    </row>
    <row r="300" spans="1:8" x14ac:dyDescent="0.3">
      <c r="A300" s="391">
        <v>3</v>
      </c>
      <c r="B300" s="391">
        <v>35</v>
      </c>
      <c r="C300" s="391">
        <v>2</v>
      </c>
      <c r="D300" s="391">
        <v>3</v>
      </c>
      <c r="E300" s="392">
        <f ca="1">OFFSET('Report &amp; Lookup Table'!$C$5,MATCH(SLRatio!B300,'Report &amp; Lookup Table'!$C$6:$C$45,0),MATCH(SLRatio!D300,'Report &amp; Lookup Table'!$D$5:$G$5,0))</f>
        <v>0.495</v>
      </c>
      <c r="F300" s="391">
        <v>0.85436788592974</v>
      </c>
      <c r="G300" s="393">
        <v>42772.583182870374</v>
      </c>
      <c r="H300" s="394" t="s">
        <v>499</v>
      </c>
    </row>
    <row r="301" spans="1:8" x14ac:dyDescent="0.3">
      <c r="A301" s="391">
        <v>3</v>
      </c>
      <c r="B301" s="391">
        <v>35</v>
      </c>
      <c r="C301" s="391">
        <v>2</v>
      </c>
      <c r="D301" s="391">
        <v>4</v>
      </c>
      <c r="E301" s="392">
        <f ca="1">OFFSET('Report &amp; Lookup Table'!$C$5,MATCH(SLRatio!B301,'Report &amp; Lookup Table'!$C$6:$C$45,0),MATCH(SLRatio!D301,'Report &amp; Lookup Table'!$D$5:$G$5,0))</f>
        <v>0.92</v>
      </c>
      <c r="F301" s="391">
        <v>1.10669997379086</v>
      </c>
      <c r="G301" s="393">
        <v>42772.583182870374</v>
      </c>
      <c r="H301" s="394" t="s">
        <v>499</v>
      </c>
    </row>
    <row r="302" spans="1:8" x14ac:dyDescent="0.3">
      <c r="A302" s="391">
        <v>3</v>
      </c>
      <c r="B302" s="391">
        <v>35</v>
      </c>
      <c r="C302" s="391">
        <v>3</v>
      </c>
      <c r="D302" s="391">
        <v>1</v>
      </c>
      <c r="E302" s="392">
        <f ca="1">OFFSET('Report &amp; Lookup Table'!$C$5,MATCH(SLRatio!B302,'Report &amp; Lookup Table'!$C$6:$C$45,0),MATCH(SLRatio!D302,'Report &amp; Lookup Table'!$D$5:$G$5,0))</f>
        <v>0.92</v>
      </c>
      <c r="F302" s="391">
        <v>1.1766113885042</v>
      </c>
      <c r="G302" s="393">
        <v>42772.583182870374</v>
      </c>
      <c r="H302" s="394" t="s">
        <v>499</v>
      </c>
    </row>
    <row r="303" spans="1:8" x14ac:dyDescent="0.3">
      <c r="A303" s="391">
        <v>3</v>
      </c>
      <c r="B303" s="391">
        <v>35</v>
      </c>
      <c r="C303" s="391">
        <v>3</v>
      </c>
      <c r="D303" s="391">
        <v>2</v>
      </c>
      <c r="E303" s="392">
        <f ca="1">OFFSET('Report &amp; Lookup Table'!$C$5,MATCH(SLRatio!B303,'Report &amp; Lookup Table'!$C$6:$C$45,0),MATCH(SLRatio!D303,'Report &amp; Lookup Table'!$D$5:$G$5,0))</f>
        <v>0.61</v>
      </c>
      <c r="F303" s="391">
        <v>0.98625165870395903</v>
      </c>
      <c r="G303" s="393">
        <v>42772.583182870374</v>
      </c>
      <c r="H303" s="394" t="s">
        <v>499</v>
      </c>
    </row>
    <row r="304" spans="1:8" x14ac:dyDescent="0.3">
      <c r="A304" s="391">
        <v>3</v>
      </c>
      <c r="B304" s="391">
        <v>35</v>
      </c>
      <c r="C304" s="391">
        <v>3</v>
      </c>
      <c r="D304" s="391">
        <v>3</v>
      </c>
      <c r="E304" s="392">
        <f ca="1">OFFSET('Report &amp; Lookup Table'!$C$5,MATCH(SLRatio!B304,'Report &amp; Lookup Table'!$C$6:$C$45,0),MATCH(SLRatio!D304,'Report &amp; Lookup Table'!$D$5:$G$5,0))</f>
        <v>0.495</v>
      </c>
      <c r="F304" s="391">
        <v>0.85436788592974</v>
      </c>
      <c r="G304" s="393">
        <v>42772.583182870374</v>
      </c>
      <c r="H304" s="394" t="s">
        <v>499</v>
      </c>
    </row>
    <row r="305" spans="1:8" x14ac:dyDescent="0.3">
      <c r="A305" s="391">
        <v>3</v>
      </c>
      <c r="B305" s="391">
        <v>35</v>
      </c>
      <c r="C305" s="391">
        <v>3</v>
      </c>
      <c r="D305" s="391">
        <v>4</v>
      </c>
      <c r="E305" s="392">
        <f ca="1">OFFSET('Report &amp; Lookup Table'!$C$5,MATCH(SLRatio!B305,'Report &amp; Lookup Table'!$C$6:$C$45,0),MATCH(SLRatio!D305,'Report &amp; Lookup Table'!$D$5:$G$5,0))</f>
        <v>0.92</v>
      </c>
      <c r="F305" s="391">
        <v>1.10669997379086</v>
      </c>
      <c r="G305" s="393">
        <v>42772.583182870374</v>
      </c>
      <c r="H305" s="394" t="s">
        <v>499</v>
      </c>
    </row>
    <row r="306" spans="1:8" x14ac:dyDescent="0.3">
      <c r="A306" s="391">
        <v>3</v>
      </c>
      <c r="B306" s="391">
        <v>35</v>
      </c>
      <c r="C306" s="391">
        <v>4</v>
      </c>
      <c r="D306" s="391">
        <v>1</v>
      </c>
      <c r="E306" s="392">
        <f ca="1">OFFSET('Report &amp; Lookup Table'!$C$5,MATCH(SLRatio!B306,'Report &amp; Lookup Table'!$C$6:$C$45,0),MATCH(SLRatio!D306,'Report &amp; Lookup Table'!$D$5:$G$5,0))</f>
        <v>0.92</v>
      </c>
      <c r="F306" s="391">
        <v>1.1766113885042</v>
      </c>
      <c r="G306" s="393">
        <v>42772.583182870374</v>
      </c>
      <c r="H306" s="394" t="s">
        <v>499</v>
      </c>
    </row>
    <row r="307" spans="1:8" x14ac:dyDescent="0.3">
      <c r="A307" s="391">
        <v>3</v>
      </c>
      <c r="B307" s="391">
        <v>35</v>
      </c>
      <c r="C307" s="391">
        <v>4</v>
      </c>
      <c r="D307" s="391">
        <v>2</v>
      </c>
      <c r="E307" s="392">
        <f ca="1">OFFSET('Report &amp; Lookup Table'!$C$5,MATCH(SLRatio!B307,'Report &amp; Lookup Table'!$C$6:$C$45,0),MATCH(SLRatio!D307,'Report &amp; Lookup Table'!$D$5:$G$5,0))</f>
        <v>0.61</v>
      </c>
      <c r="F307" s="391">
        <v>0.98625165870395903</v>
      </c>
      <c r="G307" s="393">
        <v>42772.583182870374</v>
      </c>
      <c r="H307" s="394" t="s">
        <v>499</v>
      </c>
    </row>
    <row r="308" spans="1:8" x14ac:dyDescent="0.3">
      <c r="A308" s="391">
        <v>3</v>
      </c>
      <c r="B308" s="391">
        <v>35</v>
      </c>
      <c r="C308" s="391">
        <v>4</v>
      </c>
      <c r="D308" s="391">
        <v>3</v>
      </c>
      <c r="E308" s="392">
        <f ca="1">OFFSET('Report &amp; Lookup Table'!$C$5,MATCH(SLRatio!B308,'Report &amp; Lookup Table'!$C$6:$C$45,0),MATCH(SLRatio!D308,'Report &amp; Lookup Table'!$D$5:$G$5,0))</f>
        <v>0.495</v>
      </c>
      <c r="F308" s="391">
        <v>0.85436788592974</v>
      </c>
      <c r="G308" s="393">
        <v>42772.583182870374</v>
      </c>
      <c r="H308" s="394" t="s">
        <v>499</v>
      </c>
    </row>
    <row r="309" spans="1:8" x14ac:dyDescent="0.3">
      <c r="A309" s="391">
        <v>3</v>
      </c>
      <c r="B309" s="391">
        <v>35</v>
      </c>
      <c r="C309" s="391">
        <v>4</v>
      </c>
      <c r="D309" s="391">
        <v>4</v>
      </c>
      <c r="E309" s="392">
        <f ca="1">OFFSET('Report &amp; Lookup Table'!$C$5,MATCH(SLRatio!B309,'Report &amp; Lookup Table'!$C$6:$C$45,0),MATCH(SLRatio!D309,'Report &amp; Lookup Table'!$D$5:$G$5,0))</f>
        <v>0.92</v>
      </c>
      <c r="F309" s="391">
        <v>1.10669997379086</v>
      </c>
      <c r="G309" s="393">
        <v>42772.583182870374</v>
      </c>
      <c r="H309" s="394" t="s">
        <v>499</v>
      </c>
    </row>
    <row r="310" spans="1:8" x14ac:dyDescent="0.3">
      <c r="A310" s="391">
        <v>3</v>
      </c>
      <c r="B310" s="391">
        <v>35</v>
      </c>
      <c r="C310" s="391">
        <v>5</v>
      </c>
      <c r="D310" s="391">
        <v>1</v>
      </c>
      <c r="E310" s="392">
        <f ca="1">OFFSET('Report &amp; Lookup Table'!$C$5,MATCH(SLRatio!B310,'Report &amp; Lookup Table'!$C$6:$C$45,0),MATCH(SLRatio!D310,'Report &amp; Lookup Table'!$D$5:$G$5,0))</f>
        <v>0.92</v>
      </c>
      <c r="F310" s="391">
        <v>1.1766113885042</v>
      </c>
      <c r="G310" s="393">
        <v>42772.583182870374</v>
      </c>
      <c r="H310" s="394" t="s">
        <v>499</v>
      </c>
    </row>
    <row r="311" spans="1:8" x14ac:dyDescent="0.3">
      <c r="A311" s="391">
        <v>3</v>
      </c>
      <c r="B311" s="391">
        <v>35</v>
      </c>
      <c r="C311" s="391">
        <v>5</v>
      </c>
      <c r="D311" s="391">
        <v>2</v>
      </c>
      <c r="E311" s="392">
        <f ca="1">OFFSET('Report &amp; Lookup Table'!$C$5,MATCH(SLRatio!B311,'Report &amp; Lookup Table'!$C$6:$C$45,0),MATCH(SLRatio!D311,'Report &amp; Lookup Table'!$D$5:$G$5,0))</f>
        <v>0.61</v>
      </c>
      <c r="F311" s="391">
        <v>0.98625165870395903</v>
      </c>
      <c r="G311" s="393">
        <v>42772.583182870374</v>
      </c>
      <c r="H311" s="394" t="s">
        <v>499</v>
      </c>
    </row>
    <row r="312" spans="1:8" x14ac:dyDescent="0.3">
      <c r="A312" s="391">
        <v>3</v>
      </c>
      <c r="B312" s="391">
        <v>35</v>
      </c>
      <c r="C312" s="391">
        <v>5</v>
      </c>
      <c r="D312" s="391">
        <v>3</v>
      </c>
      <c r="E312" s="392">
        <f ca="1">OFFSET('Report &amp; Lookup Table'!$C$5,MATCH(SLRatio!B312,'Report &amp; Lookup Table'!$C$6:$C$45,0),MATCH(SLRatio!D312,'Report &amp; Lookup Table'!$D$5:$G$5,0))</f>
        <v>0.495</v>
      </c>
      <c r="F312" s="391">
        <v>0.85436788592974</v>
      </c>
      <c r="G312" s="393">
        <v>42772.583182870374</v>
      </c>
      <c r="H312" s="394" t="s">
        <v>499</v>
      </c>
    </row>
    <row r="313" spans="1:8" x14ac:dyDescent="0.3">
      <c r="A313" s="391">
        <v>3</v>
      </c>
      <c r="B313" s="391">
        <v>35</v>
      </c>
      <c r="C313" s="391">
        <v>5</v>
      </c>
      <c r="D313" s="391">
        <v>4</v>
      </c>
      <c r="E313" s="392">
        <f ca="1">OFFSET('Report &amp; Lookup Table'!$C$5,MATCH(SLRatio!B313,'Report &amp; Lookup Table'!$C$6:$C$45,0),MATCH(SLRatio!D313,'Report &amp; Lookup Table'!$D$5:$G$5,0))</f>
        <v>0.92</v>
      </c>
      <c r="F313" s="391">
        <v>1.10669997379086</v>
      </c>
      <c r="G313" s="393">
        <v>42772.583182870374</v>
      </c>
      <c r="H313" s="394" t="s">
        <v>499</v>
      </c>
    </row>
    <row r="314" spans="1:8" x14ac:dyDescent="0.3">
      <c r="A314" s="391">
        <v>3</v>
      </c>
      <c r="B314" s="391">
        <v>36</v>
      </c>
      <c r="C314" s="391">
        <v>2</v>
      </c>
      <c r="D314" s="391">
        <v>1</v>
      </c>
      <c r="E314" s="392">
        <f ca="1">OFFSET('Report &amp; Lookup Table'!$C$5,MATCH(SLRatio!B314,'Report &amp; Lookup Table'!$C$6:$C$45,0),MATCH(SLRatio!D314,'Report &amp; Lookup Table'!$D$5:$G$5,0))</f>
        <v>0.24636245473653143</v>
      </c>
      <c r="F314" s="391">
        <v>5.0127174168647102</v>
      </c>
      <c r="G314" s="393">
        <v>42772.583182870374</v>
      </c>
      <c r="H314" s="394" t="s">
        <v>499</v>
      </c>
    </row>
    <row r="315" spans="1:8" x14ac:dyDescent="0.3">
      <c r="A315" s="391">
        <v>3</v>
      </c>
      <c r="B315" s="391">
        <v>36</v>
      </c>
      <c r="C315" s="391">
        <v>2</v>
      </c>
      <c r="D315" s="391">
        <v>3</v>
      </c>
      <c r="E315" s="392">
        <f ca="1">OFFSET('Report &amp; Lookup Table'!$C$5,MATCH(SLRatio!B315,'Report &amp; Lookup Table'!$C$6:$C$45,0),MATCH(SLRatio!D315,'Report &amp; Lookup Table'!$D$5:$G$5,0))</f>
        <v>0.68549975534279028</v>
      </c>
      <c r="F315" s="391">
        <v>1.3864300606718001</v>
      </c>
      <c r="G315" s="393">
        <v>42772.583182870374</v>
      </c>
      <c r="H315" s="394" t="s">
        <v>499</v>
      </c>
    </row>
    <row r="316" spans="1:8" x14ac:dyDescent="0.3">
      <c r="A316" s="391">
        <v>3</v>
      </c>
      <c r="B316" s="391">
        <v>36</v>
      </c>
      <c r="C316" s="391">
        <v>2</v>
      </c>
      <c r="D316" s="391">
        <v>4</v>
      </c>
      <c r="E316" s="392">
        <f ca="1">OFFSET('Report &amp; Lookup Table'!$C$5,MATCH(SLRatio!B316,'Report &amp; Lookup Table'!$C$6:$C$45,0),MATCH(SLRatio!D316,'Report &amp; Lookup Table'!$D$5:$G$5,0))</f>
        <v>0.24636245473653143</v>
      </c>
      <c r="F316" s="391">
        <v>3.4353690194325401</v>
      </c>
      <c r="G316" s="393">
        <v>42772.583182870374</v>
      </c>
      <c r="H316" s="394" t="s">
        <v>499</v>
      </c>
    </row>
    <row r="317" spans="1:8" x14ac:dyDescent="0.3">
      <c r="A317" s="391">
        <v>3</v>
      </c>
      <c r="B317" s="391">
        <v>36</v>
      </c>
      <c r="C317" s="391">
        <v>3</v>
      </c>
      <c r="D317" s="391">
        <v>1</v>
      </c>
      <c r="E317" s="392">
        <f ca="1">OFFSET('Report &amp; Lookup Table'!$C$5,MATCH(SLRatio!B317,'Report &amp; Lookup Table'!$C$6:$C$45,0),MATCH(SLRatio!D317,'Report &amp; Lookup Table'!$D$5:$G$5,0))</f>
        <v>0.24636245473653143</v>
      </c>
      <c r="F317" s="391">
        <v>5.0127174168647102</v>
      </c>
      <c r="G317" s="393">
        <v>42772.583182870374</v>
      </c>
      <c r="H317" s="394" t="s">
        <v>499</v>
      </c>
    </row>
    <row r="318" spans="1:8" x14ac:dyDescent="0.3">
      <c r="A318" s="391">
        <v>3</v>
      </c>
      <c r="B318" s="391">
        <v>36</v>
      </c>
      <c r="C318" s="391">
        <v>3</v>
      </c>
      <c r="D318" s="391">
        <v>3</v>
      </c>
      <c r="E318" s="392">
        <f ca="1">OFFSET('Report &amp; Lookup Table'!$C$5,MATCH(SLRatio!B318,'Report &amp; Lookup Table'!$C$6:$C$45,0),MATCH(SLRatio!D318,'Report &amp; Lookup Table'!$D$5:$G$5,0))</f>
        <v>0.68549975534279028</v>
      </c>
      <c r="F318" s="391">
        <v>1.3864300606718001</v>
      </c>
      <c r="G318" s="393">
        <v>42772.583182870374</v>
      </c>
      <c r="H318" s="394" t="s">
        <v>499</v>
      </c>
    </row>
    <row r="319" spans="1:8" x14ac:dyDescent="0.3">
      <c r="A319" s="391">
        <v>3</v>
      </c>
      <c r="B319" s="391">
        <v>36</v>
      </c>
      <c r="C319" s="391">
        <v>3</v>
      </c>
      <c r="D319" s="391">
        <v>4</v>
      </c>
      <c r="E319" s="392">
        <f ca="1">OFFSET('Report &amp; Lookup Table'!$C$5,MATCH(SLRatio!B319,'Report &amp; Lookup Table'!$C$6:$C$45,0),MATCH(SLRatio!D319,'Report &amp; Lookup Table'!$D$5:$G$5,0))</f>
        <v>0.24636245473653143</v>
      </c>
      <c r="F319" s="391">
        <v>3.4353690194325401</v>
      </c>
      <c r="G319" s="393">
        <v>42772.583182870374</v>
      </c>
      <c r="H319" s="394" t="s">
        <v>499</v>
      </c>
    </row>
    <row r="320" spans="1:8" x14ac:dyDescent="0.3">
      <c r="A320" s="391">
        <v>3</v>
      </c>
      <c r="B320" s="391">
        <v>36</v>
      </c>
      <c r="C320" s="391">
        <v>4</v>
      </c>
      <c r="D320" s="391">
        <v>1</v>
      </c>
      <c r="E320" s="392">
        <f ca="1">OFFSET('Report &amp; Lookup Table'!$C$5,MATCH(SLRatio!B320,'Report &amp; Lookup Table'!$C$6:$C$45,0),MATCH(SLRatio!D320,'Report &amp; Lookup Table'!$D$5:$G$5,0))</f>
        <v>0.24636245473653143</v>
      </c>
      <c r="F320" s="391">
        <v>5.0127174168647102</v>
      </c>
      <c r="G320" s="393">
        <v>42772.583182870374</v>
      </c>
      <c r="H320" s="394" t="s">
        <v>499</v>
      </c>
    </row>
    <row r="321" spans="1:8" x14ac:dyDescent="0.3">
      <c r="A321" s="391">
        <v>3</v>
      </c>
      <c r="B321" s="391">
        <v>36</v>
      </c>
      <c r="C321" s="391">
        <v>4</v>
      </c>
      <c r="D321" s="391">
        <v>3</v>
      </c>
      <c r="E321" s="392">
        <f ca="1">OFFSET('Report &amp; Lookup Table'!$C$5,MATCH(SLRatio!B321,'Report &amp; Lookup Table'!$C$6:$C$45,0),MATCH(SLRatio!D321,'Report &amp; Lookup Table'!$D$5:$G$5,0))</f>
        <v>0.68549975534279028</v>
      </c>
      <c r="F321" s="391">
        <v>1.3864300606718001</v>
      </c>
      <c r="G321" s="393">
        <v>42772.583182870374</v>
      </c>
      <c r="H321" s="394" t="s">
        <v>499</v>
      </c>
    </row>
    <row r="322" spans="1:8" x14ac:dyDescent="0.3">
      <c r="A322" s="391">
        <v>3</v>
      </c>
      <c r="B322" s="391">
        <v>36</v>
      </c>
      <c r="C322" s="391">
        <v>4</v>
      </c>
      <c r="D322" s="391">
        <v>4</v>
      </c>
      <c r="E322" s="392">
        <f ca="1">OFFSET('Report &amp; Lookup Table'!$C$5,MATCH(SLRatio!B322,'Report &amp; Lookup Table'!$C$6:$C$45,0),MATCH(SLRatio!D322,'Report &amp; Lookup Table'!$D$5:$G$5,0))</f>
        <v>0.24636245473653143</v>
      </c>
      <c r="F322" s="391">
        <v>3.4353690194325401</v>
      </c>
      <c r="G322" s="393">
        <v>42772.583182870374</v>
      </c>
      <c r="H322" s="394" t="s">
        <v>499</v>
      </c>
    </row>
    <row r="323" spans="1:8" x14ac:dyDescent="0.3">
      <c r="A323" s="391">
        <v>3</v>
      </c>
      <c r="B323" s="391">
        <v>36</v>
      </c>
      <c r="C323" s="391">
        <v>5</v>
      </c>
      <c r="D323" s="391">
        <v>1</v>
      </c>
      <c r="E323" s="392">
        <f ca="1">OFFSET('Report &amp; Lookup Table'!$C$5,MATCH(SLRatio!B323,'Report &amp; Lookup Table'!$C$6:$C$45,0),MATCH(SLRatio!D323,'Report &amp; Lookup Table'!$D$5:$G$5,0))</f>
        <v>0.24636245473653143</v>
      </c>
      <c r="F323" s="391">
        <v>5.0127174168647102</v>
      </c>
      <c r="G323" s="393">
        <v>42772.583182870374</v>
      </c>
      <c r="H323" s="394" t="s">
        <v>499</v>
      </c>
    </row>
    <row r="324" spans="1:8" x14ac:dyDescent="0.3">
      <c r="A324" s="391">
        <v>3</v>
      </c>
      <c r="B324" s="391">
        <v>36</v>
      </c>
      <c r="C324" s="391">
        <v>5</v>
      </c>
      <c r="D324" s="391">
        <v>3</v>
      </c>
      <c r="E324" s="392">
        <f ca="1">OFFSET('Report &amp; Lookup Table'!$C$5,MATCH(SLRatio!B324,'Report &amp; Lookup Table'!$C$6:$C$45,0),MATCH(SLRatio!D324,'Report &amp; Lookup Table'!$D$5:$G$5,0))</f>
        <v>0.68549975534279028</v>
      </c>
      <c r="F324" s="391">
        <v>1.3864300606718001</v>
      </c>
      <c r="G324" s="393">
        <v>42772.583182870374</v>
      </c>
      <c r="H324" s="394" t="s">
        <v>499</v>
      </c>
    </row>
    <row r="325" spans="1:8" x14ac:dyDescent="0.3">
      <c r="A325" s="391">
        <v>3</v>
      </c>
      <c r="B325" s="391">
        <v>36</v>
      </c>
      <c r="C325" s="391">
        <v>5</v>
      </c>
      <c r="D325" s="391">
        <v>4</v>
      </c>
      <c r="E325" s="392">
        <f ca="1">OFFSET('Report &amp; Lookup Table'!$C$5,MATCH(SLRatio!B325,'Report &amp; Lookup Table'!$C$6:$C$45,0),MATCH(SLRatio!D325,'Report &amp; Lookup Table'!$D$5:$G$5,0))</f>
        <v>0.24636245473653143</v>
      </c>
      <c r="F325" s="391">
        <v>3.4353690194325401</v>
      </c>
      <c r="G325" s="393">
        <v>42772.583182870374</v>
      </c>
      <c r="H325" s="394" t="s">
        <v>499</v>
      </c>
    </row>
    <row r="326" spans="1:8" x14ac:dyDescent="0.3">
      <c r="A326" s="391">
        <v>3</v>
      </c>
      <c r="B326" s="391">
        <v>41</v>
      </c>
      <c r="C326" s="391">
        <v>2</v>
      </c>
      <c r="D326" s="391">
        <v>1</v>
      </c>
      <c r="E326" s="392">
        <f ca="1">OFFSET('Report &amp; Lookup Table'!$C$5,MATCH(SLRatio!B326,'Report &amp; Lookup Table'!$C$6:$C$45,0),MATCH(SLRatio!D326,'Report &amp; Lookup Table'!$D$5:$G$5,0))</f>
        <v>2.1848404323313404</v>
      </c>
      <c r="F326" s="391">
        <v>1</v>
      </c>
      <c r="G326" s="393">
        <v>42772</v>
      </c>
      <c r="H326" s="394" t="s">
        <v>499</v>
      </c>
    </row>
    <row r="327" spans="1:8" x14ac:dyDescent="0.3">
      <c r="A327" s="391">
        <v>3</v>
      </c>
      <c r="B327" s="391">
        <v>41</v>
      </c>
      <c r="C327" s="391">
        <v>2</v>
      </c>
      <c r="D327" s="391">
        <v>2</v>
      </c>
      <c r="E327" s="392">
        <f ca="1">OFFSET('Report &amp; Lookup Table'!$C$5,MATCH(SLRatio!B327,'Report &amp; Lookup Table'!$C$6:$C$45,0),MATCH(SLRatio!D327,'Report &amp; Lookup Table'!$D$5:$G$5,0))</f>
        <v>0.82577718446872816</v>
      </c>
      <c r="F327" s="391">
        <v>1</v>
      </c>
      <c r="G327" s="393">
        <v>42772</v>
      </c>
      <c r="H327" s="394" t="s">
        <v>499</v>
      </c>
    </row>
    <row r="328" spans="1:8" x14ac:dyDescent="0.3">
      <c r="A328" s="391">
        <v>3</v>
      </c>
      <c r="B328" s="391">
        <v>41</v>
      </c>
      <c r="C328" s="391">
        <v>2</v>
      </c>
      <c r="D328" s="391">
        <v>3</v>
      </c>
      <c r="E328" s="392">
        <f ca="1">OFFSET('Report &amp; Lookup Table'!$C$5,MATCH(SLRatio!B328,'Report &amp; Lookup Table'!$C$6:$C$45,0),MATCH(SLRatio!D328,'Report &amp; Lookup Table'!$D$5:$G$5,0))</f>
        <v>0.82577718446872816</v>
      </c>
      <c r="F328" s="391">
        <v>1</v>
      </c>
      <c r="G328" s="393">
        <v>42772</v>
      </c>
      <c r="H328" s="394" t="s">
        <v>499</v>
      </c>
    </row>
    <row r="329" spans="1:8" x14ac:dyDescent="0.3">
      <c r="A329" s="391">
        <v>3</v>
      </c>
      <c r="B329" s="391">
        <v>41</v>
      </c>
      <c r="C329" s="391">
        <v>2</v>
      </c>
      <c r="D329" s="391">
        <v>4</v>
      </c>
      <c r="E329" s="392">
        <f ca="1">OFFSET('Report &amp; Lookup Table'!$C$5,MATCH(SLRatio!B329,'Report &amp; Lookup Table'!$C$6:$C$45,0),MATCH(SLRatio!D329,'Report &amp; Lookup Table'!$D$5:$G$5,0))</f>
        <v>2.1848404323313404</v>
      </c>
      <c r="F329" s="391">
        <v>1</v>
      </c>
      <c r="G329" s="393">
        <v>42772</v>
      </c>
      <c r="H329" s="394" t="s">
        <v>499</v>
      </c>
    </row>
    <row r="330" spans="1:8" x14ac:dyDescent="0.3">
      <c r="A330" s="391">
        <v>3</v>
      </c>
      <c r="B330" s="391">
        <v>41</v>
      </c>
      <c r="C330" s="391">
        <f>C326+1</f>
        <v>3</v>
      </c>
      <c r="D330" s="391">
        <f>D326</f>
        <v>1</v>
      </c>
      <c r="E330" s="392">
        <f ca="1">OFFSET('Report &amp; Lookup Table'!$C$5,MATCH(SLRatio!B330,'Report &amp; Lookup Table'!$C$6:$C$45,0),MATCH(SLRatio!D330,'Report &amp; Lookup Table'!$D$5:$G$5,0))</f>
        <v>2.1848404323313404</v>
      </c>
      <c r="F330" s="391">
        <v>1</v>
      </c>
      <c r="G330" s="393">
        <v>42772</v>
      </c>
      <c r="H330" s="394" t="s">
        <v>499</v>
      </c>
    </row>
    <row r="331" spans="1:8" x14ac:dyDescent="0.3">
      <c r="A331" s="391">
        <v>3</v>
      </c>
      <c r="B331" s="391">
        <v>41</v>
      </c>
      <c r="C331" s="391">
        <f t="shared" ref="C331:C341" si="48">C327+1</f>
        <v>3</v>
      </c>
      <c r="D331" s="391">
        <f t="shared" ref="D331:D341" si="49">D327</f>
        <v>2</v>
      </c>
      <c r="E331" s="392">
        <f ca="1">OFFSET('Report &amp; Lookup Table'!$C$5,MATCH(SLRatio!B331,'Report &amp; Lookup Table'!$C$6:$C$45,0),MATCH(SLRatio!D331,'Report &amp; Lookup Table'!$D$5:$G$5,0))</f>
        <v>0.82577718446872816</v>
      </c>
      <c r="F331" s="391">
        <v>1</v>
      </c>
      <c r="G331" s="393">
        <v>42772</v>
      </c>
      <c r="H331" s="394" t="s">
        <v>499</v>
      </c>
    </row>
    <row r="332" spans="1:8" x14ac:dyDescent="0.3">
      <c r="A332" s="391">
        <v>3</v>
      </c>
      <c r="B332" s="391">
        <v>41</v>
      </c>
      <c r="C332" s="391">
        <f t="shared" si="48"/>
        <v>3</v>
      </c>
      <c r="D332" s="391">
        <f t="shared" si="49"/>
        <v>3</v>
      </c>
      <c r="E332" s="392">
        <f ca="1">OFFSET('Report &amp; Lookup Table'!$C$5,MATCH(SLRatio!B332,'Report &amp; Lookup Table'!$C$6:$C$45,0),MATCH(SLRatio!D332,'Report &amp; Lookup Table'!$D$5:$G$5,0))</f>
        <v>0.82577718446872816</v>
      </c>
      <c r="F332" s="391">
        <v>1</v>
      </c>
      <c r="G332" s="393">
        <v>42772</v>
      </c>
      <c r="H332" s="394" t="s">
        <v>499</v>
      </c>
    </row>
    <row r="333" spans="1:8" x14ac:dyDescent="0.3">
      <c r="A333" s="391">
        <v>3</v>
      </c>
      <c r="B333" s="391">
        <v>41</v>
      </c>
      <c r="C333" s="391">
        <f t="shared" si="48"/>
        <v>3</v>
      </c>
      <c r="D333" s="391">
        <f t="shared" si="49"/>
        <v>4</v>
      </c>
      <c r="E333" s="392">
        <f ca="1">OFFSET('Report &amp; Lookup Table'!$C$5,MATCH(SLRatio!B333,'Report &amp; Lookup Table'!$C$6:$C$45,0),MATCH(SLRatio!D333,'Report &amp; Lookup Table'!$D$5:$G$5,0))</f>
        <v>2.1848404323313404</v>
      </c>
      <c r="F333" s="391">
        <v>1</v>
      </c>
      <c r="G333" s="393">
        <v>42772</v>
      </c>
      <c r="H333" s="394" t="s">
        <v>499</v>
      </c>
    </row>
    <row r="334" spans="1:8" x14ac:dyDescent="0.3">
      <c r="A334" s="391">
        <v>3</v>
      </c>
      <c r="B334" s="391">
        <v>41</v>
      </c>
      <c r="C334" s="391">
        <f t="shared" si="48"/>
        <v>4</v>
      </c>
      <c r="D334" s="391">
        <f t="shared" si="49"/>
        <v>1</v>
      </c>
      <c r="E334" s="392">
        <f ca="1">OFFSET('Report &amp; Lookup Table'!$C$5,MATCH(SLRatio!B334,'Report &amp; Lookup Table'!$C$6:$C$45,0),MATCH(SLRatio!D334,'Report &amp; Lookup Table'!$D$5:$G$5,0))</f>
        <v>2.1848404323313404</v>
      </c>
      <c r="F334" s="391">
        <v>1</v>
      </c>
      <c r="G334" s="393">
        <v>42772</v>
      </c>
      <c r="H334" s="394" t="s">
        <v>499</v>
      </c>
    </row>
    <row r="335" spans="1:8" x14ac:dyDescent="0.3">
      <c r="A335" s="391">
        <v>3</v>
      </c>
      <c r="B335" s="391">
        <v>41</v>
      </c>
      <c r="C335" s="391">
        <f t="shared" si="48"/>
        <v>4</v>
      </c>
      <c r="D335" s="391">
        <f t="shared" si="49"/>
        <v>2</v>
      </c>
      <c r="E335" s="392">
        <f ca="1">OFFSET('Report &amp; Lookup Table'!$C$5,MATCH(SLRatio!B335,'Report &amp; Lookup Table'!$C$6:$C$45,0),MATCH(SLRatio!D335,'Report &amp; Lookup Table'!$D$5:$G$5,0))</f>
        <v>0.82577718446872816</v>
      </c>
      <c r="F335" s="391">
        <v>1</v>
      </c>
      <c r="G335" s="393">
        <v>42772</v>
      </c>
      <c r="H335" s="394" t="s">
        <v>499</v>
      </c>
    </row>
    <row r="336" spans="1:8" x14ac:dyDescent="0.3">
      <c r="A336" s="391">
        <v>3</v>
      </c>
      <c r="B336" s="391">
        <v>41</v>
      </c>
      <c r="C336" s="391">
        <f t="shared" si="48"/>
        <v>4</v>
      </c>
      <c r="D336" s="391">
        <f t="shared" si="49"/>
        <v>3</v>
      </c>
      <c r="E336" s="392">
        <f ca="1">OFFSET('Report &amp; Lookup Table'!$C$5,MATCH(SLRatio!B336,'Report &amp; Lookup Table'!$C$6:$C$45,0),MATCH(SLRatio!D336,'Report &amp; Lookup Table'!$D$5:$G$5,0))</f>
        <v>0.82577718446872816</v>
      </c>
      <c r="F336" s="391">
        <v>1</v>
      </c>
      <c r="G336" s="393">
        <v>42772</v>
      </c>
      <c r="H336" s="394" t="s">
        <v>499</v>
      </c>
    </row>
    <row r="337" spans="1:8" x14ac:dyDescent="0.3">
      <c r="A337" s="391">
        <v>3</v>
      </c>
      <c r="B337" s="391">
        <v>41</v>
      </c>
      <c r="C337" s="391">
        <f t="shared" si="48"/>
        <v>4</v>
      </c>
      <c r="D337" s="391">
        <f t="shared" si="49"/>
        <v>4</v>
      </c>
      <c r="E337" s="392">
        <f ca="1">OFFSET('Report &amp; Lookup Table'!$C$5,MATCH(SLRatio!B337,'Report &amp; Lookup Table'!$C$6:$C$45,0),MATCH(SLRatio!D337,'Report &amp; Lookup Table'!$D$5:$G$5,0))</f>
        <v>2.1848404323313404</v>
      </c>
      <c r="F337" s="391">
        <v>1</v>
      </c>
      <c r="G337" s="393">
        <v>42772</v>
      </c>
      <c r="H337" s="394" t="s">
        <v>499</v>
      </c>
    </row>
    <row r="338" spans="1:8" x14ac:dyDescent="0.3">
      <c r="A338" s="391">
        <v>3</v>
      </c>
      <c r="B338" s="391">
        <v>41</v>
      </c>
      <c r="C338" s="391">
        <f t="shared" si="48"/>
        <v>5</v>
      </c>
      <c r="D338" s="391">
        <f t="shared" si="49"/>
        <v>1</v>
      </c>
      <c r="E338" s="392">
        <f ca="1">OFFSET('Report &amp; Lookup Table'!$C$5,MATCH(SLRatio!B338,'Report &amp; Lookup Table'!$C$6:$C$45,0),MATCH(SLRatio!D338,'Report &amp; Lookup Table'!$D$5:$G$5,0))</f>
        <v>2.1848404323313404</v>
      </c>
      <c r="F338" s="391">
        <v>1</v>
      </c>
      <c r="G338" s="393">
        <v>42772</v>
      </c>
      <c r="H338" s="394" t="s">
        <v>499</v>
      </c>
    </row>
    <row r="339" spans="1:8" x14ac:dyDescent="0.3">
      <c r="A339" s="391">
        <v>3</v>
      </c>
      <c r="B339" s="391">
        <v>41</v>
      </c>
      <c r="C339" s="391">
        <f t="shared" si="48"/>
        <v>5</v>
      </c>
      <c r="D339" s="391">
        <f t="shared" si="49"/>
        <v>2</v>
      </c>
      <c r="E339" s="392">
        <f ca="1">OFFSET('Report &amp; Lookup Table'!$C$5,MATCH(SLRatio!B339,'Report &amp; Lookup Table'!$C$6:$C$45,0),MATCH(SLRatio!D339,'Report &amp; Lookup Table'!$D$5:$G$5,0))</f>
        <v>0.82577718446872816</v>
      </c>
      <c r="F339" s="391">
        <v>1</v>
      </c>
      <c r="G339" s="393">
        <v>42772</v>
      </c>
      <c r="H339" s="394" t="s">
        <v>499</v>
      </c>
    </row>
    <row r="340" spans="1:8" x14ac:dyDescent="0.3">
      <c r="A340" s="391">
        <v>3</v>
      </c>
      <c r="B340" s="391">
        <v>41</v>
      </c>
      <c r="C340" s="391">
        <f t="shared" si="48"/>
        <v>5</v>
      </c>
      <c r="D340" s="391">
        <f t="shared" si="49"/>
        <v>3</v>
      </c>
      <c r="E340" s="392">
        <f ca="1">OFFSET('Report &amp; Lookup Table'!$C$5,MATCH(SLRatio!B340,'Report &amp; Lookup Table'!$C$6:$C$45,0),MATCH(SLRatio!D340,'Report &amp; Lookup Table'!$D$5:$G$5,0))</f>
        <v>0.82577718446872816</v>
      </c>
      <c r="F340" s="391">
        <v>1</v>
      </c>
      <c r="G340" s="393">
        <v>42772</v>
      </c>
      <c r="H340" s="394" t="s">
        <v>499</v>
      </c>
    </row>
    <row r="341" spans="1:8" x14ac:dyDescent="0.3">
      <c r="A341" s="391">
        <v>3</v>
      </c>
      <c r="B341" s="391">
        <v>41</v>
      </c>
      <c r="C341" s="391">
        <f t="shared" si="48"/>
        <v>5</v>
      </c>
      <c r="D341" s="391">
        <f t="shared" si="49"/>
        <v>4</v>
      </c>
      <c r="E341" s="392">
        <f ca="1">OFFSET('Report &amp; Lookup Table'!$C$5,MATCH(SLRatio!B341,'Report &amp; Lookup Table'!$C$6:$C$45,0),MATCH(SLRatio!D341,'Report &amp; Lookup Table'!$D$5:$G$5,0))</f>
        <v>2.1848404323313404</v>
      </c>
      <c r="F341" s="391">
        <v>1</v>
      </c>
      <c r="G341" s="393">
        <v>42772</v>
      </c>
      <c r="H341" s="394" t="s">
        <v>499</v>
      </c>
    </row>
    <row r="342" spans="1:8" x14ac:dyDescent="0.3">
      <c r="A342" s="391">
        <v>3</v>
      </c>
      <c r="B342" s="391">
        <v>42</v>
      </c>
      <c r="C342" s="391">
        <v>2</v>
      </c>
      <c r="D342" s="391">
        <v>1</v>
      </c>
      <c r="E342" s="392">
        <f ca="1">OFFSET('Report &amp; Lookup Table'!$C$5,MATCH(SLRatio!B342,'Report &amp; Lookup Table'!$C$6:$C$45,0),MATCH(SLRatio!D342,'Report &amp; Lookup Table'!$D$5:$G$5,0))</f>
        <v>2.1848404323313404</v>
      </c>
      <c r="F342" s="391">
        <v>1.2594350015517</v>
      </c>
      <c r="G342" s="393">
        <v>42772.583182870374</v>
      </c>
      <c r="H342" s="394" t="s">
        <v>499</v>
      </c>
    </row>
    <row r="343" spans="1:8" x14ac:dyDescent="0.3">
      <c r="A343" s="391">
        <v>3</v>
      </c>
      <c r="B343" s="391">
        <v>42</v>
      </c>
      <c r="C343" s="391">
        <v>2</v>
      </c>
      <c r="D343" s="391">
        <v>3</v>
      </c>
      <c r="E343" s="392">
        <f ca="1">OFFSET('Report &amp; Lookup Table'!$C$5,MATCH(SLRatio!B343,'Report &amp; Lookup Table'!$C$6:$C$45,0),MATCH(SLRatio!D343,'Report &amp; Lookup Table'!$D$5:$G$5,0))</f>
        <v>0.82577718446872816</v>
      </c>
      <c r="F343" s="391">
        <v>0.81691786531487498</v>
      </c>
      <c r="G343" s="393">
        <v>42772.583182870374</v>
      </c>
      <c r="H343" s="394" t="s">
        <v>499</v>
      </c>
    </row>
    <row r="344" spans="1:8" x14ac:dyDescent="0.3">
      <c r="A344" s="391">
        <v>3</v>
      </c>
      <c r="B344" s="391">
        <v>42</v>
      </c>
      <c r="C344" s="391">
        <v>2</v>
      </c>
      <c r="D344" s="391">
        <v>4</v>
      </c>
      <c r="E344" s="392">
        <f ca="1">OFFSET('Report &amp; Lookup Table'!$C$5,MATCH(SLRatio!B344,'Report &amp; Lookup Table'!$C$6:$C$45,0),MATCH(SLRatio!D344,'Report &amp; Lookup Table'!$D$5:$G$5,0))</f>
        <v>2.1848404323313404</v>
      </c>
      <c r="F344" s="391">
        <v>0.86125596818877304</v>
      </c>
      <c r="G344" s="393">
        <v>42772.583182870374</v>
      </c>
      <c r="H344" s="394" t="s">
        <v>499</v>
      </c>
    </row>
    <row r="345" spans="1:8" x14ac:dyDescent="0.3">
      <c r="A345" s="391">
        <v>3</v>
      </c>
      <c r="B345" s="391">
        <v>42</v>
      </c>
      <c r="C345" s="391">
        <v>3</v>
      </c>
      <c r="D345" s="391">
        <v>1</v>
      </c>
      <c r="E345" s="392">
        <f ca="1">OFFSET('Report &amp; Lookup Table'!$C$5,MATCH(SLRatio!B345,'Report &amp; Lookup Table'!$C$6:$C$45,0),MATCH(SLRatio!D345,'Report &amp; Lookup Table'!$D$5:$G$5,0))</f>
        <v>2.1848404323313404</v>
      </c>
      <c r="F345" s="391">
        <v>1.2594350015517</v>
      </c>
      <c r="G345" s="393">
        <v>42772.583182870374</v>
      </c>
      <c r="H345" s="394" t="s">
        <v>499</v>
      </c>
    </row>
    <row r="346" spans="1:8" x14ac:dyDescent="0.3">
      <c r="A346" s="391">
        <v>3</v>
      </c>
      <c r="B346" s="391">
        <v>42</v>
      </c>
      <c r="C346" s="391">
        <v>3</v>
      </c>
      <c r="D346" s="391">
        <v>3</v>
      </c>
      <c r="E346" s="392">
        <f ca="1">OFFSET('Report &amp; Lookup Table'!$C$5,MATCH(SLRatio!B346,'Report &amp; Lookup Table'!$C$6:$C$45,0),MATCH(SLRatio!D346,'Report &amp; Lookup Table'!$D$5:$G$5,0))</f>
        <v>0.82577718446872816</v>
      </c>
      <c r="F346" s="391">
        <v>0.81691786531487498</v>
      </c>
      <c r="G346" s="393">
        <v>42772.583182870374</v>
      </c>
      <c r="H346" s="394" t="s">
        <v>499</v>
      </c>
    </row>
    <row r="347" spans="1:8" x14ac:dyDescent="0.3">
      <c r="A347" s="391">
        <v>3</v>
      </c>
      <c r="B347" s="391">
        <v>42</v>
      </c>
      <c r="C347" s="391">
        <v>3</v>
      </c>
      <c r="D347" s="391">
        <v>4</v>
      </c>
      <c r="E347" s="392">
        <f ca="1">OFFSET('Report &amp; Lookup Table'!$C$5,MATCH(SLRatio!B347,'Report &amp; Lookup Table'!$C$6:$C$45,0),MATCH(SLRatio!D347,'Report &amp; Lookup Table'!$D$5:$G$5,0))</f>
        <v>2.1848404323313404</v>
      </c>
      <c r="F347" s="391">
        <v>0.86125596818877304</v>
      </c>
      <c r="G347" s="393">
        <v>42772.583182870374</v>
      </c>
      <c r="H347" s="394" t="s">
        <v>499</v>
      </c>
    </row>
    <row r="348" spans="1:8" x14ac:dyDescent="0.3">
      <c r="A348" s="391">
        <v>3</v>
      </c>
      <c r="B348" s="391">
        <v>42</v>
      </c>
      <c r="C348" s="391">
        <v>4</v>
      </c>
      <c r="D348" s="391">
        <v>1</v>
      </c>
      <c r="E348" s="392">
        <f ca="1">OFFSET('Report &amp; Lookup Table'!$C$5,MATCH(SLRatio!B348,'Report &amp; Lookup Table'!$C$6:$C$45,0),MATCH(SLRatio!D348,'Report &amp; Lookup Table'!$D$5:$G$5,0))</f>
        <v>2.1848404323313404</v>
      </c>
      <c r="F348" s="391">
        <v>1.2594350015517</v>
      </c>
      <c r="G348" s="393">
        <v>42772.583182870374</v>
      </c>
      <c r="H348" s="394" t="s">
        <v>499</v>
      </c>
    </row>
    <row r="349" spans="1:8" x14ac:dyDescent="0.3">
      <c r="A349" s="391">
        <v>3</v>
      </c>
      <c r="B349" s="391">
        <v>42</v>
      </c>
      <c r="C349" s="391">
        <v>4</v>
      </c>
      <c r="D349" s="391">
        <v>3</v>
      </c>
      <c r="E349" s="392">
        <f ca="1">OFFSET('Report &amp; Lookup Table'!$C$5,MATCH(SLRatio!B349,'Report &amp; Lookup Table'!$C$6:$C$45,0),MATCH(SLRatio!D349,'Report &amp; Lookup Table'!$D$5:$G$5,0))</f>
        <v>0.82577718446872816</v>
      </c>
      <c r="F349" s="391">
        <v>0.81691786531487498</v>
      </c>
      <c r="G349" s="393">
        <v>42772.583182870374</v>
      </c>
      <c r="H349" s="394" t="s">
        <v>499</v>
      </c>
    </row>
    <row r="350" spans="1:8" x14ac:dyDescent="0.3">
      <c r="A350" s="391">
        <v>3</v>
      </c>
      <c r="B350" s="391">
        <v>42</v>
      </c>
      <c r="C350" s="391">
        <v>4</v>
      </c>
      <c r="D350" s="391">
        <v>4</v>
      </c>
      <c r="E350" s="392">
        <f ca="1">OFFSET('Report &amp; Lookup Table'!$C$5,MATCH(SLRatio!B350,'Report &amp; Lookup Table'!$C$6:$C$45,0),MATCH(SLRatio!D350,'Report &amp; Lookup Table'!$D$5:$G$5,0))</f>
        <v>2.1848404323313404</v>
      </c>
      <c r="F350" s="391">
        <v>0.86125596818877304</v>
      </c>
      <c r="G350" s="393">
        <v>42772.583182870374</v>
      </c>
      <c r="H350" s="394" t="s">
        <v>499</v>
      </c>
    </row>
    <row r="351" spans="1:8" x14ac:dyDescent="0.3">
      <c r="A351" s="391">
        <v>3</v>
      </c>
      <c r="B351" s="391">
        <v>42</v>
      </c>
      <c r="C351" s="391">
        <v>5</v>
      </c>
      <c r="D351" s="391">
        <v>1</v>
      </c>
      <c r="E351" s="392">
        <f ca="1">OFFSET('Report &amp; Lookup Table'!$C$5,MATCH(SLRatio!B351,'Report &amp; Lookup Table'!$C$6:$C$45,0),MATCH(SLRatio!D351,'Report &amp; Lookup Table'!$D$5:$G$5,0))</f>
        <v>2.1848404323313404</v>
      </c>
      <c r="F351" s="391">
        <v>1.2594350015517</v>
      </c>
      <c r="G351" s="393">
        <v>42772.583182870374</v>
      </c>
      <c r="H351" s="394" t="s">
        <v>499</v>
      </c>
    </row>
    <row r="352" spans="1:8" x14ac:dyDescent="0.3">
      <c r="A352" s="391">
        <v>3</v>
      </c>
      <c r="B352" s="391">
        <v>42</v>
      </c>
      <c r="C352" s="391">
        <v>5</v>
      </c>
      <c r="D352" s="391">
        <v>3</v>
      </c>
      <c r="E352" s="392">
        <f ca="1">OFFSET('Report &amp; Lookup Table'!$C$5,MATCH(SLRatio!B352,'Report &amp; Lookup Table'!$C$6:$C$45,0),MATCH(SLRatio!D352,'Report &amp; Lookup Table'!$D$5:$G$5,0))</f>
        <v>0.82577718446872816</v>
      </c>
      <c r="F352" s="391">
        <v>0.81691786531487498</v>
      </c>
      <c r="G352" s="393">
        <v>42772.583182870374</v>
      </c>
      <c r="H352" s="394" t="s">
        <v>499</v>
      </c>
    </row>
    <row r="353" spans="1:8" x14ac:dyDescent="0.3">
      <c r="A353" s="391">
        <v>3</v>
      </c>
      <c r="B353" s="391">
        <v>42</v>
      </c>
      <c r="C353" s="391">
        <v>5</v>
      </c>
      <c r="D353" s="391">
        <v>4</v>
      </c>
      <c r="E353" s="392">
        <f ca="1">OFFSET('Report &amp; Lookup Table'!$C$5,MATCH(SLRatio!B353,'Report &amp; Lookup Table'!$C$6:$C$45,0),MATCH(SLRatio!D353,'Report &amp; Lookup Table'!$D$5:$G$5,0))</f>
        <v>2.1848404323313404</v>
      </c>
      <c r="F353" s="391">
        <v>0.86125596818877304</v>
      </c>
      <c r="G353" s="393">
        <v>42772.583182870374</v>
      </c>
      <c r="H353" s="394" t="s">
        <v>499</v>
      </c>
    </row>
    <row r="354" spans="1:8" x14ac:dyDescent="0.3">
      <c r="A354" s="391">
        <v>3</v>
      </c>
      <c r="B354" s="391">
        <v>45</v>
      </c>
      <c r="C354" s="391">
        <v>2</v>
      </c>
      <c r="D354" s="391">
        <v>1</v>
      </c>
      <c r="E354" s="392">
        <f ca="1">OFFSET('Report &amp; Lookup Table'!$C$5,MATCH(SLRatio!B354,'Report &amp; Lookup Table'!$C$6:$C$45,0),MATCH(SLRatio!D354,'Report &amp; Lookup Table'!$D$5:$G$5,0))</f>
        <v>2.3938508496643425</v>
      </c>
      <c r="F354" s="391">
        <v>3.5355668809046801</v>
      </c>
      <c r="G354" s="393">
        <v>42772.583182870374</v>
      </c>
      <c r="H354" s="394" t="s">
        <v>499</v>
      </c>
    </row>
    <row r="355" spans="1:8" x14ac:dyDescent="0.3">
      <c r="A355" s="391">
        <v>3</v>
      </c>
      <c r="B355" s="391">
        <v>45</v>
      </c>
      <c r="C355" s="391">
        <v>2</v>
      </c>
      <c r="D355" s="391">
        <v>3</v>
      </c>
      <c r="E355" s="392">
        <f ca="1">OFFSET('Report &amp; Lookup Table'!$C$5,MATCH(SLRatio!B355,'Report &amp; Lookup Table'!$C$6:$C$45,0),MATCH(SLRatio!D355,'Report &amp; Lookup Table'!$D$5:$G$5,0))</f>
        <v>0.5211750872572618</v>
      </c>
      <c r="F355" s="391">
        <v>1</v>
      </c>
      <c r="G355" s="393">
        <v>42773</v>
      </c>
      <c r="H355" s="394" t="s">
        <v>499</v>
      </c>
    </row>
    <row r="356" spans="1:8" x14ac:dyDescent="0.3">
      <c r="A356" s="391">
        <v>3</v>
      </c>
      <c r="B356" s="391">
        <v>45</v>
      </c>
      <c r="C356" s="391">
        <v>2</v>
      </c>
      <c r="D356" s="391">
        <v>4</v>
      </c>
      <c r="E356" s="392">
        <f ca="1">OFFSET('Report &amp; Lookup Table'!$C$5,MATCH(SLRatio!B356,'Report &amp; Lookup Table'!$C$6:$C$45,0),MATCH(SLRatio!D356,'Report &amp; Lookup Table'!$D$5:$G$5,0))</f>
        <v>2.3938508496643425</v>
      </c>
      <c r="F356" s="391">
        <v>2.57712177997097</v>
      </c>
      <c r="G356" s="393">
        <v>42774</v>
      </c>
      <c r="H356" s="394" t="s">
        <v>499</v>
      </c>
    </row>
    <row r="357" spans="1:8" x14ac:dyDescent="0.3">
      <c r="A357" s="391">
        <v>3</v>
      </c>
      <c r="B357" s="391">
        <v>45</v>
      </c>
      <c r="C357" s="391">
        <v>3</v>
      </c>
      <c r="D357" s="391">
        <v>1</v>
      </c>
      <c r="E357" s="392">
        <f ca="1">OFFSET('Report &amp; Lookup Table'!$C$5,MATCH(SLRatio!B357,'Report &amp; Lookup Table'!$C$6:$C$45,0),MATCH(SLRatio!D357,'Report &amp; Lookup Table'!$D$5:$G$5,0))</f>
        <v>2.3938508496643425</v>
      </c>
      <c r="F357" s="391">
        <v>3.5355668809046801</v>
      </c>
      <c r="G357" s="393">
        <v>42775</v>
      </c>
      <c r="H357" s="394" t="s">
        <v>499</v>
      </c>
    </row>
    <row r="358" spans="1:8" x14ac:dyDescent="0.3">
      <c r="A358" s="391">
        <v>3</v>
      </c>
      <c r="B358" s="391">
        <v>45</v>
      </c>
      <c r="C358" s="391">
        <v>3</v>
      </c>
      <c r="D358" s="391">
        <v>3</v>
      </c>
      <c r="E358" s="392">
        <f ca="1">OFFSET('Report &amp; Lookup Table'!$C$5,MATCH(SLRatio!B358,'Report &amp; Lookup Table'!$C$6:$C$45,0),MATCH(SLRatio!D358,'Report &amp; Lookup Table'!$D$5:$G$5,0))</f>
        <v>0.5211750872572618</v>
      </c>
      <c r="F358" s="391">
        <v>1</v>
      </c>
      <c r="G358" s="393">
        <v>42776</v>
      </c>
      <c r="H358" s="394" t="s">
        <v>499</v>
      </c>
    </row>
    <row r="359" spans="1:8" x14ac:dyDescent="0.3">
      <c r="A359" s="391">
        <v>3</v>
      </c>
      <c r="B359" s="391">
        <v>45</v>
      </c>
      <c r="C359" s="391">
        <v>3</v>
      </c>
      <c r="D359" s="391">
        <v>4</v>
      </c>
      <c r="E359" s="392">
        <f ca="1">OFFSET('Report &amp; Lookup Table'!$C$5,MATCH(SLRatio!B359,'Report &amp; Lookup Table'!$C$6:$C$45,0),MATCH(SLRatio!D359,'Report &amp; Lookup Table'!$D$5:$G$5,0))</f>
        <v>2.3938508496643425</v>
      </c>
      <c r="F359" s="391">
        <v>2.57712177997097</v>
      </c>
      <c r="G359" s="393">
        <v>42777</v>
      </c>
      <c r="H359" s="394" t="s">
        <v>499</v>
      </c>
    </row>
    <row r="360" spans="1:8" x14ac:dyDescent="0.3">
      <c r="A360" s="391">
        <v>3</v>
      </c>
      <c r="B360" s="391">
        <v>45</v>
      </c>
      <c r="C360" s="391">
        <v>4</v>
      </c>
      <c r="D360" s="391">
        <v>1</v>
      </c>
      <c r="E360" s="392">
        <f ca="1">OFFSET('Report &amp; Lookup Table'!$C$5,MATCH(SLRatio!B360,'Report &amp; Lookup Table'!$C$6:$C$45,0),MATCH(SLRatio!D360,'Report &amp; Lookup Table'!$D$5:$G$5,0))</f>
        <v>2.3938508496643425</v>
      </c>
      <c r="F360" s="391">
        <v>3.5355668809046801</v>
      </c>
      <c r="G360" s="393">
        <v>42778</v>
      </c>
      <c r="H360" s="394" t="s">
        <v>499</v>
      </c>
    </row>
    <row r="361" spans="1:8" x14ac:dyDescent="0.3">
      <c r="A361" s="391">
        <v>3</v>
      </c>
      <c r="B361" s="391">
        <v>45</v>
      </c>
      <c r="C361" s="391">
        <v>4</v>
      </c>
      <c r="D361" s="391">
        <v>3</v>
      </c>
      <c r="E361" s="392">
        <f ca="1">OFFSET('Report &amp; Lookup Table'!$C$5,MATCH(SLRatio!B361,'Report &amp; Lookup Table'!$C$6:$C$45,0),MATCH(SLRatio!D361,'Report &amp; Lookup Table'!$D$5:$G$5,0))</f>
        <v>0.5211750872572618</v>
      </c>
      <c r="F361" s="391">
        <v>1</v>
      </c>
      <c r="G361" s="393">
        <v>42779</v>
      </c>
      <c r="H361" s="394" t="s">
        <v>499</v>
      </c>
    </row>
    <row r="362" spans="1:8" x14ac:dyDescent="0.3">
      <c r="A362" s="391">
        <v>3</v>
      </c>
      <c r="B362" s="391">
        <v>45</v>
      </c>
      <c r="C362" s="391">
        <v>4</v>
      </c>
      <c r="D362" s="391">
        <v>4</v>
      </c>
      <c r="E362" s="392">
        <f ca="1">OFFSET('Report &amp; Lookup Table'!$C$5,MATCH(SLRatio!B362,'Report &amp; Lookup Table'!$C$6:$C$45,0),MATCH(SLRatio!D362,'Report &amp; Lookup Table'!$D$5:$G$5,0))</f>
        <v>2.3938508496643425</v>
      </c>
      <c r="F362" s="391">
        <v>2.57712177997097</v>
      </c>
      <c r="G362" s="393">
        <v>42780</v>
      </c>
      <c r="H362" s="394" t="s">
        <v>499</v>
      </c>
    </row>
    <row r="363" spans="1:8" x14ac:dyDescent="0.3">
      <c r="A363" s="391">
        <v>3</v>
      </c>
      <c r="B363" s="391">
        <v>45</v>
      </c>
      <c r="C363" s="391">
        <v>5</v>
      </c>
      <c r="D363" s="391">
        <v>1</v>
      </c>
      <c r="E363" s="392">
        <f ca="1">OFFSET('Report &amp; Lookup Table'!$C$5,MATCH(SLRatio!B363,'Report &amp; Lookup Table'!$C$6:$C$45,0),MATCH(SLRatio!D363,'Report &amp; Lookup Table'!$D$5:$G$5,0))</f>
        <v>2.3938508496643425</v>
      </c>
      <c r="F363" s="391">
        <v>3.5355668809046801</v>
      </c>
      <c r="G363" s="393">
        <v>42781</v>
      </c>
      <c r="H363" s="394" t="s">
        <v>499</v>
      </c>
    </row>
    <row r="364" spans="1:8" x14ac:dyDescent="0.3">
      <c r="A364" s="391">
        <v>3</v>
      </c>
      <c r="B364" s="391">
        <v>45</v>
      </c>
      <c r="C364" s="391">
        <v>5</v>
      </c>
      <c r="D364" s="391">
        <v>3</v>
      </c>
      <c r="E364" s="392">
        <f ca="1">OFFSET('Report &amp; Lookup Table'!$C$5,MATCH(SLRatio!B364,'Report &amp; Lookup Table'!$C$6:$C$45,0),MATCH(SLRatio!D364,'Report &amp; Lookup Table'!$D$5:$G$5,0))</f>
        <v>0.5211750872572618</v>
      </c>
      <c r="F364" s="391">
        <v>1</v>
      </c>
      <c r="G364" s="393">
        <v>42782</v>
      </c>
      <c r="H364" s="394" t="s">
        <v>499</v>
      </c>
    </row>
    <row r="365" spans="1:8" x14ac:dyDescent="0.3">
      <c r="A365" s="391">
        <v>3</v>
      </c>
      <c r="B365" s="391">
        <v>45</v>
      </c>
      <c r="C365" s="391">
        <v>5</v>
      </c>
      <c r="D365" s="391">
        <v>4</v>
      </c>
      <c r="E365" s="392">
        <f ca="1">OFFSET('Report &amp; Lookup Table'!$C$5,MATCH(SLRatio!B365,'Report &amp; Lookup Table'!$C$6:$C$45,0),MATCH(SLRatio!D365,'Report &amp; Lookup Table'!$D$5:$G$5,0))</f>
        <v>2.3938508496643425</v>
      </c>
      <c r="F365" s="391">
        <v>2.57712177997097</v>
      </c>
      <c r="G365" s="393">
        <v>42772.583182870374</v>
      </c>
      <c r="H365" s="394" t="s">
        <v>499</v>
      </c>
    </row>
    <row r="366" spans="1:8" x14ac:dyDescent="0.3">
      <c r="A366" s="391">
        <v>3</v>
      </c>
      <c r="B366" s="391">
        <v>53</v>
      </c>
      <c r="C366" s="391">
        <v>2</v>
      </c>
      <c r="D366" s="391">
        <v>1</v>
      </c>
      <c r="E366" s="392">
        <f ca="1">OFFSET('Report &amp; Lookup Table'!$C$5,MATCH(SLRatio!B366,'Report &amp; Lookup Table'!$C$6:$C$45,0),MATCH(SLRatio!D366,'Report &amp; Lookup Table'!$D$5:$G$5,0))</f>
        <v>2.1821097407702887</v>
      </c>
      <c r="F366" s="391">
        <v>2.2620362139631802</v>
      </c>
      <c r="G366" s="393">
        <v>42772.583182870374</v>
      </c>
      <c r="H366" s="394" t="s">
        <v>499</v>
      </c>
    </row>
    <row r="367" spans="1:8" x14ac:dyDescent="0.3">
      <c r="A367" s="391">
        <v>3</v>
      </c>
      <c r="B367" s="391">
        <v>53</v>
      </c>
      <c r="C367" s="391">
        <v>2</v>
      </c>
      <c r="D367" s="391">
        <v>3</v>
      </c>
      <c r="E367" s="392">
        <f ca="1">OFFSET('Report &amp; Lookup Table'!$C$5,MATCH(SLRatio!B367,'Report &amp; Lookup Table'!$C$6:$C$45,0),MATCH(SLRatio!D367,'Report &amp; Lookup Table'!$D$5:$G$5,0))</f>
        <v>0.85870154039931701</v>
      </c>
      <c r="F367" s="391">
        <v>0.59522402581630596</v>
      </c>
      <c r="G367" s="393">
        <v>42772.583182870374</v>
      </c>
      <c r="H367" s="394" t="s">
        <v>499</v>
      </c>
    </row>
    <row r="368" spans="1:8" x14ac:dyDescent="0.3">
      <c r="A368" s="391">
        <v>3</v>
      </c>
      <c r="B368" s="391">
        <v>53</v>
      </c>
      <c r="C368" s="391">
        <v>2</v>
      </c>
      <c r="D368" s="391">
        <v>4</v>
      </c>
      <c r="E368" s="392">
        <f ca="1">OFFSET('Report &amp; Lookup Table'!$C$5,MATCH(SLRatio!B368,'Report &amp; Lookup Table'!$C$6:$C$45,0),MATCH(SLRatio!D368,'Report &amp; Lookup Table'!$D$5:$G$5,0))</f>
        <v>2.1821097407702887</v>
      </c>
      <c r="F368" s="391">
        <v>1.5062570905542401</v>
      </c>
      <c r="G368" s="393">
        <v>42772.583182870374</v>
      </c>
      <c r="H368" s="394" t="s">
        <v>499</v>
      </c>
    </row>
    <row r="369" spans="1:8" x14ac:dyDescent="0.3">
      <c r="A369" s="391">
        <v>3</v>
      </c>
      <c r="B369" s="391">
        <v>53</v>
      </c>
      <c r="C369" s="391">
        <v>3</v>
      </c>
      <c r="D369" s="391">
        <v>1</v>
      </c>
      <c r="E369" s="392">
        <f ca="1">OFFSET('Report &amp; Lookup Table'!$C$5,MATCH(SLRatio!B369,'Report &amp; Lookup Table'!$C$6:$C$45,0),MATCH(SLRatio!D369,'Report &amp; Lookup Table'!$D$5:$G$5,0))</f>
        <v>2.1821097407702887</v>
      </c>
      <c r="F369" s="391">
        <v>2.2620362139631802</v>
      </c>
      <c r="G369" s="393">
        <v>42772.583182870374</v>
      </c>
      <c r="H369" s="394" t="s">
        <v>499</v>
      </c>
    </row>
    <row r="370" spans="1:8" x14ac:dyDescent="0.3">
      <c r="A370" s="391">
        <v>3</v>
      </c>
      <c r="B370" s="391">
        <v>53</v>
      </c>
      <c r="C370" s="391">
        <v>3</v>
      </c>
      <c r="D370" s="391">
        <v>3</v>
      </c>
      <c r="E370" s="392">
        <f ca="1">OFFSET('Report &amp; Lookup Table'!$C$5,MATCH(SLRatio!B370,'Report &amp; Lookup Table'!$C$6:$C$45,0),MATCH(SLRatio!D370,'Report &amp; Lookup Table'!$D$5:$G$5,0))</f>
        <v>0.85870154039931701</v>
      </c>
      <c r="F370" s="391">
        <v>0.59522402581630596</v>
      </c>
      <c r="G370" s="393">
        <v>42772.583182870374</v>
      </c>
      <c r="H370" s="394" t="s">
        <v>499</v>
      </c>
    </row>
    <row r="371" spans="1:8" x14ac:dyDescent="0.3">
      <c r="A371" s="391">
        <v>3</v>
      </c>
      <c r="B371" s="391">
        <v>53</v>
      </c>
      <c r="C371" s="391">
        <v>3</v>
      </c>
      <c r="D371" s="391">
        <v>4</v>
      </c>
      <c r="E371" s="392">
        <f ca="1">OFFSET('Report &amp; Lookup Table'!$C$5,MATCH(SLRatio!B371,'Report &amp; Lookup Table'!$C$6:$C$45,0),MATCH(SLRatio!D371,'Report &amp; Lookup Table'!$D$5:$G$5,0))</f>
        <v>2.1821097407702887</v>
      </c>
      <c r="F371" s="391">
        <v>1.5062570905542401</v>
      </c>
      <c r="G371" s="393">
        <v>42772.583182870374</v>
      </c>
      <c r="H371" s="394" t="s">
        <v>499</v>
      </c>
    </row>
    <row r="372" spans="1:8" x14ac:dyDescent="0.3">
      <c r="A372" s="391">
        <v>3</v>
      </c>
      <c r="B372" s="391">
        <v>53</v>
      </c>
      <c r="C372" s="391">
        <v>4</v>
      </c>
      <c r="D372" s="391">
        <v>1</v>
      </c>
      <c r="E372" s="392">
        <f ca="1">OFFSET('Report &amp; Lookup Table'!$C$5,MATCH(SLRatio!B372,'Report &amp; Lookup Table'!$C$6:$C$45,0),MATCH(SLRatio!D372,'Report &amp; Lookup Table'!$D$5:$G$5,0))</f>
        <v>2.1821097407702887</v>
      </c>
      <c r="F372" s="391">
        <v>2.2620362139631802</v>
      </c>
      <c r="G372" s="393">
        <v>42772.583182870374</v>
      </c>
      <c r="H372" s="394" t="s">
        <v>499</v>
      </c>
    </row>
    <row r="373" spans="1:8" x14ac:dyDescent="0.3">
      <c r="A373" s="391">
        <v>3</v>
      </c>
      <c r="B373" s="391">
        <v>53</v>
      </c>
      <c r="C373" s="391">
        <v>4</v>
      </c>
      <c r="D373" s="391">
        <v>3</v>
      </c>
      <c r="E373" s="392">
        <f ca="1">OFFSET('Report &amp; Lookup Table'!$C$5,MATCH(SLRatio!B373,'Report &amp; Lookup Table'!$C$6:$C$45,0),MATCH(SLRatio!D373,'Report &amp; Lookup Table'!$D$5:$G$5,0))</f>
        <v>0.85870154039931701</v>
      </c>
      <c r="F373" s="391">
        <v>0.59522402581630596</v>
      </c>
      <c r="G373" s="393">
        <v>42772.583182870374</v>
      </c>
      <c r="H373" s="394" t="s">
        <v>499</v>
      </c>
    </row>
    <row r="374" spans="1:8" x14ac:dyDescent="0.3">
      <c r="A374" s="391">
        <v>3</v>
      </c>
      <c r="B374" s="391">
        <v>53</v>
      </c>
      <c r="C374" s="391">
        <v>4</v>
      </c>
      <c r="D374" s="391">
        <v>4</v>
      </c>
      <c r="E374" s="392">
        <f ca="1">OFFSET('Report &amp; Lookup Table'!$C$5,MATCH(SLRatio!B374,'Report &amp; Lookup Table'!$C$6:$C$45,0),MATCH(SLRatio!D374,'Report &amp; Lookup Table'!$D$5:$G$5,0))</f>
        <v>2.1821097407702887</v>
      </c>
      <c r="F374" s="391">
        <v>1.5062570905542401</v>
      </c>
      <c r="G374" s="393">
        <v>42772.583182870374</v>
      </c>
      <c r="H374" s="394" t="s">
        <v>499</v>
      </c>
    </row>
    <row r="375" spans="1:8" x14ac:dyDescent="0.3">
      <c r="A375" s="391">
        <v>3</v>
      </c>
      <c r="B375" s="391">
        <v>53</v>
      </c>
      <c r="C375" s="391">
        <v>5</v>
      </c>
      <c r="D375" s="391">
        <v>1</v>
      </c>
      <c r="E375" s="392">
        <f ca="1">OFFSET('Report &amp; Lookup Table'!$C$5,MATCH(SLRatio!B375,'Report &amp; Lookup Table'!$C$6:$C$45,0),MATCH(SLRatio!D375,'Report &amp; Lookup Table'!$D$5:$G$5,0))</f>
        <v>2.1821097407702887</v>
      </c>
      <c r="F375" s="391">
        <v>2.2620362139631802</v>
      </c>
      <c r="G375" s="393">
        <v>42772.583182870374</v>
      </c>
      <c r="H375" s="394" t="s">
        <v>499</v>
      </c>
    </row>
    <row r="376" spans="1:8" x14ac:dyDescent="0.3">
      <c r="A376" s="391">
        <v>3</v>
      </c>
      <c r="B376" s="391">
        <v>53</v>
      </c>
      <c r="C376" s="391">
        <v>5</v>
      </c>
      <c r="D376" s="391">
        <v>3</v>
      </c>
      <c r="E376" s="392">
        <f ca="1">OFFSET('Report &amp; Lookup Table'!$C$5,MATCH(SLRatio!B376,'Report &amp; Lookup Table'!$C$6:$C$45,0),MATCH(SLRatio!D376,'Report &amp; Lookup Table'!$D$5:$G$5,0))</f>
        <v>0.85870154039931701</v>
      </c>
      <c r="F376" s="391">
        <v>0.59522402581630596</v>
      </c>
      <c r="G376" s="393">
        <v>42772.583182870374</v>
      </c>
      <c r="H376" s="394" t="s">
        <v>499</v>
      </c>
    </row>
    <row r="377" spans="1:8" x14ac:dyDescent="0.3">
      <c r="A377" s="391">
        <v>3</v>
      </c>
      <c r="B377" s="391">
        <v>53</v>
      </c>
      <c r="C377" s="391">
        <v>5</v>
      </c>
      <c r="D377" s="391">
        <v>4</v>
      </c>
      <c r="E377" s="392">
        <f ca="1">OFFSET('Report &amp; Lookup Table'!$C$5,MATCH(SLRatio!B377,'Report &amp; Lookup Table'!$C$6:$C$45,0),MATCH(SLRatio!D377,'Report &amp; Lookup Table'!$D$5:$G$5,0))</f>
        <v>2.1821097407702887</v>
      </c>
      <c r="F377" s="391">
        <v>1.5062570905542401</v>
      </c>
      <c r="G377" s="393">
        <v>42772.583182870374</v>
      </c>
      <c r="H377" s="394" t="s">
        <v>499</v>
      </c>
    </row>
    <row r="378" spans="1:8" x14ac:dyDescent="0.3">
      <c r="A378" s="391">
        <v>3</v>
      </c>
      <c r="B378" s="391">
        <v>54</v>
      </c>
      <c r="C378" s="391">
        <v>2</v>
      </c>
      <c r="D378" s="391">
        <v>1</v>
      </c>
      <c r="E378" s="392">
        <f ca="1">OFFSET('Report &amp; Lookup Table'!$C$5,MATCH(SLRatio!B378,'Report &amp; Lookup Table'!$C$6:$C$45,0),MATCH(SLRatio!D378,'Report &amp; Lookup Table'!$D$5:$G$5,0))</f>
        <v>0.6140458307381863</v>
      </c>
      <c r="F378" s="391">
        <v>2.1526961664598199</v>
      </c>
      <c r="G378" s="393">
        <v>42772.583182870374</v>
      </c>
      <c r="H378" s="394" t="s">
        <v>499</v>
      </c>
    </row>
    <row r="379" spans="1:8" x14ac:dyDescent="0.3">
      <c r="A379" s="391">
        <v>3</v>
      </c>
      <c r="B379" s="391">
        <v>54</v>
      </c>
      <c r="C379" s="391">
        <v>2</v>
      </c>
      <c r="D379" s="391">
        <v>3</v>
      </c>
      <c r="E379" s="392">
        <f ca="1">OFFSET('Report &amp; Lookup Table'!$C$5,MATCH(SLRatio!B379,'Report &amp; Lookup Table'!$C$6:$C$45,0),MATCH(SLRatio!D379,'Report &amp; Lookup Table'!$D$5:$G$5,0))</f>
        <v>0.18364863411520668</v>
      </c>
      <c r="F379" s="391">
        <v>2.7477644381044799</v>
      </c>
      <c r="G379" s="393">
        <v>42772.583182870374</v>
      </c>
      <c r="H379" s="394" t="s">
        <v>499</v>
      </c>
    </row>
    <row r="380" spans="1:8" x14ac:dyDescent="0.3">
      <c r="A380" s="391">
        <v>3</v>
      </c>
      <c r="B380" s="391">
        <v>54</v>
      </c>
      <c r="C380" s="391">
        <v>2</v>
      </c>
      <c r="D380" s="391">
        <v>4</v>
      </c>
      <c r="E380" s="392">
        <f ca="1">OFFSET('Report &amp; Lookup Table'!$C$5,MATCH(SLRatio!B380,'Report &amp; Lookup Table'!$C$6:$C$45,0),MATCH(SLRatio!D380,'Report &amp; Lookup Table'!$D$5:$G$5,0))</f>
        <v>0.6140458307381863</v>
      </c>
      <c r="F380" s="391">
        <v>1.4721315553108401</v>
      </c>
      <c r="G380" s="393">
        <v>42772.583182870374</v>
      </c>
      <c r="H380" s="394" t="s">
        <v>499</v>
      </c>
    </row>
    <row r="381" spans="1:8" x14ac:dyDescent="0.3">
      <c r="A381" s="391">
        <v>3</v>
      </c>
      <c r="B381" s="391">
        <v>54</v>
      </c>
      <c r="C381" s="391">
        <v>3</v>
      </c>
      <c r="D381" s="391">
        <v>1</v>
      </c>
      <c r="E381" s="392">
        <f ca="1">OFFSET('Report &amp; Lookup Table'!$C$5,MATCH(SLRatio!B381,'Report &amp; Lookup Table'!$C$6:$C$45,0),MATCH(SLRatio!D381,'Report &amp; Lookup Table'!$D$5:$G$5,0))</f>
        <v>0.6140458307381863</v>
      </c>
      <c r="F381" s="391">
        <v>2.1526961664598199</v>
      </c>
      <c r="G381" s="393">
        <v>42772.583182870374</v>
      </c>
      <c r="H381" s="394" t="s">
        <v>499</v>
      </c>
    </row>
    <row r="382" spans="1:8" x14ac:dyDescent="0.3">
      <c r="A382" s="391">
        <v>3</v>
      </c>
      <c r="B382" s="391">
        <v>54</v>
      </c>
      <c r="C382" s="391">
        <v>3</v>
      </c>
      <c r="D382" s="391">
        <v>3</v>
      </c>
      <c r="E382" s="392">
        <f ca="1">OFFSET('Report &amp; Lookup Table'!$C$5,MATCH(SLRatio!B382,'Report &amp; Lookup Table'!$C$6:$C$45,0),MATCH(SLRatio!D382,'Report &amp; Lookup Table'!$D$5:$G$5,0))</f>
        <v>0.18364863411520668</v>
      </c>
      <c r="F382" s="391">
        <v>2.7477644381044799</v>
      </c>
      <c r="G382" s="393">
        <v>42772.583182870374</v>
      </c>
      <c r="H382" s="394" t="s">
        <v>499</v>
      </c>
    </row>
    <row r="383" spans="1:8" x14ac:dyDescent="0.3">
      <c r="A383" s="391">
        <v>3</v>
      </c>
      <c r="B383" s="391">
        <v>54</v>
      </c>
      <c r="C383" s="391">
        <v>3</v>
      </c>
      <c r="D383" s="391">
        <v>4</v>
      </c>
      <c r="E383" s="392">
        <f ca="1">OFFSET('Report &amp; Lookup Table'!$C$5,MATCH(SLRatio!B383,'Report &amp; Lookup Table'!$C$6:$C$45,0),MATCH(SLRatio!D383,'Report &amp; Lookup Table'!$D$5:$G$5,0))</f>
        <v>0.6140458307381863</v>
      </c>
      <c r="F383" s="391">
        <v>1.4721315553108401</v>
      </c>
      <c r="G383" s="393">
        <v>42772.583182870374</v>
      </c>
      <c r="H383" s="394" t="s">
        <v>499</v>
      </c>
    </row>
    <row r="384" spans="1:8" x14ac:dyDescent="0.3">
      <c r="A384" s="391">
        <v>3</v>
      </c>
      <c r="B384" s="391">
        <v>54</v>
      </c>
      <c r="C384" s="391">
        <v>4</v>
      </c>
      <c r="D384" s="391">
        <v>1</v>
      </c>
      <c r="E384" s="392">
        <f ca="1">OFFSET('Report &amp; Lookup Table'!$C$5,MATCH(SLRatio!B384,'Report &amp; Lookup Table'!$C$6:$C$45,0),MATCH(SLRatio!D384,'Report &amp; Lookup Table'!$D$5:$G$5,0))</f>
        <v>0.6140458307381863</v>
      </c>
      <c r="F384" s="391">
        <v>2.1526961664598199</v>
      </c>
      <c r="G384" s="393">
        <v>42772.583182870374</v>
      </c>
      <c r="H384" s="394" t="s">
        <v>499</v>
      </c>
    </row>
    <row r="385" spans="1:8" x14ac:dyDescent="0.3">
      <c r="A385" s="391">
        <v>3</v>
      </c>
      <c r="B385" s="391">
        <v>54</v>
      </c>
      <c r="C385" s="391">
        <v>4</v>
      </c>
      <c r="D385" s="391">
        <v>3</v>
      </c>
      <c r="E385" s="392">
        <f ca="1">OFFSET('Report &amp; Lookup Table'!$C$5,MATCH(SLRatio!B385,'Report &amp; Lookup Table'!$C$6:$C$45,0),MATCH(SLRatio!D385,'Report &amp; Lookup Table'!$D$5:$G$5,0))</f>
        <v>0.18364863411520668</v>
      </c>
      <c r="F385" s="391">
        <v>2.7477644381044799</v>
      </c>
      <c r="G385" s="393">
        <v>42772.583182870374</v>
      </c>
      <c r="H385" s="394" t="s">
        <v>499</v>
      </c>
    </row>
    <row r="386" spans="1:8" x14ac:dyDescent="0.3">
      <c r="A386" s="391">
        <v>3</v>
      </c>
      <c r="B386" s="391">
        <v>54</v>
      </c>
      <c r="C386" s="391">
        <v>4</v>
      </c>
      <c r="D386" s="391">
        <v>4</v>
      </c>
      <c r="E386" s="392">
        <f ca="1">OFFSET('Report &amp; Lookup Table'!$C$5,MATCH(SLRatio!B386,'Report &amp; Lookup Table'!$C$6:$C$45,0),MATCH(SLRatio!D386,'Report &amp; Lookup Table'!$D$5:$G$5,0))</f>
        <v>0.6140458307381863</v>
      </c>
      <c r="F386" s="391">
        <v>1.4721315553108401</v>
      </c>
      <c r="G386" s="393">
        <v>42772.583182870374</v>
      </c>
      <c r="H386" s="394" t="s">
        <v>499</v>
      </c>
    </row>
    <row r="387" spans="1:8" x14ac:dyDescent="0.3">
      <c r="A387" s="391">
        <v>3</v>
      </c>
      <c r="B387" s="391">
        <v>54</v>
      </c>
      <c r="C387" s="391">
        <v>5</v>
      </c>
      <c r="D387" s="391">
        <v>1</v>
      </c>
      <c r="E387" s="392">
        <f ca="1">OFFSET('Report &amp; Lookup Table'!$C$5,MATCH(SLRatio!B387,'Report &amp; Lookup Table'!$C$6:$C$45,0),MATCH(SLRatio!D387,'Report &amp; Lookup Table'!$D$5:$G$5,0))</f>
        <v>0.6140458307381863</v>
      </c>
      <c r="F387" s="391">
        <v>2.1526961664598199</v>
      </c>
      <c r="G387" s="393">
        <v>42772.583182870374</v>
      </c>
      <c r="H387" s="394" t="s">
        <v>499</v>
      </c>
    </row>
    <row r="388" spans="1:8" x14ac:dyDescent="0.3">
      <c r="A388" s="391">
        <v>3</v>
      </c>
      <c r="B388" s="391">
        <v>54</v>
      </c>
      <c r="C388" s="391">
        <v>5</v>
      </c>
      <c r="D388" s="391">
        <v>3</v>
      </c>
      <c r="E388" s="392">
        <f ca="1">OFFSET('Report &amp; Lookup Table'!$C$5,MATCH(SLRatio!B388,'Report &amp; Lookup Table'!$C$6:$C$45,0),MATCH(SLRatio!D388,'Report &amp; Lookup Table'!$D$5:$G$5,0))</f>
        <v>0.18364863411520668</v>
      </c>
      <c r="F388" s="391">
        <v>2.7477644381044799</v>
      </c>
      <c r="G388" s="393">
        <v>42772.583182870374</v>
      </c>
      <c r="H388" s="394" t="s">
        <v>499</v>
      </c>
    </row>
    <row r="389" spans="1:8" x14ac:dyDescent="0.3">
      <c r="A389" s="391">
        <v>3</v>
      </c>
      <c r="B389" s="391">
        <v>54</v>
      </c>
      <c r="C389" s="391">
        <v>5</v>
      </c>
      <c r="D389" s="391">
        <v>4</v>
      </c>
      <c r="E389" s="392">
        <f ca="1">OFFSET('Report &amp; Lookup Table'!$C$5,MATCH(SLRatio!B389,'Report &amp; Lookup Table'!$C$6:$C$45,0),MATCH(SLRatio!D389,'Report &amp; Lookup Table'!$D$5:$G$5,0))</f>
        <v>0.6140458307381863</v>
      </c>
      <c r="F389" s="391">
        <v>1.4721315553108401</v>
      </c>
      <c r="G389" s="393">
        <v>42772.583182870374</v>
      </c>
      <c r="H389" s="394" t="s">
        <v>499</v>
      </c>
    </row>
    <row r="390" spans="1:8" x14ac:dyDescent="0.3">
      <c r="A390" s="391">
        <v>3</v>
      </c>
      <c r="B390" s="391">
        <v>56</v>
      </c>
      <c r="C390" s="391">
        <v>2</v>
      </c>
      <c r="D390" s="391">
        <v>1</v>
      </c>
      <c r="E390" s="392">
        <f ca="1">OFFSET('Report &amp; Lookup Table'!$C$5,MATCH(SLRatio!B390,'Report &amp; Lookup Table'!$C$6:$C$45,0),MATCH(SLRatio!D390,'Report &amp; Lookup Table'!$D$5:$G$5,0))</f>
        <v>6.5562418513789131</v>
      </c>
      <c r="F390" s="391">
        <v>2.2672672098435802</v>
      </c>
      <c r="G390" s="393">
        <v>42772.583182870374</v>
      </c>
      <c r="H390" s="394" t="s">
        <v>499</v>
      </c>
    </row>
    <row r="391" spans="1:8" x14ac:dyDescent="0.3">
      <c r="A391" s="391">
        <v>3</v>
      </c>
      <c r="B391" s="391">
        <v>56</v>
      </c>
      <c r="C391" s="391">
        <v>2</v>
      </c>
      <c r="D391" s="391">
        <v>3</v>
      </c>
      <c r="E391" s="392">
        <f ca="1">OFFSET('Report &amp; Lookup Table'!$C$5,MATCH(SLRatio!B391,'Report &amp; Lookup Table'!$C$6:$C$45,0),MATCH(SLRatio!D391,'Report &amp; Lookup Table'!$D$5:$G$5,0))</f>
        <v>1.1723087829795902</v>
      </c>
      <c r="F391" s="391">
        <v>1.2213027313832401</v>
      </c>
      <c r="G391" s="393">
        <v>42772.583182870374</v>
      </c>
      <c r="H391" s="394" t="s">
        <v>499</v>
      </c>
    </row>
    <row r="392" spans="1:8" x14ac:dyDescent="0.3">
      <c r="A392" s="391">
        <v>3</v>
      </c>
      <c r="B392" s="391">
        <v>56</v>
      </c>
      <c r="C392" s="391">
        <v>2</v>
      </c>
      <c r="D392" s="391">
        <v>4</v>
      </c>
      <c r="E392" s="392">
        <f ca="1">OFFSET('Report &amp; Lookup Table'!$C$5,MATCH(SLRatio!B392,'Report &amp; Lookup Table'!$C$6:$C$45,0),MATCH(SLRatio!D392,'Report &amp; Lookup Table'!$D$5:$G$5,0))</f>
        <v>6.5562418513789131</v>
      </c>
      <c r="F392" s="391">
        <v>1.7366592003914401</v>
      </c>
      <c r="G392" s="393">
        <v>42772.583182870374</v>
      </c>
      <c r="H392" s="394" t="s">
        <v>499</v>
      </c>
    </row>
    <row r="393" spans="1:8" x14ac:dyDescent="0.3">
      <c r="A393" s="391">
        <v>3</v>
      </c>
      <c r="B393" s="391">
        <v>56</v>
      </c>
      <c r="C393" s="391">
        <v>3</v>
      </c>
      <c r="D393" s="391">
        <v>1</v>
      </c>
      <c r="E393" s="392">
        <f ca="1">OFFSET('Report &amp; Lookup Table'!$C$5,MATCH(SLRatio!B393,'Report &amp; Lookup Table'!$C$6:$C$45,0),MATCH(SLRatio!D393,'Report &amp; Lookup Table'!$D$5:$G$5,0))</f>
        <v>6.5562418513789131</v>
      </c>
      <c r="F393" s="391">
        <v>2.2672672098435802</v>
      </c>
      <c r="G393" s="393">
        <v>42772.583182870374</v>
      </c>
      <c r="H393" s="394" t="s">
        <v>499</v>
      </c>
    </row>
    <row r="394" spans="1:8" x14ac:dyDescent="0.3">
      <c r="A394" s="391">
        <v>3</v>
      </c>
      <c r="B394" s="391">
        <v>56</v>
      </c>
      <c r="C394" s="391">
        <v>3</v>
      </c>
      <c r="D394" s="391">
        <v>3</v>
      </c>
      <c r="E394" s="392">
        <f ca="1">OFFSET('Report &amp; Lookup Table'!$C$5,MATCH(SLRatio!B394,'Report &amp; Lookup Table'!$C$6:$C$45,0),MATCH(SLRatio!D394,'Report &amp; Lookup Table'!$D$5:$G$5,0))</f>
        <v>1.1723087829795902</v>
      </c>
      <c r="F394" s="391">
        <v>1.2213027313832401</v>
      </c>
      <c r="G394" s="393">
        <v>42772.583182870374</v>
      </c>
      <c r="H394" s="394" t="s">
        <v>499</v>
      </c>
    </row>
    <row r="395" spans="1:8" x14ac:dyDescent="0.3">
      <c r="A395" s="391">
        <v>3</v>
      </c>
      <c r="B395" s="391">
        <v>56</v>
      </c>
      <c r="C395" s="391">
        <v>3</v>
      </c>
      <c r="D395" s="391">
        <v>4</v>
      </c>
      <c r="E395" s="392">
        <f ca="1">OFFSET('Report &amp; Lookup Table'!$C$5,MATCH(SLRatio!B395,'Report &amp; Lookup Table'!$C$6:$C$45,0),MATCH(SLRatio!D395,'Report &amp; Lookup Table'!$D$5:$G$5,0))</f>
        <v>6.5562418513789131</v>
      </c>
      <c r="F395" s="391">
        <v>1.7366592003914401</v>
      </c>
      <c r="G395" s="393">
        <v>42772.583182870374</v>
      </c>
      <c r="H395" s="394" t="s">
        <v>499</v>
      </c>
    </row>
    <row r="396" spans="1:8" x14ac:dyDescent="0.3">
      <c r="A396" s="391">
        <v>3</v>
      </c>
      <c r="B396" s="391">
        <v>56</v>
      </c>
      <c r="C396" s="391">
        <v>4</v>
      </c>
      <c r="D396" s="391">
        <v>1</v>
      </c>
      <c r="E396" s="392">
        <f ca="1">OFFSET('Report &amp; Lookup Table'!$C$5,MATCH(SLRatio!B396,'Report &amp; Lookup Table'!$C$6:$C$45,0),MATCH(SLRatio!D396,'Report &amp; Lookup Table'!$D$5:$G$5,0))</f>
        <v>6.5562418513789131</v>
      </c>
      <c r="F396" s="391">
        <v>2.2672672098435802</v>
      </c>
      <c r="G396" s="393">
        <v>42772.583182870374</v>
      </c>
      <c r="H396" s="394" t="s">
        <v>499</v>
      </c>
    </row>
    <row r="397" spans="1:8" x14ac:dyDescent="0.3">
      <c r="A397" s="391">
        <v>3</v>
      </c>
      <c r="B397" s="391">
        <v>56</v>
      </c>
      <c r="C397" s="391">
        <v>4</v>
      </c>
      <c r="D397" s="391">
        <v>3</v>
      </c>
      <c r="E397" s="392">
        <f ca="1">OFFSET('Report &amp; Lookup Table'!$C$5,MATCH(SLRatio!B397,'Report &amp; Lookup Table'!$C$6:$C$45,0),MATCH(SLRatio!D397,'Report &amp; Lookup Table'!$D$5:$G$5,0))</f>
        <v>1.1723087829795902</v>
      </c>
      <c r="F397" s="391">
        <v>1.2213027313832401</v>
      </c>
      <c r="G397" s="393">
        <v>42772.583182870374</v>
      </c>
      <c r="H397" s="394" t="s">
        <v>499</v>
      </c>
    </row>
    <row r="398" spans="1:8" x14ac:dyDescent="0.3">
      <c r="A398" s="391">
        <v>3</v>
      </c>
      <c r="B398" s="391">
        <v>56</v>
      </c>
      <c r="C398" s="391">
        <v>4</v>
      </c>
      <c r="D398" s="391">
        <v>4</v>
      </c>
      <c r="E398" s="392">
        <f ca="1">OFFSET('Report &amp; Lookup Table'!$C$5,MATCH(SLRatio!B398,'Report &amp; Lookup Table'!$C$6:$C$45,0),MATCH(SLRatio!D398,'Report &amp; Lookup Table'!$D$5:$G$5,0))</f>
        <v>6.5562418513789131</v>
      </c>
      <c r="F398" s="391">
        <v>1.7366592003914401</v>
      </c>
      <c r="G398" s="393">
        <v>42772.583182870374</v>
      </c>
      <c r="H398" s="394" t="s">
        <v>499</v>
      </c>
    </row>
    <row r="399" spans="1:8" x14ac:dyDescent="0.3">
      <c r="A399" s="391">
        <v>3</v>
      </c>
      <c r="B399" s="391">
        <v>56</v>
      </c>
      <c r="C399" s="391">
        <v>5</v>
      </c>
      <c r="D399" s="391">
        <v>1</v>
      </c>
      <c r="E399" s="392">
        <f ca="1">OFFSET('Report &amp; Lookup Table'!$C$5,MATCH(SLRatio!B399,'Report &amp; Lookup Table'!$C$6:$C$45,0),MATCH(SLRatio!D399,'Report &amp; Lookup Table'!$D$5:$G$5,0))</f>
        <v>6.5562418513789131</v>
      </c>
      <c r="F399" s="391">
        <v>2.2672672098435802</v>
      </c>
      <c r="G399" s="393">
        <v>42772.583182870374</v>
      </c>
      <c r="H399" s="394" t="s">
        <v>499</v>
      </c>
    </row>
    <row r="400" spans="1:8" x14ac:dyDescent="0.3">
      <c r="A400" s="391">
        <v>3</v>
      </c>
      <c r="B400" s="391">
        <v>56</v>
      </c>
      <c r="C400" s="391">
        <v>5</v>
      </c>
      <c r="D400" s="391">
        <v>3</v>
      </c>
      <c r="E400" s="392">
        <f ca="1">OFFSET('Report &amp; Lookup Table'!$C$5,MATCH(SLRatio!B400,'Report &amp; Lookup Table'!$C$6:$C$45,0),MATCH(SLRatio!D400,'Report &amp; Lookup Table'!$D$5:$G$5,0))</f>
        <v>1.1723087829795902</v>
      </c>
      <c r="F400" s="391">
        <v>1.2213027313832401</v>
      </c>
      <c r="G400" s="393">
        <v>42772.583182870374</v>
      </c>
      <c r="H400" s="394" t="s">
        <v>499</v>
      </c>
    </row>
    <row r="401" spans="1:8" x14ac:dyDescent="0.3">
      <c r="A401" s="391">
        <v>3</v>
      </c>
      <c r="B401" s="391">
        <v>56</v>
      </c>
      <c r="C401" s="391">
        <v>5</v>
      </c>
      <c r="D401" s="391">
        <v>4</v>
      </c>
      <c r="E401" s="392">
        <f ca="1">OFFSET('Report &amp; Lookup Table'!$C$5,MATCH(SLRatio!B401,'Report &amp; Lookup Table'!$C$6:$C$45,0),MATCH(SLRatio!D401,'Report &amp; Lookup Table'!$D$5:$G$5,0))</f>
        <v>6.5562418513789131</v>
      </c>
      <c r="F401" s="391">
        <v>1.7366592003914401</v>
      </c>
      <c r="G401" s="393">
        <v>42772.583182870374</v>
      </c>
      <c r="H401" s="394" t="s">
        <v>499</v>
      </c>
    </row>
    <row r="402" spans="1:8" x14ac:dyDescent="0.3">
      <c r="A402" s="391">
        <v>3</v>
      </c>
      <c r="B402" s="391">
        <v>57</v>
      </c>
      <c r="C402" s="391">
        <v>2</v>
      </c>
      <c r="D402" s="391">
        <v>1</v>
      </c>
      <c r="E402" s="392">
        <f ca="1">OFFSET('Report &amp; Lookup Table'!$C$5,MATCH(SLRatio!B402,'Report &amp; Lookup Table'!$C$6:$C$45,0),MATCH(SLRatio!D402,'Report &amp; Lookup Table'!$D$5:$G$5,0))</f>
        <v>1.5309751119100723</v>
      </c>
      <c r="F402" s="391">
        <v>3.79196455166145</v>
      </c>
      <c r="G402" s="393">
        <v>42772.583182870374</v>
      </c>
      <c r="H402" s="394" t="s">
        <v>499</v>
      </c>
    </row>
    <row r="403" spans="1:8" x14ac:dyDescent="0.3">
      <c r="A403" s="391">
        <v>3</v>
      </c>
      <c r="B403" s="391">
        <v>57</v>
      </c>
      <c r="C403" s="391">
        <v>2</v>
      </c>
      <c r="D403" s="391">
        <v>2</v>
      </c>
      <c r="E403" s="392">
        <f ca="1">OFFSET('Report &amp; Lookup Table'!$C$5,MATCH(SLRatio!B403,'Report &amp; Lookup Table'!$C$6:$C$45,0),MATCH(SLRatio!D403,'Report &amp; Lookup Table'!$D$5:$G$5,0))</f>
        <v>0.60609106670010271</v>
      </c>
      <c r="F403" s="391">
        <v>1.61031203551112</v>
      </c>
      <c r="G403" s="393">
        <v>42772.583182870374</v>
      </c>
      <c r="H403" s="394" t="s">
        <v>499</v>
      </c>
    </row>
    <row r="404" spans="1:8" x14ac:dyDescent="0.3">
      <c r="A404" s="391">
        <v>3</v>
      </c>
      <c r="B404" s="391">
        <v>57</v>
      </c>
      <c r="C404" s="391">
        <v>2</v>
      </c>
      <c r="D404" s="391">
        <v>3</v>
      </c>
      <c r="E404" s="392">
        <f ca="1">OFFSET('Report &amp; Lookup Table'!$C$5,MATCH(SLRatio!B404,'Report &amp; Lookup Table'!$C$6:$C$45,0),MATCH(SLRatio!D404,'Report &amp; Lookup Table'!$D$5:$G$5,0))</f>
        <v>0.60609106670010271</v>
      </c>
      <c r="F404" s="391">
        <v>1.0780408258477201</v>
      </c>
      <c r="G404" s="393">
        <v>42772.583182870374</v>
      </c>
      <c r="H404" s="394" t="s">
        <v>499</v>
      </c>
    </row>
    <row r="405" spans="1:8" x14ac:dyDescent="0.3">
      <c r="A405" s="391">
        <v>3</v>
      </c>
      <c r="B405" s="391">
        <v>57</v>
      </c>
      <c r="C405" s="391">
        <v>2</v>
      </c>
      <c r="D405" s="391">
        <v>4</v>
      </c>
      <c r="E405" s="392">
        <f ca="1">OFFSET('Report &amp; Lookup Table'!$C$5,MATCH(SLRatio!B405,'Report &amp; Lookup Table'!$C$6:$C$45,0),MATCH(SLRatio!D405,'Report &amp; Lookup Table'!$D$5:$G$5,0))</f>
        <v>1.5309751119100723</v>
      </c>
      <c r="F405" s="391">
        <v>3.24438228887646</v>
      </c>
      <c r="G405" s="393">
        <v>42772.583182870374</v>
      </c>
      <c r="H405" s="394" t="s">
        <v>499</v>
      </c>
    </row>
    <row r="406" spans="1:8" x14ac:dyDescent="0.3">
      <c r="A406" s="391">
        <v>3</v>
      </c>
      <c r="B406" s="391">
        <v>57</v>
      </c>
      <c r="C406" s="391">
        <v>3</v>
      </c>
      <c r="D406" s="391">
        <v>1</v>
      </c>
      <c r="E406" s="392">
        <f ca="1">OFFSET('Report &amp; Lookup Table'!$C$5,MATCH(SLRatio!B406,'Report &amp; Lookup Table'!$C$6:$C$45,0),MATCH(SLRatio!D406,'Report &amp; Lookup Table'!$D$5:$G$5,0))</f>
        <v>1.5309751119100723</v>
      </c>
      <c r="F406" s="391">
        <v>3.79196455166145</v>
      </c>
      <c r="G406" s="393">
        <v>42772.583182870374</v>
      </c>
      <c r="H406" s="394" t="s">
        <v>499</v>
      </c>
    </row>
    <row r="407" spans="1:8" x14ac:dyDescent="0.3">
      <c r="A407" s="391">
        <v>3</v>
      </c>
      <c r="B407" s="391">
        <v>57</v>
      </c>
      <c r="C407" s="391">
        <v>3</v>
      </c>
      <c r="D407" s="391">
        <v>2</v>
      </c>
      <c r="E407" s="392">
        <f ca="1">OFFSET('Report &amp; Lookup Table'!$C$5,MATCH(SLRatio!B407,'Report &amp; Lookup Table'!$C$6:$C$45,0),MATCH(SLRatio!D407,'Report &amp; Lookup Table'!$D$5:$G$5,0))</f>
        <v>0.60609106670010271</v>
      </c>
      <c r="F407" s="391">
        <v>1.61031203551112</v>
      </c>
      <c r="G407" s="393">
        <v>42772.583182870374</v>
      </c>
      <c r="H407" s="394" t="s">
        <v>499</v>
      </c>
    </row>
    <row r="408" spans="1:8" x14ac:dyDescent="0.3">
      <c r="A408" s="391">
        <v>3</v>
      </c>
      <c r="B408" s="391">
        <v>57</v>
      </c>
      <c r="C408" s="391">
        <v>3</v>
      </c>
      <c r="D408" s="391">
        <v>3</v>
      </c>
      <c r="E408" s="392">
        <f ca="1">OFFSET('Report &amp; Lookup Table'!$C$5,MATCH(SLRatio!B408,'Report &amp; Lookup Table'!$C$6:$C$45,0),MATCH(SLRatio!D408,'Report &amp; Lookup Table'!$D$5:$G$5,0))</f>
        <v>0.60609106670010271</v>
      </c>
      <c r="F408" s="391">
        <v>1.0780408258477201</v>
      </c>
      <c r="G408" s="393">
        <v>42772.583182870374</v>
      </c>
      <c r="H408" s="394" t="s">
        <v>499</v>
      </c>
    </row>
    <row r="409" spans="1:8" x14ac:dyDescent="0.3">
      <c r="A409" s="391">
        <v>3</v>
      </c>
      <c r="B409" s="391">
        <v>57</v>
      </c>
      <c r="C409" s="391">
        <v>3</v>
      </c>
      <c r="D409" s="391">
        <v>4</v>
      </c>
      <c r="E409" s="392">
        <f ca="1">OFFSET('Report &amp; Lookup Table'!$C$5,MATCH(SLRatio!B409,'Report &amp; Lookup Table'!$C$6:$C$45,0),MATCH(SLRatio!D409,'Report &amp; Lookup Table'!$D$5:$G$5,0))</f>
        <v>1.5309751119100723</v>
      </c>
      <c r="F409" s="391">
        <v>3.24438228887646</v>
      </c>
      <c r="G409" s="393">
        <v>42772.583182870374</v>
      </c>
      <c r="H409" s="394" t="s">
        <v>499</v>
      </c>
    </row>
    <row r="410" spans="1:8" x14ac:dyDescent="0.3">
      <c r="A410" s="391">
        <v>3</v>
      </c>
      <c r="B410" s="391">
        <v>57</v>
      </c>
      <c r="C410" s="391">
        <v>4</v>
      </c>
      <c r="D410" s="391">
        <v>1</v>
      </c>
      <c r="E410" s="392">
        <f ca="1">OFFSET('Report &amp; Lookup Table'!$C$5,MATCH(SLRatio!B410,'Report &amp; Lookup Table'!$C$6:$C$45,0),MATCH(SLRatio!D410,'Report &amp; Lookup Table'!$D$5:$G$5,0))</f>
        <v>1.5309751119100723</v>
      </c>
      <c r="F410" s="391">
        <v>3.79196455166145</v>
      </c>
      <c r="G410" s="393">
        <v>42772.583182870374</v>
      </c>
      <c r="H410" s="394" t="s">
        <v>499</v>
      </c>
    </row>
    <row r="411" spans="1:8" x14ac:dyDescent="0.3">
      <c r="A411" s="391">
        <v>3</v>
      </c>
      <c r="B411" s="391">
        <v>57</v>
      </c>
      <c r="C411" s="391">
        <v>4</v>
      </c>
      <c r="D411" s="391">
        <v>2</v>
      </c>
      <c r="E411" s="392">
        <f ca="1">OFFSET('Report &amp; Lookup Table'!$C$5,MATCH(SLRatio!B411,'Report &amp; Lookup Table'!$C$6:$C$45,0),MATCH(SLRatio!D411,'Report &amp; Lookup Table'!$D$5:$G$5,0))</f>
        <v>0.60609106670010271</v>
      </c>
      <c r="F411" s="391">
        <v>1.61031203551112</v>
      </c>
      <c r="G411" s="393">
        <v>42772.583182870374</v>
      </c>
      <c r="H411" s="394" t="s">
        <v>499</v>
      </c>
    </row>
    <row r="412" spans="1:8" x14ac:dyDescent="0.3">
      <c r="A412" s="391">
        <v>3</v>
      </c>
      <c r="B412" s="391">
        <v>57</v>
      </c>
      <c r="C412" s="391">
        <v>4</v>
      </c>
      <c r="D412" s="391">
        <v>3</v>
      </c>
      <c r="E412" s="392">
        <f ca="1">OFFSET('Report &amp; Lookup Table'!$C$5,MATCH(SLRatio!B412,'Report &amp; Lookup Table'!$C$6:$C$45,0),MATCH(SLRatio!D412,'Report &amp; Lookup Table'!$D$5:$G$5,0))</f>
        <v>0.60609106670010271</v>
      </c>
      <c r="F412" s="391">
        <v>1.0780408258477201</v>
      </c>
      <c r="G412" s="393">
        <v>42772.583182870374</v>
      </c>
      <c r="H412" s="394" t="s">
        <v>499</v>
      </c>
    </row>
    <row r="413" spans="1:8" x14ac:dyDescent="0.3">
      <c r="A413" s="391">
        <v>3</v>
      </c>
      <c r="B413" s="391">
        <v>57</v>
      </c>
      <c r="C413" s="391">
        <v>4</v>
      </c>
      <c r="D413" s="391">
        <v>4</v>
      </c>
      <c r="E413" s="392">
        <f ca="1">OFFSET('Report &amp; Lookup Table'!$C$5,MATCH(SLRatio!B413,'Report &amp; Lookup Table'!$C$6:$C$45,0),MATCH(SLRatio!D413,'Report &amp; Lookup Table'!$D$5:$G$5,0))</f>
        <v>1.5309751119100723</v>
      </c>
      <c r="F413" s="391">
        <v>3.24438228887646</v>
      </c>
      <c r="G413" s="393">
        <v>42772.583182870374</v>
      </c>
      <c r="H413" s="394" t="s">
        <v>499</v>
      </c>
    </row>
    <row r="414" spans="1:8" x14ac:dyDescent="0.3">
      <c r="A414" s="391">
        <v>3</v>
      </c>
      <c r="B414" s="391">
        <v>57</v>
      </c>
      <c r="C414" s="391">
        <v>5</v>
      </c>
      <c r="D414" s="391">
        <v>1</v>
      </c>
      <c r="E414" s="392">
        <f ca="1">OFFSET('Report &amp; Lookup Table'!$C$5,MATCH(SLRatio!B414,'Report &amp; Lookup Table'!$C$6:$C$45,0),MATCH(SLRatio!D414,'Report &amp; Lookup Table'!$D$5:$G$5,0))</f>
        <v>1.5309751119100723</v>
      </c>
      <c r="F414" s="391">
        <v>3.79196455166145</v>
      </c>
      <c r="G414" s="393">
        <v>42772.583182870374</v>
      </c>
      <c r="H414" s="394" t="s">
        <v>499</v>
      </c>
    </row>
    <row r="415" spans="1:8" x14ac:dyDescent="0.3">
      <c r="A415" s="391">
        <v>3</v>
      </c>
      <c r="B415" s="391">
        <v>57</v>
      </c>
      <c r="C415" s="391">
        <v>5</v>
      </c>
      <c r="D415" s="391">
        <v>2</v>
      </c>
      <c r="E415" s="392">
        <f ca="1">OFFSET('Report &amp; Lookup Table'!$C$5,MATCH(SLRatio!B415,'Report &amp; Lookup Table'!$C$6:$C$45,0),MATCH(SLRatio!D415,'Report &amp; Lookup Table'!$D$5:$G$5,0))</f>
        <v>0.60609106670010271</v>
      </c>
      <c r="F415" s="391">
        <v>1.61031203551112</v>
      </c>
      <c r="G415" s="393">
        <v>42772.583182870374</v>
      </c>
      <c r="H415" s="394" t="s">
        <v>499</v>
      </c>
    </row>
    <row r="416" spans="1:8" x14ac:dyDescent="0.3">
      <c r="A416" s="391">
        <v>3</v>
      </c>
      <c r="B416" s="391">
        <v>57</v>
      </c>
      <c r="C416" s="391">
        <v>5</v>
      </c>
      <c r="D416" s="391">
        <v>3</v>
      </c>
      <c r="E416" s="392">
        <f ca="1">OFFSET('Report &amp; Lookup Table'!$C$5,MATCH(SLRatio!B416,'Report &amp; Lookup Table'!$C$6:$C$45,0),MATCH(SLRatio!D416,'Report &amp; Lookup Table'!$D$5:$G$5,0))</f>
        <v>0.60609106670010271</v>
      </c>
      <c r="F416" s="391">
        <v>1.0780408258477201</v>
      </c>
      <c r="G416" s="393">
        <v>42772.583182870374</v>
      </c>
      <c r="H416" s="394" t="s">
        <v>499</v>
      </c>
    </row>
    <row r="417" spans="1:8" x14ac:dyDescent="0.3">
      <c r="A417" s="391">
        <v>3</v>
      </c>
      <c r="B417" s="391">
        <v>57</v>
      </c>
      <c r="C417" s="391">
        <v>5</v>
      </c>
      <c r="D417" s="391">
        <v>4</v>
      </c>
      <c r="E417" s="392">
        <f ca="1">OFFSET('Report &amp; Lookup Table'!$C$5,MATCH(SLRatio!B417,'Report &amp; Lookup Table'!$C$6:$C$45,0),MATCH(SLRatio!D417,'Report &amp; Lookup Table'!$D$5:$G$5,0))</f>
        <v>1.5309751119100723</v>
      </c>
      <c r="F417" s="391">
        <v>3.24438228887646</v>
      </c>
      <c r="G417" s="393">
        <v>42772.583182870374</v>
      </c>
      <c r="H417" s="394" t="s">
        <v>499</v>
      </c>
    </row>
    <row r="418" spans="1:8" x14ac:dyDescent="0.3">
      <c r="A418" s="391">
        <v>3</v>
      </c>
      <c r="B418" s="391">
        <v>64</v>
      </c>
      <c r="C418" s="391">
        <v>2</v>
      </c>
      <c r="D418" s="391">
        <v>1</v>
      </c>
      <c r="E418" s="392">
        <f ca="1">OFFSET('Report &amp; Lookup Table'!$C$5,MATCH(SLRatio!B418,'Report &amp; Lookup Table'!$C$6:$C$45,0),MATCH(SLRatio!D418,'Report &amp; Lookup Table'!$D$5:$G$5,0))</f>
        <v>0.78524716401580874</v>
      </c>
      <c r="F418" s="391">
        <v>2.2540656582391598</v>
      </c>
      <c r="G418" s="393">
        <v>42772.583182870374</v>
      </c>
      <c r="H418" s="394" t="s">
        <v>499</v>
      </c>
    </row>
    <row r="419" spans="1:8" x14ac:dyDescent="0.3">
      <c r="A419" s="391">
        <v>3</v>
      </c>
      <c r="B419" s="391">
        <v>64</v>
      </c>
      <c r="C419" s="391">
        <v>2</v>
      </c>
      <c r="D419" s="391">
        <v>3</v>
      </c>
      <c r="E419" s="392">
        <f ca="1">OFFSET('Report &amp; Lookup Table'!$C$5,MATCH(SLRatio!B419,'Report &amp; Lookup Table'!$C$6:$C$45,0),MATCH(SLRatio!D419,'Report &amp; Lookup Table'!$D$5:$G$5,0))</f>
        <v>1.7110805925469492</v>
      </c>
      <c r="F419" s="391">
        <v>1.3875353810251001</v>
      </c>
      <c r="G419" s="393">
        <v>42772.583182870374</v>
      </c>
      <c r="H419" s="394" t="s">
        <v>499</v>
      </c>
    </row>
    <row r="420" spans="1:8" x14ac:dyDescent="0.3">
      <c r="A420" s="391">
        <v>3</v>
      </c>
      <c r="B420" s="391">
        <v>64</v>
      </c>
      <c r="C420" s="391">
        <v>2</v>
      </c>
      <c r="D420" s="391">
        <v>4</v>
      </c>
      <c r="E420" s="392">
        <f ca="1">OFFSET('Report &amp; Lookup Table'!$C$5,MATCH(SLRatio!B420,'Report &amp; Lookup Table'!$C$6:$C$45,0),MATCH(SLRatio!D420,'Report &amp; Lookup Table'!$D$5:$G$5,0))</f>
        <v>0.78524716401580874</v>
      </c>
      <c r="F420" s="391">
        <v>1.5483376858140301</v>
      </c>
      <c r="G420" s="393">
        <v>42772.583182870374</v>
      </c>
      <c r="H420" s="394" t="s">
        <v>499</v>
      </c>
    </row>
    <row r="421" spans="1:8" x14ac:dyDescent="0.3">
      <c r="A421" s="391">
        <v>3</v>
      </c>
      <c r="B421" s="391">
        <v>64</v>
      </c>
      <c r="C421" s="391">
        <v>3</v>
      </c>
      <c r="D421" s="391">
        <v>1</v>
      </c>
      <c r="E421" s="392">
        <f ca="1">OFFSET('Report &amp; Lookup Table'!$C$5,MATCH(SLRatio!B421,'Report &amp; Lookup Table'!$C$6:$C$45,0),MATCH(SLRatio!D421,'Report &amp; Lookup Table'!$D$5:$G$5,0))</f>
        <v>0.78524716401580874</v>
      </c>
      <c r="F421" s="391">
        <v>2.2540656582391598</v>
      </c>
      <c r="G421" s="393">
        <v>42772.583182870374</v>
      </c>
      <c r="H421" s="394" t="s">
        <v>499</v>
      </c>
    </row>
    <row r="422" spans="1:8" x14ac:dyDescent="0.3">
      <c r="A422" s="391">
        <v>3</v>
      </c>
      <c r="B422" s="391">
        <v>64</v>
      </c>
      <c r="C422" s="391">
        <v>3</v>
      </c>
      <c r="D422" s="391">
        <v>3</v>
      </c>
      <c r="E422" s="392">
        <f ca="1">OFFSET('Report &amp; Lookup Table'!$C$5,MATCH(SLRatio!B422,'Report &amp; Lookup Table'!$C$6:$C$45,0),MATCH(SLRatio!D422,'Report &amp; Lookup Table'!$D$5:$G$5,0))</f>
        <v>1.7110805925469492</v>
      </c>
      <c r="F422" s="391">
        <v>1.3875353810251001</v>
      </c>
      <c r="G422" s="393">
        <v>42772.583182870374</v>
      </c>
      <c r="H422" s="394" t="s">
        <v>499</v>
      </c>
    </row>
    <row r="423" spans="1:8" x14ac:dyDescent="0.3">
      <c r="A423" s="391">
        <v>3</v>
      </c>
      <c r="B423" s="391">
        <v>64</v>
      </c>
      <c r="C423" s="391">
        <v>3</v>
      </c>
      <c r="D423" s="391">
        <v>4</v>
      </c>
      <c r="E423" s="392">
        <f ca="1">OFFSET('Report &amp; Lookup Table'!$C$5,MATCH(SLRatio!B423,'Report &amp; Lookup Table'!$C$6:$C$45,0),MATCH(SLRatio!D423,'Report &amp; Lookup Table'!$D$5:$G$5,0))</f>
        <v>0.78524716401580874</v>
      </c>
      <c r="F423" s="391">
        <v>1.5483376858140301</v>
      </c>
      <c r="G423" s="393">
        <v>42772.583182870374</v>
      </c>
      <c r="H423" s="394" t="s">
        <v>499</v>
      </c>
    </row>
    <row r="424" spans="1:8" x14ac:dyDescent="0.3">
      <c r="A424" s="391">
        <v>3</v>
      </c>
      <c r="B424" s="391">
        <v>64</v>
      </c>
      <c r="C424" s="391">
        <v>4</v>
      </c>
      <c r="D424" s="391">
        <v>1</v>
      </c>
      <c r="E424" s="392">
        <f ca="1">OFFSET('Report &amp; Lookup Table'!$C$5,MATCH(SLRatio!B424,'Report &amp; Lookup Table'!$C$6:$C$45,0),MATCH(SLRatio!D424,'Report &amp; Lookup Table'!$D$5:$G$5,0))</f>
        <v>0.78524716401580874</v>
      </c>
      <c r="F424" s="391">
        <v>2.2540656582391598</v>
      </c>
      <c r="G424" s="393">
        <v>42772.583182870374</v>
      </c>
      <c r="H424" s="394" t="s">
        <v>499</v>
      </c>
    </row>
    <row r="425" spans="1:8" x14ac:dyDescent="0.3">
      <c r="A425" s="391">
        <v>3</v>
      </c>
      <c r="B425" s="391">
        <v>64</v>
      </c>
      <c r="C425" s="391">
        <v>4</v>
      </c>
      <c r="D425" s="391">
        <v>3</v>
      </c>
      <c r="E425" s="392">
        <f ca="1">OFFSET('Report &amp; Lookup Table'!$C$5,MATCH(SLRatio!B425,'Report &amp; Lookup Table'!$C$6:$C$45,0),MATCH(SLRatio!D425,'Report &amp; Lookup Table'!$D$5:$G$5,0))</f>
        <v>1.7110805925469492</v>
      </c>
      <c r="F425" s="391">
        <v>1.3875353810251001</v>
      </c>
      <c r="G425" s="393">
        <v>42772.583182870374</v>
      </c>
      <c r="H425" s="394" t="s">
        <v>499</v>
      </c>
    </row>
    <row r="426" spans="1:8" x14ac:dyDescent="0.3">
      <c r="A426" s="391">
        <v>3</v>
      </c>
      <c r="B426" s="391">
        <v>64</v>
      </c>
      <c r="C426" s="391">
        <v>4</v>
      </c>
      <c r="D426" s="391">
        <v>4</v>
      </c>
      <c r="E426" s="392">
        <f ca="1">OFFSET('Report &amp; Lookup Table'!$C$5,MATCH(SLRatio!B426,'Report &amp; Lookup Table'!$C$6:$C$45,0),MATCH(SLRatio!D426,'Report &amp; Lookup Table'!$D$5:$G$5,0))</f>
        <v>0.78524716401580874</v>
      </c>
      <c r="F426" s="391">
        <v>1.5483376858140301</v>
      </c>
      <c r="G426" s="393">
        <v>42772.583182870374</v>
      </c>
      <c r="H426" s="394" t="s">
        <v>499</v>
      </c>
    </row>
    <row r="427" spans="1:8" x14ac:dyDescent="0.3">
      <c r="A427" s="391">
        <v>3</v>
      </c>
      <c r="B427" s="391">
        <v>64</v>
      </c>
      <c r="C427" s="391">
        <v>5</v>
      </c>
      <c r="D427" s="391">
        <v>1</v>
      </c>
      <c r="E427" s="392">
        <f ca="1">OFFSET('Report &amp; Lookup Table'!$C$5,MATCH(SLRatio!B427,'Report &amp; Lookup Table'!$C$6:$C$45,0),MATCH(SLRatio!D427,'Report &amp; Lookup Table'!$D$5:$G$5,0))</f>
        <v>0.78524716401580874</v>
      </c>
      <c r="F427" s="391">
        <v>2.2540656582391598</v>
      </c>
      <c r="G427" s="393">
        <v>42772.583182870374</v>
      </c>
      <c r="H427" s="394" t="s">
        <v>499</v>
      </c>
    </row>
    <row r="428" spans="1:8" x14ac:dyDescent="0.3">
      <c r="A428" s="391">
        <v>3</v>
      </c>
      <c r="B428" s="391">
        <v>64</v>
      </c>
      <c r="C428" s="391">
        <v>5</v>
      </c>
      <c r="D428" s="391">
        <v>3</v>
      </c>
      <c r="E428" s="392">
        <f ca="1">OFFSET('Report &amp; Lookup Table'!$C$5,MATCH(SLRatio!B428,'Report &amp; Lookup Table'!$C$6:$C$45,0),MATCH(SLRatio!D428,'Report &amp; Lookup Table'!$D$5:$G$5,0))</f>
        <v>1.7110805925469492</v>
      </c>
      <c r="F428" s="391">
        <v>1.3875353810251001</v>
      </c>
      <c r="G428" s="393">
        <v>42772.583182870374</v>
      </c>
      <c r="H428" s="394" t="s">
        <v>499</v>
      </c>
    </row>
    <row r="429" spans="1:8" x14ac:dyDescent="0.3">
      <c r="A429" s="391">
        <v>3</v>
      </c>
      <c r="B429" s="391">
        <v>64</v>
      </c>
      <c r="C429" s="391">
        <v>5</v>
      </c>
      <c r="D429" s="391">
        <v>4</v>
      </c>
      <c r="E429" s="392">
        <f ca="1">OFFSET('Report &amp; Lookup Table'!$C$5,MATCH(SLRatio!B429,'Report &amp; Lookup Table'!$C$6:$C$45,0),MATCH(SLRatio!D429,'Report &amp; Lookup Table'!$D$5:$G$5,0))</f>
        <v>0.78524716401580874</v>
      </c>
      <c r="F429" s="391">
        <v>1.5483376858140301</v>
      </c>
      <c r="G429" s="393">
        <v>42772.583182870374</v>
      </c>
      <c r="H429" s="394" t="s">
        <v>499</v>
      </c>
    </row>
    <row r="430" spans="1:8" x14ac:dyDescent="0.3">
      <c r="A430" s="391">
        <v>3</v>
      </c>
      <c r="B430" s="391">
        <v>67</v>
      </c>
      <c r="C430" s="391">
        <v>2</v>
      </c>
      <c r="D430" s="391">
        <v>1</v>
      </c>
      <c r="E430" s="392">
        <f ca="1">OFFSET('Report &amp; Lookup Table'!$C$5,MATCH(SLRatio!B430,'Report &amp; Lookup Table'!$C$6:$C$45,0),MATCH(SLRatio!D430,'Report &amp; Lookup Table'!$D$5:$G$5,0))</f>
        <v>7.051388888888888</v>
      </c>
      <c r="F430" s="391">
        <v>1.55227251839127</v>
      </c>
      <c r="G430" s="393">
        <v>42772.583182870374</v>
      </c>
      <c r="H430" s="394" t="s">
        <v>499</v>
      </c>
    </row>
    <row r="431" spans="1:8" x14ac:dyDescent="0.3">
      <c r="A431" s="391">
        <v>3</v>
      </c>
      <c r="B431" s="391">
        <v>67</v>
      </c>
      <c r="C431" s="391">
        <v>2</v>
      </c>
      <c r="D431" s="391">
        <v>2</v>
      </c>
      <c r="E431" s="392">
        <f ca="1">OFFSET('Report &amp; Lookup Table'!$C$5,MATCH(SLRatio!B431,'Report &amp; Lookup Table'!$C$6:$C$45,0),MATCH(SLRatio!D431,'Report &amp; Lookup Table'!$D$5:$G$5,0))</f>
        <v>0.36756957310525823</v>
      </c>
      <c r="F431" s="391">
        <v>1.0360919560600801</v>
      </c>
      <c r="G431" s="393">
        <v>42772.583182870374</v>
      </c>
      <c r="H431" s="394" t="s">
        <v>499</v>
      </c>
    </row>
    <row r="432" spans="1:8" x14ac:dyDescent="0.3">
      <c r="A432" s="391">
        <v>3</v>
      </c>
      <c r="B432" s="391">
        <v>67</v>
      </c>
      <c r="C432" s="391">
        <v>2</v>
      </c>
      <c r="D432" s="391">
        <v>3</v>
      </c>
      <c r="E432" s="392">
        <f ca="1">OFFSET('Report &amp; Lookup Table'!$C$5,MATCH(SLRatio!B432,'Report &amp; Lookup Table'!$C$6:$C$45,0),MATCH(SLRatio!D432,'Report &amp; Lookup Table'!$D$5:$G$5,0))</f>
        <v>0.36756957310525823</v>
      </c>
      <c r="F432" s="391">
        <v>0.97318432895852702</v>
      </c>
      <c r="G432" s="393">
        <v>42772.583182870374</v>
      </c>
      <c r="H432" s="394" t="s">
        <v>499</v>
      </c>
    </row>
    <row r="433" spans="1:8" x14ac:dyDescent="0.3">
      <c r="A433" s="391">
        <v>3</v>
      </c>
      <c r="B433" s="391">
        <v>67</v>
      </c>
      <c r="C433" s="391">
        <v>2</v>
      </c>
      <c r="D433" s="391">
        <v>4</v>
      </c>
      <c r="E433" s="392">
        <f ca="1">OFFSET('Report &amp; Lookup Table'!$C$5,MATCH(SLRatio!B433,'Report &amp; Lookup Table'!$C$6:$C$45,0),MATCH(SLRatio!D433,'Report &amp; Lookup Table'!$D$5:$G$5,0))</f>
        <v>7.051388888888888</v>
      </c>
      <c r="F433" s="391">
        <v>1.2125683400016101</v>
      </c>
      <c r="G433" s="393">
        <v>42772.583182870374</v>
      </c>
      <c r="H433" s="394" t="s">
        <v>499</v>
      </c>
    </row>
    <row r="434" spans="1:8" x14ac:dyDescent="0.3">
      <c r="A434" s="391">
        <v>3</v>
      </c>
      <c r="B434" s="391">
        <v>67</v>
      </c>
      <c r="C434" s="391">
        <v>3</v>
      </c>
      <c r="D434" s="391">
        <v>1</v>
      </c>
      <c r="E434" s="392">
        <f ca="1">OFFSET('Report &amp; Lookup Table'!$C$5,MATCH(SLRatio!B434,'Report &amp; Lookup Table'!$C$6:$C$45,0),MATCH(SLRatio!D434,'Report &amp; Lookup Table'!$D$5:$G$5,0))</f>
        <v>7.051388888888888</v>
      </c>
      <c r="F434" s="391">
        <v>1.55227251839127</v>
      </c>
      <c r="G434" s="393">
        <v>42772.583182870374</v>
      </c>
      <c r="H434" s="394" t="s">
        <v>499</v>
      </c>
    </row>
    <row r="435" spans="1:8" x14ac:dyDescent="0.3">
      <c r="A435" s="391">
        <v>3</v>
      </c>
      <c r="B435" s="391">
        <v>67</v>
      </c>
      <c r="C435" s="391">
        <v>3</v>
      </c>
      <c r="D435" s="391">
        <v>2</v>
      </c>
      <c r="E435" s="392">
        <f ca="1">OFFSET('Report &amp; Lookup Table'!$C$5,MATCH(SLRatio!B435,'Report &amp; Lookup Table'!$C$6:$C$45,0),MATCH(SLRatio!D435,'Report &amp; Lookup Table'!$D$5:$G$5,0))</f>
        <v>0.36756957310525823</v>
      </c>
      <c r="F435" s="391">
        <v>1.0360919560600801</v>
      </c>
      <c r="G435" s="393">
        <v>42772.583182870374</v>
      </c>
      <c r="H435" s="394" t="s">
        <v>499</v>
      </c>
    </row>
    <row r="436" spans="1:8" x14ac:dyDescent="0.3">
      <c r="A436" s="391">
        <v>3</v>
      </c>
      <c r="B436" s="391">
        <v>67</v>
      </c>
      <c r="C436" s="391">
        <v>3</v>
      </c>
      <c r="D436" s="391">
        <v>3</v>
      </c>
      <c r="E436" s="392">
        <f ca="1">OFFSET('Report &amp; Lookup Table'!$C$5,MATCH(SLRatio!B436,'Report &amp; Lookup Table'!$C$6:$C$45,0),MATCH(SLRatio!D436,'Report &amp; Lookup Table'!$D$5:$G$5,0))</f>
        <v>0.36756957310525823</v>
      </c>
      <c r="F436" s="391">
        <v>0.97318432895852702</v>
      </c>
      <c r="G436" s="393">
        <v>42772.583182870374</v>
      </c>
      <c r="H436" s="394" t="s">
        <v>499</v>
      </c>
    </row>
    <row r="437" spans="1:8" x14ac:dyDescent="0.3">
      <c r="A437" s="391">
        <v>3</v>
      </c>
      <c r="B437" s="391">
        <v>67</v>
      </c>
      <c r="C437" s="391">
        <v>3</v>
      </c>
      <c r="D437" s="391">
        <v>4</v>
      </c>
      <c r="E437" s="392">
        <f ca="1">OFFSET('Report &amp; Lookup Table'!$C$5,MATCH(SLRatio!B437,'Report &amp; Lookup Table'!$C$6:$C$45,0),MATCH(SLRatio!D437,'Report &amp; Lookup Table'!$D$5:$G$5,0))</f>
        <v>7.051388888888888</v>
      </c>
      <c r="F437" s="391">
        <v>1.2125683400016101</v>
      </c>
      <c r="G437" s="393">
        <v>42772.583182870374</v>
      </c>
      <c r="H437" s="394" t="s">
        <v>499</v>
      </c>
    </row>
    <row r="438" spans="1:8" x14ac:dyDescent="0.3">
      <c r="A438" s="391">
        <v>3</v>
      </c>
      <c r="B438" s="391">
        <v>67</v>
      </c>
      <c r="C438" s="391">
        <v>4</v>
      </c>
      <c r="D438" s="391">
        <v>1</v>
      </c>
      <c r="E438" s="392">
        <f ca="1">OFFSET('Report &amp; Lookup Table'!$C$5,MATCH(SLRatio!B438,'Report &amp; Lookup Table'!$C$6:$C$45,0),MATCH(SLRatio!D438,'Report &amp; Lookup Table'!$D$5:$G$5,0))</f>
        <v>7.051388888888888</v>
      </c>
      <c r="F438" s="391">
        <v>1.55227251839127</v>
      </c>
      <c r="G438" s="393">
        <v>42772.583182870374</v>
      </c>
      <c r="H438" s="394" t="s">
        <v>499</v>
      </c>
    </row>
    <row r="439" spans="1:8" x14ac:dyDescent="0.3">
      <c r="A439" s="391">
        <v>3</v>
      </c>
      <c r="B439" s="391">
        <v>67</v>
      </c>
      <c r="C439" s="391">
        <v>4</v>
      </c>
      <c r="D439" s="391">
        <v>2</v>
      </c>
      <c r="E439" s="392">
        <f ca="1">OFFSET('Report &amp; Lookup Table'!$C$5,MATCH(SLRatio!B439,'Report &amp; Lookup Table'!$C$6:$C$45,0),MATCH(SLRatio!D439,'Report &amp; Lookup Table'!$D$5:$G$5,0))</f>
        <v>0.36756957310525823</v>
      </c>
      <c r="F439" s="391">
        <v>1.0360919560600801</v>
      </c>
      <c r="G439" s="393">
        <v>42772.583182870374</v>
      </c>
      <c r="H439" s="394" t="s">
        <v>499</v>
      </c>
    </row>
    <row r="440" spans="1:8" x14ac:dyDescent="0.3">
      <c r="A440" s="391">
        <v>3</v>
      </c>
      <c r="B440" s="391">
        <v>67</v>
      </c>
      <c r="C440" s="391">
        <v>4</v>
      </c>
      <c r="D440" s="391">
        <v>3</v>
      </c>
      <c r="E440" s="392">
        <f ca="1">OFFSET('Report &amp; Lookup Table'!$C$5,MATCH(SLRatio!B440,'Report &amp; Lookup Table'!$C$6:$C$45,0),MATCH(SLRatio!D440,'Report &amp; Lookup Table'!$D$5:$G$5,0))</f>
        <v>0.36756957310525823</v>
      </c>
      <c r="F440" s="391">
        <v>0.97318432895852702</v>
      </c>
      <c r="G440" s="393">
        <v>42772.583182870374</v>
      </c>
      <c r="H440" s="394" t="s">
        <v>499</v>
      </c>
    </row>
    <row r="441" spans="1:8" x14ac:dyDescent="0.3">
      <c r="A441" s="391">
        <v>3</v>
      </c>
      <c r="B441" s="391">
        <v>67</v>
      </c>
      <c r="C441" s="391">
        <v>4</v>
      </c>
      <c r="D441" s="391">
        <v>4</v>
      </c>
      <c r="E441" s="392">
        <f ca="1">OFFSET('Report &amp; Lookup Table'!$C$5,MATCH(SLRatio!B441,'Report &amp; Lookup Table'!$C$6:$C$45,0),MATCH(SLRatio!D441,'Report &amp; Lookup Table'!$D$5:$G$5,0))</f>
        <v>7.051388888888888</v>
      </c>
      <c r="F441" s="391">
        <v>1.2125683400016101</v>
      </c>
      <c r="G441" s="393">
        <v>42772.583182870374</v>
      </c>
      <c r="H441" s="394" t="s">
        <v>499</v>
      </c>
    </row>
    <row r="442" spans="1:8" x14ac:dyDescent="0.3">
      <c r="A442" s="391">
        <v>3</v>
      </c>
      <c r="B442" s="391">
        <v>67</v>
      </c>
      <c r="C442" s="391">
        <v>5</v>
      </c>
      <c r="D442" s="391">
        <v>1</v>
      </c>
      <c r="E442" s="392">
        <f ca="1">OFFSET('Report &amp; Lookup Table'!$C$5,MATCH(SLRatio!B442,'Report &amp; Lookup Table'!$C$6:$C$45,0),MATCH(SLRatio!D442,'Report &amp; Lookup Table'!$D$5:$G$5,0))</f>
        <v>7.051388888888888</v>
      </c>
      <c r="F442" s="391">
        <v>1.55227251839127</v>
      </c>
      <c r="G442" s="393">
        <v>42772.583182870374</v>
      </c>
      <c r="H442" s="394" t="s">
        <v>499</v>
      </c>
    </row>
    <row r="443" spans="1:8" x14ac:dyDescent="0.3">
      <c r="A443" s="391">
        <v>3</v>
      </c>
      <c r="B443" s="391">
        <v>67</v>
      </c>
      <c r="C443" s="391">
        <v>5</v>
      </c>
      <c r="D443" s="391">
        <v>2</v>
      </c>
      <c r="E443" s="392">
        <f ca="1">OFFSET('Report &amp; Lookup Table'!$C$5,MATCH(SLRatio!B443,'Report &amp; Lookup Table'!$C$6:$C$45,0),MATCH(SLRatio!D443,'Report &amp; Lookup Table'!$D$5:$G$5,0))</f>
        <v>0.36756957310525823</v>
      </c>
      <c r="F443" s="391">
        <v>1.0360919560600801</v>
      </c>
      <c r="G443" s="393">
        <v>42772.583182870374</v>
      </c>
      <c r="H443" s="394" t="s">
        <v>499</v>
      </c>
    </row>
    <row r="444" spans="1:8" x14ac:dyDescent="0.3">
      <c r="A444" s="391">
        <v>3</v>
      </c>
      <c r="B444" s="391">
        <v>67</v>
      </c>
      <c r="C444" s="391">
        <v>5</v>
      </c>
      <c r="D444" s="391">
        <v>3</v>
      </c>
      <c r="E444" s="392">
        <f ca="1">OFFSET('Report &amp; Lookup Table'!$C$5,MATCH(SLRatio!B444,'Report &amp; Lookup Table'!$C$6:$C$45,0),MATCH(SLRatio!D444,'Report &amp; Lookup Table'!$D$5:$G$5,0))</f>
        <v>0.36756957310525823</v>
      </c>
      <c r="F444" s="391">
        <v>0.97318432895852702</v>
      </c>
      <c r="G444" s="393">
        <v>42772.583182870374</v>
      </c>
      <c r="H444" s="394" t="s">
        <v>499</v>
      </c>
    </row>
    <row r="445" spans="1:8" x14ac:dyDescent="0.3">
      <c r="A445" s="391">
        <v>3</v>
      </c>
      <c r="B445" s="391">
        <v>67</v>
      </c>
      <c r="C445" s="391">
        <v>5</v>
      </c>
      <c r="D445" s="391">
        <v>4</v>
      </c>
      <c r="E445" s="392">
        <f ca="1">OFFSET('Report &amp; Lookup Table'!$C$5,MATCH(SLRatio!B445,'Report &amp; Lookup Table'!$C$6:$C$45,0),MATCH(SLRatio!D445,'Report &amp; Lookup Table'!$D$5:$G$5,0))</f>
        <v>7.051388888888888</v>
      </c>
      <c r="F445" s="391">
        <v>1.2125683400016101</v>
      </c>
      <c r="G445" s="393">
        <v>42772.583182870374</v>
      </c>
      <c r="H445" s="394" t="s">
        <v>499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8"/>
  <sheetViews>
    <sheetView topLeftCell="B1" zoomScaleNormal="100" workbookViewId="0">
      <selection activeCell="F41" sqref="F41"/>
    </sheetView>
  </sheetViews>
  <sheetFormatPr defaultColWidth="9.109375" defaultRowHeight="13.8" x14ac:dyDescent="0.3"/>
  <cols>
    <col min="1" max="1" width="4.33203125" style="39" customWidth="1"/>
    <col min="2" max="2" width="23" style="39" customWidth="1"/>
    <col min="3" max="3" width="9.109375" style="39"/>
    <col min="4" max="7" width="12" style="39" customWidth="1"/>
    <col min="8" max="8" width="15.33203125" style="39" customWidth="1"/>
    <col min="9" max="9" width="40.44140625" style="39" customWidth="1"/>
    <col min="10" max="16384" width="9.109375" style="39"/>
  </cols>
  <sheetData>
    <row r="1" spans="2:11" ht="14.4" x14ac:dyDescent="0.3">
      <c r="B1" s="125" t="s">
        <v>451</v>
      </c>
    </row>
    <row r="2" spans="2:11" ht="15" thickBot="1" x14ac:dyDescent="0.35">
      <c r="B2" s="125"/>
    </row>
    <row r="3" spans="2:11" ht="14.4" thickBot="1" x14ac:dyDescent="0.35">
      <c r="B3" s="126"/>
      <c r="C3" s="127"/>
      <c r="D3" s="411" t="s">
        <v>375</v>
      </c>
      <c r="E3" s="412"/>
      <c r="F3" s="412"/>
      <c r="G3" s="413"/>
      <c r="H3" s="412"/>
      <c r="I3" s="414"/>
    </row>
    <row r="4" spans="2:11" x14ac:dyDescent="0.3">
      <c r="B4" s="128" t="s">
        <v>194</v>
      </c>
      <c r="C4" s="40" t="s">
        <v>195</v>
      </c>
      <c r="D4" s="98"/>
      <c r="E4" s="98"/>
      <c r="F4" s="98"/>
      <c r="G4" s="98"/>
      <c r="H4" s="98" t="s">
        <v>197</v>
      </c>
      <c r="I4" s="98" t="s">
        <v>488</v>
      </c>
    </row>
    <row r="5" spans="2:11" ht="14.4" thickBot="1" x14ac:dyDescent="0.35">
      <c r="B5" s="128"/>
      <c r="C5" s="40" t="s">
        <v>196</v>
      </c>
      <c r="D5" s="128">
        <v>1</v>
      </c>
      <c r="E5" s="128">
        <v>2</v>
      </c>
      <c r="F5" s="128">
        <v>3</v>
      </c>
      <c r="G5" s="128">
        <v>4</v>
      </c>
      <c r="H5" s="128"/>
      <c r="I5" s="128"/>
    </row>
    <row r="6" spans="2:11" ht="30" customHeight="1" thickBot="1" x14ac:dyDescent="0.35">
      <c r="B6" s="208" t="s">
        <v>55</v>
      </c>
      <c r="C6" s="209">
        <v>1</v>
      </c>
      <c r="D6" s="345">
        <f>SEAK!M12</f>
        <v>0.2854318524912528</v>
      </c>
      <c r="E6" s="345">
        <f>D6</f>
        <v>0.2854318524912528</v>
      </c>
      <c r="F6" s="345">
        <f t="shared" ref="F6:F11" si="0">D6</f>
        <v>0.2854318524912528</v>
      </c>
      <c r="G6" s="345">
        <f t="shared" ref="G6:G11" si="1">D6</f>
        <v>0.2854318524912528</v>
      </c>
      <c r="H6" s="354" t="s">
        <v>479</v>
      </c>
      <c r="I6" s="211" t="s">
        <v>481</v>
      </c>
      <c r="K6" s="39">
        <f>COUNTIF(D6:G42,"&gt;0")</f>
        <v>126</v>
      </c>
    </row>
    <row r="7" spans="2:11" ht="30" customHeight="1" thickBot="1" x14ac:dyDescent="0.35">
      <c r="B7" s="208" t="s">
        <v>59</v>
      </c>
      <c r="C7" s="209">
        <v>3</v>
      </c>
      <c r="D7" s="345">
        <f>SEAK!U12</f>
        <v>0.50786553596964734</v>
      </c>
      <c r="E7" s="345">
        <f>D7</f>
        <v>0.50786553596964734</v>
      </c>
      <c r="F7" s="345">
        <f t="shared" si="0"/>
        <v>0.50786553596964734</v>
      </c>
      <c r="G7" s="345">
        <f t="shared" si="1"/>
        <v>0.50786553596964734</v>
      </c>
      <c r="H7" s="354" t="s">
        <v>479</v>
      </c>
      <c r="I7" s="211" t="s">
        <v>481</v>
      </c>
    </row>
    <row r="8" spans="2:11" ht="30" customHeight="1" thickBot="1" x14ac:dyDescent="0.35">
      <c r="B8" s="208" t="s">
        <v>68</v>
      </c>
      <c r="C8" s="347">
        <v>8</v>
      </c>
      <c r="D8" s="345">
        <f>IF(Canada!K91=0,0.001,Canada!K91)</f>
        <v>4.4398754114582124E-3</v>
      </c>
      <c r="E8" s="345">
        <f>D8</f>
        <v>4.4398754114582124E-3</v>
      </c>
      <c r="F8" s="345">
        <f t="shared" si="0"/>
        <v>4.4398754114582124E-3</v>
      </c>
      <c r="G8" s="345">
        <f t="shared" si="1"/>
        <v>4.4398754114582124E-3</v>
      </c>
      <c r="H8" s="354" t="s">
        <v>479</v>
      </c>
      <c r="I8" s="211" t="s">
        <v>481</v>
      </c>
    </row>
    <row r="9" spans="2:11" ht="30" customHeight="1" thickBot="1" x14ac:dyDescent="0.35">
      <c r="B9" s="208" t="s">
        <v>70</v>
      </c>
      <c r="C9" s="209">
        <v>9</v>
      </c>
      <c r="D9" s="345">
        <f>Canada!K90</f>
        <v>0.10339916197847687</v>
      </c>
      <c r="E9" s="345">
        <f>D9</f>
        <v>0.10339916197847687</v>
      </c>
      <c r="F9" s="345">
        <f t="shared" si="0"/>
        <v>0.10339916197847687</v>
      </c>
      <c r="G9" s="345">
        <f t="shared" si="1"/>
        <v>0.10339916197847687</v>
      </c>
      <c r="H9" s="354" t="s">
        <v>479</v>
      </c>
      <c r="I9" s="211" t="s">
        <v>481</v>
      </c>
    </row>
    <row r="10" spans="2:11" ht="30" customHeight="1" thickBot="1" x14ac:dyDescent="0.35">
      <c r="B10" s="208" t="s">
        <v>72</v>
      </c>
      <c r="C10" s="209">
        <v>10</v>
      </c>
      <c r="D10" s="345">
        <f>Canada!K92</f>
        <v>7.8607023003297471E-2</v>
      </c>
      <c r="E10" s="345">
        <f t="shared" ref="E10" si="2">D10</f>
        <v>7.8607023003297471E-2</v>
      </c>
      <c r="F10" s="345">
        <f t="shared" si="0"/>
        <v>7.8607023003297471E-2</v>
      </c>
      <c r="G10" s="345">
        <f t="shared" si="1"/>
        <v>7.8607023003297471E-2</v>
      </c>
      <c r="H10" s="354" t="s">
        <v>479</v>
      </c>
      <c r="I10" s="211" t="s">
        <v>481</v>
      </c>
    </row>
    <row r="11" spans="2:11" ht="30" customHeight="1" thickBot="1" x14ac:dyDescent="0.35">
      <c r="B11" s="208" t="s">
        <v>74</v>
      </c>
      <c r="C11" s="209">
        <v>11</v>
      </c>
      <c r="D11" s="345">
        <f>Canada!K93</f>
        <v>0.20693696004157403</v>
      </c>
      <c r="E11" s="345">
        <f>D11</f>
        <v>0.20693696004157403</v>
      </c>
      <c r="F11" s="345">
        <f t="shared" si="0"/>
        <v>0.20693696004157403</v>
      </c>
      <c r="G11" s="345">
        <f t="shared" si="1"/>
        <v>0.20693696004157403</v>
      </c>
      <c r="H11" s="354" t="s">
        <v>479</v>
      </c>
      <c r="I11" s="211" t="s">
        <v>481</v>
      </c>
    </row>
    <row r="12" spans="2:11" ht="30" customHeight="1" thickBot="1" x14ac:dyDescent="0.35">
      <c r="B12" s="208" t="s">
        <v>76</v>
      </c>
      <c r="C12" s="347">
        <v>12</v>
      </c>
      <c r="D12" s="350" t="s">
        <v>203</v>
      </c>
      <c r="E12" s="350" t="s">
        <v>203</v>
      </c>
      <c r="F12" s="350" t="s">
        <v>203</v>
      </c>
      <c r="G12" s="350" t="s">
        <v>203</v>
      </c>
      <c r="H12" s="354"/>
      <c r="I12" s="354" t="s">
        <v>372</v>
      </c>
    </row>
    <row r="13" spans="2:11" ht="30" customHeight="1" thickBot="1" x14ac:dyDescent="0.35">
      <c r="B13" s="208" t="s">
        <v>78</v>
      </c>
      <c r="C13" s="209">
        <v>13</v>
      </c>
      <c r="D13" s="345">
        <f>Canada!K94</f>
        <v>0.59148946900094657</v>
      </c>
      <c r="E13" s="345">
        <f t="shared" ref="E13:E14" si="3">D13</f>
        <v>0.59148946900094657</v>
      </c>
      <c r="F13" s="345">
        <f>D13</f>
        <v>0.59148946900094657</v>
      </c>
      <c r="G13" s="345">
        <f>D13</f>
        <v>0.59148946900094657</v>
      </c>
      <c r="H13" s="354" t="s">
        <v>479</v>
      </c>
      <c r="I13" s="211" t="s">
        <v>481</v>
      </c>
    </row>
    <row r="14" spans="2:11" ht="30" customHeight="1" thickBot="1" x14ac:dyDescent="0.35">
      <c r="B14" s="208" t="s">
        <v>80</v>
      </c>
      <c r="C14" s="209">
        <v>14</v>
      </c>
      <c r="D14" s="345">
        <f>Canada!K95</f>
        <v>1.0840659854895671</v>
      </c>
      <c r="E14" s="345">
        <f t="shared" si="3"/>
        <v>1.0840659854895671</v>
      </c>
      <c r="F14" s="345">
        <f>D14</f>
        <v>1.0840659854895671</v>
      </c>
      <c r="G14" s="345">
        <f>D14</f>
        <v>1.0840659854895671</v>
      </c>
      <c r="H14" s="354" t="s">
        <v>479</v>
      </c>
      <c r="I14" s="211" t="s">
        <v>481</v>
      </c>
    </row>
    <row r="15" spans="2:11" ht="30" customHeight="1" thickBot="1" x14ac:dyDescent="0.35">
      <c r="B15" s="208" t="s">
        <v>82</v>
      </c>
      <c r="C15" s="209">
        <v>15</v>
      </c>
      <c r="D15" s="345">
        <f>Canada!K96</f>
        <v>0.42823844998242244</v>
      </c>
      <c r="E15" s="345">
        <f t="shared" ref="E15" si="4">D15</f>
        <v>0.42823844998242244</v>
      </c>
      <c r="F15" s="345">
        <f>D15</f>
        <v>0.42823844998242244</v>
      </c>
      <c r="G15" s="345">
        <f>D15</f>
        <v>0.42823844998242244</v>
      </c>
      <c r="H15" s="354" t="s">
        <v>479</v>
      </c>
      <c r="I15" s="211" t="s">
        <v>481</v>
      </c>
    </row>
    <row r="16" spans="2:11" ht="30" customHeight="1" thickBot="1" x14ac:dyDescent="0.35">
      <c r="B16" s="208" t="s">
        <v>84</v>
      </c>
      <c r="C16" s="209">
        <v>16</v>
      </c>
      <c r="D16" s="349">
        <v>-99</v>
      </c>
      <c r="E16" s="345">
        <f>PFMCtroll!C34</f>
        <v>1.0642345522078578</v>
      </c>
      <c r="F16" s="345">
        <f>PFMCtroll!C35</f>
        <v>0.57226205993731771</v>
      </c>
      <c r="G16" s="349">
        <v>-99</v>
      </c>
      <c r="H16" s="211" t="s">
        <v>205</v>
      </c>
      <c r="I16" s="208" t="s">
        <v>482</v>
      </c>
    </row>
    <row r="17" spans="2:9" ht="42" customHeight="1" thickBot="1" x14ac:dyDescent="0.35">
      <c r="B17" s="208" t="s">
        <v>86</v>
      </c>
      <c r="C17" s="209">
        <v>17</v>
      </c>
      <c r="D17" s="345">
        <f>D32</f>
        <v>2.1848404323313404</v>
      </c>
      <c r="E17" s="345">
        <f>PFMCtroll!R30</f>
        <v>0.17380358372775417</v>
      </c>
      <c r="F17" s="345">
        <f>PFMCtroll!Y30</f>
        <v>0.22898059720909528</v>
      </c>
      <c r="G17" s="345">
        <f>G32</f>
        <v>2.1848404323313404</v>
      </c>
      <c r="H17" s="208" t="s">
        <v>483</v>
      </c>
      <c r="I17" s="383" t="s">
        <v>484</v>
      </c>
    </row>
    <row r="18" spans="2:9" ht="30" customHeight="1" thickBot="1" x14ac:dyDescent="0.35">
      <c r="B18" s="208" t="s">
        <v>88</v>
      </c>
      <c r="C18" s="209">
        <v>18</v>
      </c>
      <c r="D18" s="349">
        <v>-99</v>
      </c>
      <c r="E18" s="345">
        <f>PFMCsport!F19</f>
        <v>0.32078591391796729</v>
      </c>
      <c r="F18" s="345">
        <f>PFMCsport!F34</f>
        <v>1.1666532458067691</v>
      </c>
      <c r="G18" s="349">
        <v>-99</v>
      </c>
      <c r="H18" s="208" t="s">
        <v>480</v>
      </c>
      <c r="I18" s="208" t="s">
        <v>485</v>
      </c>
    </row>
    <row r="19" spans="2:9" ht="30" customHeight="1" thickBot="1" x14ac:dyDescent="0.35">
      <c r="B19" s="208" t="s">
        <v>92</v>
      </c>
      <c r="C19" s="209">
        <v>20</v>
      </c>
      <c r="D19" s="349">
        <v>-99</v>
      </c>
      <c r="E19" s="345">
        <f>PFMCtroll!C28</f>
        <v>1.0539072308689836</v>
      </c>
      <c r="F19" s="345">
        <f>PFMCtroll!C29</f>
        <v>1.1880722082413424</v>
      </c>
      <c r="G19" s="349">
        <v>-99</v>
      </c>
      <c r="H19" s="208" t="s">
        <v>207</v>
      </c>
      <c r="I19" s="208" t="s">
        <v>482</v>
      </c>
    </row>
    <row r="20" spans="2:9" ht="30" customHeight="1" thickBot="1" x14ac:dyDescent="0.35">
      <c r="B20" s="208" t="s">
        <v>94</v>
      </c>
      <c r="C20" s="209">
        <v>21</v>
      </c>
      <c r="D20" s="349">
        <v>-99</v>
      </c>
      <c r="E20" s="345">
        <f>(E17/E16)*E19</f>
        <v>0.17211699550781648</v>
      </c>
      <c r="F20" s="345">
        <f>(F17/F16)*F19</f>
        <v>0.47538619596838116</v>
      </c>
      <c r="G20" s="349">
        <v>-99</v>
      </c>
      <c r="H20" s="208" t="s">
        <v>207</v>
      </c>
      <c r="I20" s="208" t="s">
        <v>487</v>
      </c>
    </row>
    <row r="21" spans="2:9" ht="30" customHeight="1" thickBot="1" x14ac:dyDescent="0.35">
      <c r="B21" s="208" t="s">
        <v>96</v>
      </c>
      <c r="C21" s="209">
        <v>22</v>
      </c>
      <c r="D21" s="349">
        <v>-99</v>
      </c>
      <c r="E21" s="345">
        <f>PFMCsport!M19</f>
        <v>0.31591049114194031</v>
      </c>
      <c r="F21" s="345">
        <f>PFMCsport!M34</f>
        <v>0.74012983611958238</v>
      </c>
      <c r="G21" s="349">
        <v>-99</v>
      </c>
      <c r="H21" s="208" t="s">
        <v>486</v>
      </c>
      <c r="I21" s="208" t="s">
        <v>485</v>
      </c>
    </row>
    <row r="22" spans="2:9" ht="30" customHeight="1" thickBot="1" x14ac:dyDescent="0.35">
      <c r="B22" s="208" t="s">
        <v>104</v>
      </c>
      <c r="C22" s="347">
        <v>26</v>
      </c>
      <c r="D22" s="349">
        <v>-99</v>
      </c>
      <c r="E22" s="366">
        <v>4.4749999999999996</v>
      </c>
      <c r="F22" s="366">
        <v>4.6820000000000004</v>
      </c>
      <c r="G22" s="349">
        <v>-99</v>
      </c>
      <c r="H22" s="380" t="s">
        <v>203</v>
      </c>
      <c r="I22" s="380"/>
    </row>
    <row r="23" spans="2:9" ht="30" customHeight="1" thickBot="1" x14ac:dyDescent="0.35">
      <c r="B23" s="208" t="s">
        <v>106</v>
      </c>
      <c r="C23" s="355">
        <v>27</v>
      </c>
      <c r="D23" s="349">
        <v>-99</v>
      </c>
      <c r="E23" s="365">
        <f>PFMCsport!T19</f>
        <v>1.8152777234245165</v>
      </c>
      <c r="F23" s="365">
        <f>PFMCsport!T34</f>
        <v>2.35549202187994</v>
      </c>
      <c r="G23" s="349">
        <v>-99</v>
      </c>
      <c r="H23" s="208" t="s">
        <v>480</v>
      </c>
      <c r="I23" s="208" t="s">
        <v>485</v>
      </c>
    </row>
    <row r="24" spans="2:9" ht="30" customHeight="1" thickBot="1" x14ac:dyDescent="0.35">
      <c r="B24" s="183" t="s">
        <v>112</v>
      </c>
      <c r="C24" s="201">
        <v>30</v>
      </c>
      <c r="D24" s="349">
        <v>0.47399999999999998</v>
      </c>
      <c r="E24" s="350">
        <v>1.0860000000000001</v>
      </c>
      <c r="F24" s="350">
        <v>1.0860000000000001</v>
      </c>
      <c r="G24" s="350">
        <v>0.47399999999999998</v>
      </c>
      <c r="H24" s="82" t="s">
        <v>211</v>
      </c>
      <c r="I24" s="211"/>
    </row>
    <row r="25" spans="2:9" ht="30" customHeight="1" thickBot="1" x14ac:dyDescent="0.35">
      <c r="B25" s="183" t="s">
        <v>114</v>
      </c>
      <c r="C25" s="201">
        <v>31</v>
      </c>
      <c r="D25" s="351">
        <v>0.92</v>
      </c>
      <c r="E25" s="350">
        <v>0.58299999999999996</v>
      </c>
      <c r="F25" s="350">
        <v>0.68899999999999995</v>
      </c>
      <c r="G25" s="352">
        <v>0.92</v>
      </c>
      <c r="H25" s="82" t="s">
        <v>277</v>
      </c>
      <c r="I25" s="97"/>
    </row>
    <row r="26" spans="2:9" ht="30" customHeight="1" thickBot="1" x14ac:dyDescent="0.35">
      <c r="B26" s="183" t="s">
        <v>115</v>
      </c>
      <c r="C26" s="201">
        <v>32</v>
      </c>
      <c r="D26" s="349">
        <v>0.47399999999999998</v>
      </c>
      <c r="E26" s="350">
        <v>1.0860000000000001</v>
      </c>
      <c r="F26" s="350">
        <v>1.0860000000000001</v>
      </c>
      <c r="G26" s="350">
        <v>0.47399999999999998</v>
      </c>
      <c r="H26" s="82" t="s">
        <v>211</v>
      </c>
      <c r="I26" s="82"/>
    </row>
    <row r="27" spans="2:9" ht="30" customHeight="1" thickBot="1" x14ac:dyDescent="0.35">
      <c r="B27" s="183" t="s">
        <v>116</v>
      </c>
      <c r="C27" s="210">
        <v>33</v>
      </c>
      <c r="D27" s="352">
        <v>0.92</v>
      </c>
      <c r="E27" s="350">
        <v>0.58299999999999996</v>
      </c>
      <c r="F27" s="350">
        <v>0.68899999999999995</v>
      </c>
      <c r="G27" s="352">
        <v>0.92</v>
      </c>
      <c r="H27" s="211" t="s">
        <v>277</v>
      </c>
      <c r="I27" s="82"/>
    </row>
    <row r="28" spans="2:9" ht="30" customHeight="1" thickBot="1" x14ac:dyDescent="0.35">
      <c r="B28" s="183" t="s">
        <v>118</v>
      </c>
      <c r="C28" s="348">
        <v>34</v>
      </c>
      <c r="D28" s="349">
        <v>0.47399999999999998</v>
      </c>
      <c r="E28" s="352">
        <v>0.36799999999999999</v>
      </c>
      <c r="F28" s="352">
        <v>0.6</v>
      </c>
      <c r="G28" s="350">
        <v>0.47399999999999998</v>
      </c>
      <c r="H28" s="97" t="s">
        <v>211</v>
      </c>
      <c r="I28" s="82"/>
    </row>
    <row r="29" spans="2:9" ht="30" customHeight="1" thickBot="1" x14ac:dyDescent="0.35">
      <c r="B29" s="183" t="s">
        <v>120</v>
      </c>
      <c r="C29" s="201">
        <v>35</v>
      </c>
      <c r="D29" s="353">
        <v>0.92</v>
      </c>
      <c r="E29" s="353">
        <v>0.61</v>
      </c>
      <c r="F29" s="353">
        <v>0.495</v>
      </c>
      <c r="G29" s="353">
        <v>0.92</v>
      </c>
      <c r="H29" s="82" t="s">
        <v>212</v>
      </c>
      <c r="I29" s="82"/>
    </row>
    <row r="30" spans="2:9" ht="30" customHeight="1" thickBot="1" x14ac:dyDescent="0.35">
      <c r="B30" s="208" t="s">
        <v>122</v>
      </c>
      <c r="C30" s="210">
        <v>36</v>
      </c>
      <c r="D30" s="345">
        <f>GETPIVOTDATA("Average of Slratio",'Creel (MSF) Data'!$K$24,"season","winter","area",7)</f>
        <v>0.24636245473653143</v>
      </c>
      <c r="E30" s="351">
        <f>F30</f>
        <v>0.68549975534279028</v>
      </c>
      <c r="F30" s="345">
        <f>'Baseline (NS) Data'!L59</f>
        <v>0.68549975534279028</v>
      </c>
      <c r="G30" s="345">
        <f>D30</f>
        <v>0.24636245473653143</v>
      </c>
      <c r="H30" s="211" t="s">
        <v>490</v>
      </c>
      <c r="I30" s="211" t="s">
        <v>489</v>
      </c>
    </row>
    <row r="31" spans="2:9" ht="30" customHeight="1" thickBot="1" x14ac:dyDescent="0.35">
      <c r="B31" s="184" t="s">
        <v>132</v>
      </c>
      <c r="C31" s="124">
        <v>41</v>
      </c>
      <c r="D31" s="395">
        <f>D32</f>
        <v>2.1848404323313404</v>
      </c>
      <c r="E31" s="395">
        <f>F32</f>
        <v>0.82577718446872816</v>
      </c>
      <c r="F31" s="395">
        <f>F32</f>
        <v>0.82577718446872816</v>
      </c>
      <c r="G31" s="395">
        <f>G32</f>
        <v>2.1848404323313404</v>
      </c>
      <c r="H31" s="396"/>
      <c r="I31" s="396" t="s">
        <v>500</v>
      </c>
    </row>
    <row r="32" spans="2:9" ht="30" customHeight="1" thickBot="1" x14ac:dyDescent="0.35">
      <c r="B32" s="183" t="s">
        <v>134</v>
      </c>
      <c r="C32" s="81">
        <v>42</v>
      </c>
      <c r="D32" s="346">
        <f>'Baseline (NS) Data'!L3</f>
        <v>2.1848404323313404</v>
      </c>
      <c r="E32" s="457">
        <f>F32</f>
        <v>0.82577718446872816</v>
      </c>
      <c r="F32" s="264">
        <f>GETPIVOTDATA("Average of Slratio",'Creel (MSF) Data'!$K$24,"season","summer","area",5)</f>
        <v>0.82577718446872816</v>
      </c>
      <c r="G32" s="264">
        <f>D32</f>
        <v>2.1848404323313404</v>
      </c>
      <c r="H32" s="82" t="s">
        <v>491</v>
      </c>
      <c r="I32" s="211" t="s">
        <v>492</v>
      </c>
    </row>
    <row r="33" spans="2:9" ht="30" customHeight="1" thickBot="1" x14ac:dyDescent="0.35">
      <c r="B33" s="183" t="s">
        <v>138</v>
      </c>
      <c r="C33" s="81">
        <v>45</v>
      </c>
      <c r="D33" s="346">
        <f>GETPIVOTDATA("Average of Slratio",'Creel (MSF) Data'!$K$24,"season","winter","area",8)</f>
        <v>2.3938508496643425</v>
      </c>
      <c r="E33" s="351">
        <f>F33</f>
        <v>0.5211750872572618</v>
      </c>
      <c r="F33" s="345">
        <f>AVERAGE(F35:F36)</f>
        <v>0.5211750872572618</v>
      </c>
      <c r="G33" s="345">
        <f>D33</f>
        <v>2.3938508496643425</v>
      </c>
      <c r="H33" s="82" t="s">
        <v>491</v>
      </c>
      <c r="I33" s="211" t="s">
        <v>498</v>
      </c>
    </row>
    <row r="34" spans="2:9" ht="30" customHeight="1" thickBot="1" x14ac:dyDescent="0.35">
      <c r="B34" s="183" t="s">
        <v>144</v>
      </c>
      <c r="C34" s="81">
        <v>48</v>
      </c>
      <c r="D34" s="349">
        <v>-99</v>
      </c>
      <c r="E34" s="349">
        <f>'Baseline (NS) Data'!L100</f>
        <v>1.0128523204153457</v>
      </c>
      <c r="F34" s="388">
        <f>'Baseline (NS) Data'!L100</f>
        <v>1.0128523204153457</v>
      </c>
      <c r="G34" s="349">
        <v>-99</v>
      </c>
      <c r="H34" s="82"/>
      <c r="I34" s="211"/>
    </row>
    <row r="35" spans="2:9" ht="30" customHeight="1" thickBot="1" x14ac:dyDescent="0.35">
      <c r="B35" s="183" t="s">
        <v>154</v>
      </c>
      <c r="C35" s="81">
        <v>53</v>
      </c>
      <c r="D35" s="346">
        <f>GETPIVOTDATA("Average of Slratio",'Creel (MSF) Data'!$K$24,"season","winter","area",9)</f>
        <v>2.1821097407702887</v>
      </c>
      <c r="E35" s="351">
        <f>F35</f>
        <v>0.85870154039931701</v>
      </c>
      <c r="F35" s="345">
        <f>GETPIVOTDATA("Average of Slratio",'Creel (MSF) Data'!$K$24,"season","summer","area",9)</f>
        <v>0.85870154039931701</v>
      </c>
      <c r="G35" s="345">
        <f>D35</f>
        <v>2.1821097407702887</v>
      </c>
      <c r="H35" s="82" t="s">
        <v>491</v>
      </c>
      <c r="I35" s="211" t="s">
        <v>493</v>
      </c>
    </row>
    <row r="36" spans="2:9" ht="41.25" customHeight="1" thickBot="1" x14ac:dyDescent="0.35">
      <c r="B36" s="183" t="s">
        <v>156</v>
      </c>
      <c r="C36" s="81">
        <v>54</v>
      </c>
      <c r="D36" s="346">
        <f>AVERAGE('Baseline (NS) Data'!H20:H24,'Creel (MSF) Data'!G66:G67)</f>
        <v>0.6140458307381863</v>
      </c>
      <c r="E36" s="351">
        <f>F36</f>
        <v>0.18364863411520668</v>
      </c>
      <c r="F36" s="345">
        <f>GETPIVOTDATA("Average of Slratio",'Creel (MSF) Data'!$K$24,"season","summer","area",6)</f>
        <v>0.18364863411520668</v>
      </c>
      <c r="G36" s="346">
        <f>D36</f>
        <v>0.6140458307381863</v>
      </c>
      <c r="H36" s="82" t="s">
        <v>491</v>
      </c>
      <c r="I36" s="211" t="s">
        <v>494</v>
      </c>
    </row>
    <row r="37" spans="2:9" ht="30" customHeight="1" thickBot="1" x14ac:dyDescent="0.35">
      <c r="B37" s="183" t="s">
        <v>160</v>
      </c>
      <c r="C37" s="209">
        <v>56</v>
      </c>
      <c r="D37" s="345">
        <f>GETPIVOTDATA("Average of Slratio",'Creel (MSF) Data'!$K$24,"season","winter","area",10)</f>
        <v>6.5562418513789131</v>
      </c>
      <c r="E37" s="351">
        <f>F37</f>
        <v>1.1723087829795902</v>
      </c>
      <c r="F37" s="345">
        <f>GETPIVOTDATA("Average of Slratio",'Creel (MSF) Data'!$K$24,"season","summer","area",10)</f>
        <v>1.1723087829795902</v>
      </c>
      <c r="G37" s="345">
        <f>GETPIVOTDATA("Average of Slratio",'Creel (MSF) Data'!$K$24,"season","winter","area",10)</f>
        <v>6.5562418513789131</v>
      </c>
      <c r="H37" s="211" t="s">
        <v>491</v>
      </c>
      <c r="I37" s="211" t="s">
        <v>493</v>
      </c>
    </row>
    <row r="38" spans="2:9" ht="30" customHeight="1" thickBot="1" x14ac:dyDescent="0.35">
      <c r="B38" s="183" t="s">
        <v>162</v>
      </c>
      <c r="C38" s="96">
        <v>57</v>
      </c>
      <c r="D38" s="346">
        <f>GETPIVOTDATA("Average of Slratio",'Creel (MSF) Data'!$K$24,"season","winter","area",11)</f>
        <v>1.5309751119100723</v>
      </c>
      <c r="E38" s="345">
        <f>GETPIVOTDATA("Average of Slratio",'Creel (MSF) Data'!$K$24,"season","summer","area",11)</f>
        <v>0.60609106670010271</v>
      </c>
      <c r="F38" s="345">
        <f>GETPIVOTDATA("Average of Slratio",'Creel (MSF) Data'!$K$24,"season","summer","area",11)</f>
        <v>0.60609106670010271</v>
      </c>
      <c r="G38" s="345">
        <f>GETPIVOTDATA("Average of Slratio",'Creel (MSF) Data'!$K$24,"season","winter","area",11)</f>
        <v>1.5309751119100723</v>
      </c>
      <c r="H38" s="97" t="s">
        <v>495</v>
      </c>
      <c r="I38" s="211" t="s">
        <v>493</v>
      </c>
    </row>
    <row r="39" spans="2:9" ht="30" customHeight="1" thickBot="1" x14ac:dyDescent="0.35">
      <c r="B39" s="183" t="s">
        <v>168</v>
      </c>
      <c r="C39" s="209">
        <v>60</v>
      </c>
      <c r="D39" s="349">
        <f>'Baseline (NS) Data'!L111</f>
        <v>1.6939168827614468</v>
      </c>
      <c r="E39" s="349">
        <f>'Baseline (NS) Data'!L111</f>
        <v>1.6939168827614468</v>
      </c>
      <c r="F39" s="388">
        <f>'Baseline (NS) Data'!L111</f>
        <v>1.6939168827614468</v>
      </c>
      <c r="G39" s="349">
        <v>-99</v>
      </c>
      <c r="H39" s="211"/>
      <c r="I39" s="82"/>
    </row>
    <row r="40" spans="2:9" ht="30" customHeight="1" thickBot="1" x14ac:dyDescent="0.35">
      <c r="B40" s="183" t="s">
        <v>172</v>
      </c>
      <c r="C40" s="209">
        <v>62</v>
      </c>
      <c r="D40" s="349">
        <f>'Baseline (NS) Data'!L119</f>
        <v>1.8045033670033668</v>
      </c>
      <c r="E40" s="349">
        <f>'Baseline (NS) Data'!L119</f>
        <v>1.8045033670033668</v>
      </c>
      <c r="F40" s="388">
        <f>'Baseline (NS) Data'!L119</f>
        <v>1.8045033670033668</v>
      </c>
      <c r="G40" s="349">
        <v>-99</v>
      </c>
      <c r="H40" s="211"/>
      <c r="I40" s="82"/>
    </row>
    <row r="41" spans="2:9" ht="41.25" customHeight="1" thickBot="1" x14ac:dyDescent="0.35">
      <c r="B41" s="183" t="s">
        <v>176</v>
      </c>
      <c r="C41" s="96">
        <v>64</v>
      </c>
      <c r="D41" s="346">
        <f>GETPIVOTDATA("Average of Slratio",'Creel (MSF) Data'!$K$24,"season","winter","area",12)</f>
        <v>0.78524716401580874</v>
      </c>
      <c r="E41" s="351">
        <f>F41</f>
        <v>1.7110805925469492</v>
      </c>
      <c r="F41" s="345">
        <f>'Baseline (NS) Data'!L76</f>
        <v>1.7110805925469492</v>
      </c>
      <c r="G41" s="345">
        <f>D41</f>
        <v>0.78524716401580874</v>
      </c>
      <c r="H41" s="97" t="s">
        <v>446</v>
      </c>
      <c r="I41" s="82" t="s">
        <v>496</v>
      </c>
    </row>
    <row r="42" spans="2:9" ht="41.25" customHeight="1" thickBot="1" x14ac:dyDescent="0.35">
      <c r="B42" s="208" t="s">
        <v>182</v>
      </c>
      <c r="C42" s="209">
        <v>67</v>
      </c>
      <c r="D42" s="345">
        <f>'Baseline (NS) Data'!L47</f>
        <v>7.051388888888888</v>
      </c>
      <c r="E42" s="345">
        <f>GETPIVOTDATA("Average of Slratio",'Creel (MSF) Data'!$K$24,"season","summer","area",13)</f>
        <v>0.36756957310525823</v>
      </c>
      <c r="F42" s="345">
        <f>GETPIVOTDATA("Average of Slratio",'Creel (MSF) Data'!$K$24,"season","summer","area",13)</f>
        <v>0.36756957310525823</v>
      </c>
      <c r="G42" s="345">
        <f>D42</f>
        <v>7.051388888888888</v>
      </c>
      <c r="H42" s="211" t="s">
        <v>491</v>
      </c>
      <c r="I42" s="211" t="s">
        <v>496</v>
      </c>
    </row>
    <row r="43" spans="2:9" ht="30" customHeight="1" x14ac:dyDescent="0.3"/>
    <row r="44" spans="2:9" ht="26.25" customHeight="1" x14ac:dyDescent="0.3">
      <c r="B44" s="204" t="s">
        <v>452</v>
      </c>
      <c r="C44" s="205"/>
      <c r="D44" s="205"/>
      <c r="E44" s="206"/>
      <c r="F44" s="182"/>
    </row>
    <row r="45" spans="2:9" ht="26.25" customHeight="1" x14ac:dyDescent="0.3">
      <c r="B45" s="356" t="s">
        <v>447</v>
      </c>
      <c r="C45" s="357"/>
      <c r="D45" s="357"/>
      <c r="E45" s="358"/>
    </row>
    <row r="46" spans="2:9" x14ac:dyDescent="0.3">
      <c r="B46" s="202" t="s">
        <v>373</v>
      </c>
      <c r="C46" s="203"/>
      <c r="D46" s="203"/>
      <c r="E46" s="52"/>
    </row>
    <row r="47" spans="2:9" x14ac:dyDescent="0.3">
      <c r="B47" s="207" t="s">
        <v>374</v>
      </c>
      <c r="C47" s="203"/>
      <c r="D47" s="203"/>
      <c r="E47" s="52"/>
    </row>
    <row r="48" spans="2:9" x14ac:dyDescent="0.3">
      <c r="F48" s="59"/>
      <c r="G48" s="59"/>
    </row>
  </sheetData>
  <mergeCells count="2">
    <mergeCell ref="D3:G3"/>
    <mergeCell ref="H3:I3"/>
  </mergeCells>
  <pageMargins left="0.25" right="0.25" top="0.75" bottom="0.75" header="0.3" footer="0.3"/>
  <pageSetup scale="95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U31"/>
  <sheetViews>
    <sheetView workbookViewId="0">
      <selection activeCell="M13" sqref="M13"/>
    </sheetView>
  </sheetViews>
  <sheetFormatPr defaultColWidth="9.109375" defaultRowHeight="14.4" x14ac:dyDescent="0.3"/>
  <cols>
    <col min="1" max="1" width="8.33203125" style="283" bestFit="1" customWidth="1"/>
    <col min="2" max="2" width="5.6640625" style="283" bestFit="1" customWidth="1"/>
    <col min="3" max="3" width="7.33203125" style="283" bestFit="1" customWidth="1"/>
    <col min="4" max="4" width="8.5546875" style="283" bestFit="1" customWidth="1"/>
    <col min="5" max="5" width="6" style="283" bestFit="1" customWidth="1"/>
    <col min="6" max="6" width="2.88671875" style="283" customWidth="1"/>
    <col min="7" max="7" width="9.109375" style="283" customWidth="1"/>
    <col min="8" max="13" width="9.109375" style="283"/>
    <col min="14" max="14" width="2.88671875" style="283" customWidth="1"/>
    <col min="15" max="16384" width="9.109375" style="283"/>
  </cols>
  <sheetData>
    <row r="1" spans="1:21" ht="15" thickBot="1" x14ac:dyDescent="0.35">
      <c r="A1" s="415" t="s">
        <v>473</v>
      </c>
      <c r="B1" s="415"/>
      <c r="C1" s="415"/>
      <c r="D1" s="415"/>
      <c r="E1" s="415"/>
      <c r="G1" s="415" t="s">
        <v>472</v>
      </c>
      <c r="H1" s="415"/>
      <c r="I1" s="415"/>
      <c r="J1" s="415"/>
      <c r="K1" s="415"/>
      <c r="L1" s="415"/>
      <c r="M1" s="415"/>
      <c r="O1" s="415" t="s">
        <v>58</v>
      </c>
      <c r="P1" s="415"/>
      <c r="Q1" s="415"/>
      <c r="R1" s="415"/>
      <c r="S1" s="415"/>
      <c r="T1" s="415"/>
      <c r="U1" s="415"/>
    </row>
    <row r="2" spans="1:21" x14ac:dyDescent="0.3">
      <c r="A2" s="283" t="s">
        <v>470</v>
      </c>
      <c r="B2" s="283" t="s">
        <v>353</v>
      </c>
      <c r="C2" s="283" t="s">
        <v>471</v>
      </c>
      <c r="D2" s="283" t="s">
        <v>383</v>
      </c>
      <c r="E2" s="283">
        <v>0.21099999999999999</v>
      </c>
      <c r="G2" s="5" t="s">
        <v>465</v>
      </c>
      <c r="H2" s="5" t="s">
        <v>464</v>
      </c>
      <c r="I2" s="5" t="s">
        <v>463</v>
      </c>
      <c r="J2" s="5" t="s">
        <v>462</v>
      </c>
      <c r="K2" s="5" t="s">
        <v>461</v>
      </c>
      <c r="L2" s="5" t="s">
        <v>460</v>
      </c>
      <c r="M2" s="5" t="s">
        <v>448</v>
      </c>
      <c r="O2" s="5" t="s">
        <v>465</v>
      </c>
      <c r="P2" s="5" t="s">
        <v>464</v>
      </c>
      <c r="Q2" s="5" t="s">
        <v>463</v>
      </c>
      <c r="R2" s="5" t="s">
        <v>462</v>
      </c>
      <c r="S2" s="5" t="s">
        <v>461</v>
      </c>
      <c r="T2" s="5" t="s">
        <v>460</v>
      </c>
      <c r="U2" s="5" t="s">
        <v>448</v>
      </c>
    </row>
    <row r="3" spans="1:21" x14ac:dyDescent="0.3">
      <c r="A3" s="283" t="s">
        <v>470</v>
      </c>
      <c r="B3" s="283" t="s">
        <v>353</v>
      </c>
      <c r="C3" s="283" t="s">
        <v>471</v>
      </c>
      <c r="D3" s="283" t="s">
        <v>384</v>
      </c>
      <c r="E3" s="283">
        <v>0.255</v>
      </c>
      <c r="G3" s="5">
        <v>2007</v>
      </c>
      <c r="H3" s="374">
        <v>268146.0000003</v>
      </c>
      <c r="I3" s="374">
        <v>10628.127411272535</v>
      </c>
      <c r="J3" s="374">
        <v>21673.099924145776</v>
      </c>
      <c r="K3" s="378">
        <f>H3+((I3-(H3*$E$4))/($E$2+$E$4))</f>
        <v>306880.97448098555</v>
      </c>
      <c r="L3" s="378">
        <f>J3/($E$3+$E$4)</f>
        <v>82407.224046181655</v>
      </c>
      <c r="M3" s="376">
        <f>L3/K3</f>
        <v>0.2685315509883055</v>
      </c>
      <c r="O3" s="5">
        <v>2007</v>
      </c>
      <c r="P3" s="374">
        <v>82849</v>
      </c>
      <c r="Q3" s="374">
        <v>5244.8422347085798</v>
      </c>
      <c r="R3" s="374">
        <v>8834.2085155034074</v>
      </c>
      <c r="S3" s="378">
        <f t="shared" ref="S3:S10" si="0">P3+((Q3-(P3*$E$6))/($E$5+$E$6))</f>
        <v>97077.164998167165</v>
      </c>
      <c r="T3" s="378">
        <f t="shared" ref="T3:T10" si="1">R3/($E$5+$E$6)</f>
        <v>55561.059845933378</v>
      </c>
      <c r="U3" s="376">
        <f t="shared" ref="U3:U10" si="2">T3/S3</f>
        <v>0.572339126786226</v>
      </c>
    </row>
    <row r="4" spans="1:21" x14ac:dyDescent="0.3">
      <c r="A4" s="283" t="s">
        <v>468</v>
      </c>
      <c r="B4" s="283" t="s">
        <v>353</v>
      </c>
      <c r="C4" s="283" t="s">
        <v>471</v>
      </c>
      <c r="D4" s="283" t="s">
        <v>466</v>
      </c>
      <c r="E4" s="283">
        <v>8.0000000000000002E-3</v>
      </c>
      <c r="G4" s="5">
        <v>2008</v>
      </c>
      <c r="H4" s="374">
        <v>151936.00000039997</v>
      </c>
      <c r="I4" s="374">
        <v>11710.863452332187</v>
      </c>
      <c r="J4" s="374">
        <v>16582.397241475595</v>
      </c>
      <c r="K4" s="378">
        <f t="shared" ref="K4:K10" si="3">H4+((I4-(H4*$E$4))/($E$2+$E$4))</f>
        <v>199860.08882382</v>
      </c>
      <c r="L4" s="378">
        <f t="shared" ref="L4:L10" si="4">J4/($E$3+$E$4)</f>
        <v>63050.940081656256</v>
      </c>
      <c r="M4" s="376">
        <f t="shared" ref="M4:M10" si="5">L4/K4</f>
        <v>0.315475393074786</v>
      </c>
      <c r="O4" s="5">
        <v>2008</v>
      </c>
      <c r="P4" s="374">
        <v>49265</v>
      </c>
      <c r="Q4" s="374">
        <v>4608.024425165906</v>
      </c>
      <c r="R4" s="374">
        <v>4686.380896569116</v>
      </c>
      <c r="S4" s="378">
        <f t="shared" si="0"/>
        <v>67091.946070225822</v>
      </c>
      <c r="T4" s="378">
        <f t="shared" si="1"/>
        <v>29474.093689113935</v>
      </c>
      <c r="U4" s="376">
        <f t="shared" si="2"/>
        <v>0.43930896948887282</v>
      </c>
    </row>
    <row r="5" spans="1:21" x14ac:dyDescent="0.3">
      <c r="A5" s="283" t="s">
        <v>470</v>
      </c>
      <c r="B5" s="283" t="s">
        <v>467</v>
      </c>
      <c r="D5" s="283" t="s">
        <v>469</v>
      </c>
      <c r="E5" s="283">
        <v>0.123</v>
      </c>
      <c r="G5" s="5">
        <v>2009</v>
      </c>
      <c r="H5" s="374">
        <v>175643.99999987002</v>
      </c>
      <c r="I5" s="374">
        <v>11619.768426654377</v>
      </c>
      <c r="J5" s="374">
        <v>18360.623572789165</v>
      </c>
      <c r="K5" s="378">
        <f t="shared" si="3"/>
        <v>222286.08413984909</v>
      </c>
      <c r="L5" s="378">
        <f t="shared" si="4"/>
        <v>69812.256930757285</v>
      </c>
      <c r="M5" s="376">
        <f t="shared" si="5"/>
        <v>0.31406490064774184</v>
      </c>
      <c r="O5" s="5">
        <v>2009</v>
      </c>
      <c r="P5" s="374">
        <v>69565</v>
      </c>
      <c r="Q5" s="374">
        <v>4817.2378013909856</v>
      </c>
      <c r="R5" s="374">
        <v>6434.4856770902124</v>
      </c>
      <c r="S5" s="378">
        <f t="shared" si="0"/>
        <v>84111.527052773497</v>
      </c>
      <c r="T5" s="378">
        <f t="shared" si="1"/>
        <v>40468.463377925866</v>
      </c>
      <c r="U5" s="376">
        <f t="shared" si="2"/>
        <v>0.48112862524223377</v>
      </c>
    </row>
    <row r="6" spans="1:21" x14ac:dyDescent="0.3">
      <c r="A6" s="283" t="s">
        <v>468</v>
      </c>
      <c r="B6" s="283" t="s">
        <v>467</v>
      </c>
      <c r="D6" s="283" t="s">
        <v>466</v>
      </c>
      <c r="E6" s="283">
        <v>3.5999999999999997E-2</v>
      </c>
      <c r="G6" s="5">
        <v>2010</v>
      </c>
      <c r="H6" s="374">
        <v>195620</v>
      </c>
      <c r="I6" s="374">
        <v>12762.777562844243</v>
      </c>
      <c r="J6" s="374">
        <v>16941.728660086053</v>
      </c>
      <c r="K6" s="378">
        <f t="shared" si="3"/>
        <v>246751.58704495089</v>
      </c>
      <c r="L6" s="378">
        <f t="shared" si="4"/>
        <v>64417.219239870923</v>
      </c>
      <c r="M6" s="376">
        <f t="shared" si="5"/>
        <v>0.26106101286447247</v>
      </c>
      <c r="O6" s="5">
        <v>2010</v>
      </c>
      <c r="P6" s="374">
        <v>58503</v>
      </c>
      <c r="Q6" s="374">
        <v>3754.3235340413339</v>
      </c>
      <c r="R6" s="374">
        <v>4558.379607683858</v>
      </c>
      <c r="S6" s="378">
        <f t="shared" si="0"/>
        <v>68869.135434222233</v>
      </c>
      <c r="T6" s="378">
        <f t="shared" si="1"/>
        <v>28669.054136376464</v>
      </c>
      <c r="U6" s="376">
        <f t="shared" si="2"/>
        <v>0.41628305561870504</v>
      </c>
    </row>
    <row r="7" spans="1:21" x14ac:dyDescent="0.3">
      <c r="G7" s="5">
        <v>2011</v>
      </c>
      <c r="H7" s="374">
        <v>242568.99999965</v>
      </c>
      <c r="I7" s="374">
        <v>10399.809978781115</v>
      </c>
      <c r="J7" s="374">
        <v>14808.574118480177</v>
      </c>
      <c r="K7" s="378">
        <f t="shared" si="3"/>
        <v>281195.74876122037</v>
      </c>
      <c r="L7" s="378">
        <f t="shared" si="4"/>
        <v>56306.365469506374</v>
      </c>
      <c r="M7" s="376">
        <f t="shared" si="5"/>
        <v>0.20023903532524376</v>
      </c>
      <c r="O7" s="5">
        <v>2011</v>
      </c>
      <c r="P7" s="374">
        <v>66575</v>
      </c>
      <c r="Q7" s="374">
        <v>6144.0821715848288</v>
      </c>
      <c r="R7" s="374">
        <v>7230.8588032078251</v>
      </c>
      <c r="S7" s="378">
        <f t="shared" si="0"/>
        <v>90143.441330722198</v>
      </c>
      <c r="T7" s="378">
        <f t="shared" si="1"/>
        <v>45477.099391244185</v>
      </c>
      <c r="U7" s="376">
        <f t="shared" si="2"/>
        <v>0.50449704071531742</v>
      </c>
    </row>
    <row r="8" spans="1:21" x14ac:dyDescent="0.3">
      <c r="G8" s="5">
        <v>2012</v>
      </c>
      <c r="H8" s="374">
        <v>209074.00000043999</v>
      </c>
      <c r="I8" s="374">
        <v>7315.3640298221444</v>
      </c>
      <c r="J8" s="374">
        <v>22797.00498489329</v>
      </c>
      <c r="K8" s="378">
        <f t="shared" si="3"/>
        <v>234840.08232837892</v>
      </c>
      <c r="L8" s="378">
        <f t="shared" si="4"/>
        <v>86680.627318985891</v>
      </c>
      <c r="M8" s="376">
        <f t="shared" si="5"/>
        <v>0.36910490943270757</v>
      </c>
      <c r="O8" s="5">
        <v>2012</v>
      </c>
      <c r="P8" s="374">
        <v>46495</v>
      </c>
      <c r="Q8" s="374">
        <v>3703.3069055457468</v>
      </c>
      <c r="R8" s="374">
        <v>4948.2481998490684</v>
      </c>
      <c r="S8" s="378">
        <f t="shared" si="0"/>
        <v>59259.068588338028</v>
      </c>
      <c r="T8" s="378">
        <f t="shared" si="1"/>
        <v>31121.057860685964</v>
      </c>
      <c r="U8" s="376">
        <f t="shared" si="2"/>
        <v>0.52516954116977932</v>
      </c>
    </row>
    <row r="9" spans="1:21" x14ac:dyDescent="0.3">
      <c r="G9" s="5">
        <v>2013</v>
      </c>
      <c r="H9" s="374">
        <v>149541</v>
      </c>
      <c r="I9" s="374">
        <v>14569.178149354335</v>
      </c>
      <c r="J9" s="374">
        <v>14929.869850725638</v>
      </c>
      <c r="K9" s="378">
        <f t="shared" si="3"/>
        <v>210604.24269111568</v>
      </c>
      <c r="L9" s="378">
        <f t="shared" si="4"/>
        <v>56767.565972340824</v>
      </c>
      <c r="M9" s="376">
        <f t="shared" si="5"/>
        <v>0.26954616510551216</v>
      </c>
      <c r="O9" s="5">
        <v>2013</v>
      </c>
      <c r="P9" s="374">
        <v>56392</v>
      </c>
      <c r="Q9" s="374">
        <v>6661.6808608921838</v>
      </c>
      <c r="R9" s="374">
        <v>8380.8243088643594</v>
      </c>
      <c r="S9" s="378">
        <f t="shared" si="0"/>
        <v>85521.363904982281</v>
      </c>
      <c r="T9" s="378">
        <f t="shared" si="1"/>
        <v>52709.586848203515</v>
      </c>
      <c r="U9" s="376">
        <f t="shared" si="2"/>
        <v>0.61633239276639706</v>
      </c>
    </row>
    <row r="10" spans="1:21" ht="15" thickBot="1" x14ac:dyDescent="0.35">
      <c r="G10" s="87">
        <v>2014</v>
      </c>
      <c r="H10" s="375">
        <v>355570</v>
      </c>
      <c r="I10" s="375">
        <v>14440.748444726392</v>
      </c>
      <c r="J10" s="375">
        <v>16444.604497760971</v>
      </c>
      <c r="K10" s="379">
        <f t="shared" si="3"/>
        <v>408520.63216770045</v>
      </c>
      <c r="L10" s="379">
        <f t="shared" si="4"/>
        <v>62527.013299471371</v>
      </c>
      <c r="M10" s="377">
        <f t="shared" si="5"/>
        <v>0.15305717355740214</v>
      </c>
      <c r="O10" s="87">
        <v>2014</v>
      </c>
      <c r="P10" s="375">
        <v>86942</v>
      </c>
      <c r="Q10" s="375">
        <v>6375.7378403292605</v>
      </c>
      <c r="R10" s="375">
        <v>7949.6934006450456</v>
      </c>
      <c r="S10" s="379">
        <f t="shared" si="0"/>
        <v>107355.99899578151</v>
      </c>
      <c r="T10" s="379">
        <f t="shared" si="1"/>
        <v>49998.071702170098</v>
      </c>
      <c r="U10" s="377">
        <f t="shared" si="2"/>
        <v>0.46572219689497502</v>
      </c>
    </row>
    <row r="12" spans="1:21" ht="15" customHeight="1" x14ac:dyDescent="0.3">
      <c r="K12" s="416" t="s">
        <v>497</v>
      </c>
      <c r="L12" s="416"/>
      <c r="M12" s="191">
        <f>AVERAGE(M3:M9)</f>
        <v>0.2854318524912528</v>
      </c>
      <c r="S12" s="416" t="s">
        <v>497</v>
      </c>
      <c r="T12" s="416"/>
      <c r="U12" s="191">
        <f>AVERAGE(U3:U9)</f>
        <v>0.50786553596964734</v>
      </c>
    </row>
    <row r="25" spans="8:9" x14ac:dyDescent="0.3">
      <c r="I25" s="373"/>
    </row>
    <row r="29" spans="8:9" x14ac:dyDescent="0.3">
      <c r="H29" s="373"/>
    </row>
    <row r="31" spans="8:9" x14ac:dyDescent="0.3">
      <c r="H31" s="373"/>
    </row>
  </sheetData>
  <mergeCells count="5">
    <mergeCell ref="G1:M1"/>
    <mergeCell ref="A1:E1"/>
    <mergeCell ref="O1:U1"/>
    <mergeCell ref="K12:L12"/>
    <mergeCell ref="S12:T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96"/>
  <sheetViews>
    <sheetView topLeftCell="A31" workbookViewId="0">
      <selection activeCell="J10" sqref="J10"/>
    </sheetView>
  </sheetViews>
  <sheetFormatPr defaultColWidth="9.109375" defaultRowHeight="13.8" x14ac:dyDescent="0.25"/>
  <cols>
    <col min="1" max="1" width="13.5546875" style="171" customWidth="1"/>
    <col min="2" max="2" width="26.88671875" style="171" bestFit="1" customWidth="1"/>
    <col min="3" max="3" width="10.109375" style="171" customWidth="1"/>
    <col min="4" max="4" width="9.109375" style="171" customWidth="1"/>
    <col min="5" max="5" width="9.6640625" style="171" customWidth="1"/>
    <col min="6" max="6" width="9.109375" style="171" customWidth="1"/>
    <col min="7" max="7" width="9.109375" style="171" hidden="1" customWidth="1"/>
    <col min="8" max="8" width="0" style="171" hidden="1" customWidth="1"/>
    <col min="9" max="9" width="9.109375" style="171"/>
    <col min="10" max="10" width="11.44140625" style="171" customWidth="1"/>
    <col min="11" max="11" width="12.33203125" style="171" customWidth="1"/>
    <col min="12" max="16384" width="9.109375" style="171"/>
  </cols>
  <sheetData>
    <row r="1" spans="1:12" x14ac:dyDescent="0.25">
      <c r="A1" s="170" t="s">
        <v>341</v>
      </c>
      <c r="B1" s="170"/>
      <c r="C1" s="170"/>
      <c r="D1" s="170"/>
      <c r="E1" s="170"/>
      <c r="F1" s="170"/>
      <c r="G1" s="170"/>
    </row>
    <row r="2" spans="1:12" x14ac:dyDescent="0.25">
      <c r="A2" s="170" t="s">
        <v>342</v>
      </c>
      <c r="B2" s="170"/>
      <c r="C2" s="170"/>
      <c r="D2" s="170"/>
      <c r="E2" s="170"/>
      <c r="F2" s="170"/>
      <c r="G2" s="170"/>
    </row>
    <row r="3" spans="1:12" x14ac:dyDescent="0.25">
      <c r="A3" s="170" t="s">
        <v>343</v>
      </c>
      <c r="B3" s="170"/>
      <c r="C3" s="170"/>
      <c r="D3" s="170"/>
      <c r="E3" s="170"/>
      <c r="F3" s="170"/>
      <c r="G3" s="170"/>
    </row>
    <row r="4" spans="1:12" x14ac:dyDescent="0.25">
      <c r="A4" s="170" t="s">
        <v>344</v>
      </c>
      <c r="B4" s="170"/>
      <c r="C4" s="170"/>
      <c r="D4" s="170"/>
      <c r="E4" s="170"/>
      <c r="F4" s="170"/>
      <c r="G4" s="170"/>
    </row>
    <row r="5" spans="1:12" x14ac:dyDescent="0.25">
      <c r="A5" s="170" t="s">
        <v>345</v>
      </c>
      <c r="B5" s="170"/>
      <c r="C5" s="170"/>
      <c r="D5" s="170"/>
      <c r="E5" s="170"/>
      <c r="F5" s="170"/>
      <c r="G5" s="170"/>
    </row>
    <row r="7" spans="1:12" ht="41.4" x14ac:dyDescent="0.25">
      <c r="A7" s="171" t="s">
        <v>314</v>
      </c>
      <c r="B7" s="172" t="s">
        <v>216</v>
      </c>
      <c r="C7" s="171" t="s">
        <v>194</v>
      </c>
      <c r="D7" s="172" t="s">
        <v>346</v>
      </c>
      <c r="E7" s="172" t="s">
        <v>347</v>
      </c>
      <c r="F7" s="172" t="s">
        <v>348</v>
      </c>
      <c r="G7" s="172" t="s">
        <v>349</v>
      </c>
      <c r="H7" s="172" t="s">
        <v>350</v>
      </c>
    </row>
    <row r="8" spans="1:12" x14ac:dyDescent="0.25">
      <c r="A8" s="171">
        <v>2007</v>
      </c>
      <c r="B8" s="171" t="s">
        <v>351</v>
      </c>
      <c r="C8" s="171" t="s">
        <v>352</v>
      </c>
      <c r="D8" s="409">
        <f>61000+8000+6130</f>
        <v>75130</v>
      </c>
      <c r="E8" s="409">
        <f>35527+118</f>
        <v>35645</v>
      </c>
      <c r="F8" s="409">
        <v>118</v>
      </c>
      <c r="G8" s="408">
        <v>7844.7929999999997</v>
      </c>
      <c r="H8" s="408">
        <v>0</v>
      </c>
      <c r="J8" s="174">
        <f>F8/(D8+E8)</f>
        <v>1.0652222974497855E-3</v>
      </c>
    </row>
    <row r="9" spans="1:12" x14ac:dyDescent="0.25">
      <c r="A9" s="171">
        <v>2007</v>
      </c>
      <c r="B9" s="171" t="s">
        <v>351</v>
      </c>
      <c r="C9" s="175" t="s">
        <v>353</v>
      </c>
      <c r="D9" s="409">
        <v>83235</v>
      </c>
      <c r="E9" s="409">
        <v>2398</v>
      </c>
      <c r="F9" s="409">
        <v>10701.359999999999</v>
      </c>
      <c r="G9" s="408">
        <v>1899.3910000000001</v>
      </c>
      <c r="H9" s="408">
        <v>2536.2223199999994</v>
      </c>
      <c r="J9" s="176">
        <f>(F9+F10)/(D9+E9+D10+E10)</f>
        <v>0.14909682330957158</v>
      </c>
      <c r="K9" s="177">
        <f>F9/(D9+E9)</f>
        <v>0.12496771104597525</v>
      </c>
    </row>
    <row r="10" spans="1:12" x14ac:dyDescent="0.25">
      <c r="A10" s="171">
        <v>2007</v>
      </c>
      <c r="B10" s="171" t="s">
        <v>351</v>
      </c>
      <c r="C10" s="175" t="s">
        <v>354</v>
      </c>
      <c r="D10" s="409">
        <v>104</v>
      </c>
      <c r="E10" s="409">
        <v>957</v>
      </c>
      <c r="F10" s="409">
        <v>2224.44</v>
      </c>
      <c r="G10" s="408">
        <v>195.08200000000002</v>
      </c>
      <c r="H10" s="408">
        <v>527.19227999999998</v>
      </c>
      <c r="J10" s="174"/>
      <c r="K10" s="178">
        <f t="shared" ref="K10:K70" si="0">F10/(D10+E10)</f>
        <v>2.0965504241281812</v>
      </c>
    </row>
    <row r="11" spans="1:12" x14ac:dyDescent="0.25">
      <c r="A11" s="171">
        <v>2007</v>
      </c>
      <c r="B11" s="171" t="s">
        <v>355</v>
      </c>
      <c r="C11" s="171" t="s">
        <v>352</v>
      </c>
      <c r="D11" s="409">
        <f>46323+39368</f>
        <v>85691</v>
      </c>
      <c r="E11" s="409">
        <f>5973+4109</f>
        <v>10082</v>
      </c>
      <c r="F11" s="409">
        <f>15590+9220</f>
        <v>24810</v>
      </c>
      <c r="G11" s="408">
        <v>4343.0698197588126</v>
      </c>
      <c r="H11" s="408">
        <v>2993.28</v>
      </c>
      <c r="J11" s="174">
        <f t="shared" ref="J11:J70" si="1">F11/(D11+E11)</f>
        <v>0.25905004541989912</v>
      </c>
      <c r="K11" s="178">
        <f>F11/(D11+E11)</f>
        <v>0.25905004541989912</v>
      </c>
    </row>
    <row r="12" spans="1:12" x14ac:dyDescent="0.25">
      <c r="A12" s="171">
        <v>2007</v>
      </c>
      <c r="B12" s="171" t="s">
        <v>355</v>
      </c>
      <c r="C12" s="175" t="s">
        <v>353</v>
      </c>
      <c r="D12" s="409">
        <v>92921</v>
      </c>
      <c r="E12" s="409">
        <v>250</v>
      </c>
      <c r="F12" s="409">
        <v>8810</v>
      </c>
      <c r="G12" s="408">
        <v>1568.4470000000001</v>
      </c>
      <c r="H12" s="408">
        <v>3414.0845399999998</v>
      </c>
      <c r="J12" s="176">
        <f>(F12+F13)/(D12+E12+D13+E13)</f>
        <v>9.4557319337562118E-2</v>
      </c>
      <c r="K12" s="177">
        <f t="shared" si="0"/>
        <v>9.4557319337562118E-2</v>
      </c>
    </row>
    <row r="13" spans="1:12" x14ac:dyDescent="0.25">
      <c r="A13" s="171">
        <v>2007</v>
      </c>
      <c r="B13" s="171" t="s">
        <v>355</v>
      </c>
      <c r="C13" s="175" t="s">
        <v>354</v>
      </c>
      <c r="D13" s="409">
        <v>0</v>
      </c>
      <c r="E13" s="409">
        <v>0</v>
      </c>
      <c r="F13" s="409"/>
      <c r="G13" s="408">
        <v>0</v>
      </c>
      <c r="H13" s="408">
        <v>0</v>
      </c>
      <c r="J13" s="174"/>
      <c r="K13" s="177" t="e">
        <f t="shared" si="0"/>
        <v>#DIV/0!</v>
      </c>
    </row>
    <row r="14" spans="1:12" x14ac:dyDescent="0.25">
      <c r="A14" s="171">
        <v>2007</v>
      </c>
      <c r="B14" s="171" t="s">
        <v>356</v>
      </c>
      <c r="C14" s="171" t="s">
        <v>352</v>
      </c>
      <c r="D14" s="409">
        <v>9882</v>
      </c>
      <c r="E14" s="409">
        <v>1773.6205760942862</v>
      </c>
      <c r="F14" s="409">
        <v>4040.6467125852523</v>
      </c>
      <c r="G14" s="408">
        <v>1022.393150610103</v>
      </c>
      <c r="H14" s="408">
        <v>775.80416881636847</v>
      </c>
      <c r="J14" s="174">
        <f t="shared" si="1"/>
        <v>0.34666937604957998</v>
      </c>
      <c r="K14" s="178">
        <f t="shared" si="0"/>
        <v>0.34666937604957998</v>
      </c>
    </row>
    <row r="15" spans="1:12" x14ac:dyDescent="0.25">
      <c r="A15" s="171">
        <v>2007</v>
      </c>
      <c r="B15" s="171" t="s">
        <v>357</v>
      </c>
      <c r="C15" s="171" t="s">
        <v>352</v>
      </c>
      <c r="D15" s="409">
        <v>14561.353465689197</v>
      </c>
      <c r="E15" s="409">
        <v>1822.7739826486761</v>
      </c>
      <c r="F15" s="409">
        <v>23772.61139516655</v>
      </c>
      <c r="G15" s="408">
        <v>1354.7059938011005</v>
      </c>
      <c r="H15" s="408">
        <v>4564.3413878719775</v>
      </c>
      <c r="J15" s="174">
        <f t="shared" si="1"/>
        <v>1.4509537642529886</v>
      </c>
      <c r="K15" s="178">
        <f t="shared" si="0"/>
        <v>1.4509537642529886</v>
      </c>
    </row>
    <row r="16" spans="1:12" x14ac:dyDescent="0.25">
      <c r="A16" s="171">
        <v>2007</v>
      </c>
      <c r="B16" s="171" t="s">
        <v>358</v>
      </c>
      <c r="C16" s="171" t="s">
        <v>352</v>
      </c>
      <c r="D16" s="409">
        <v>26549.332907399796</v>
      </c>
      <c r="E16" s="409">
        <v>4568.7032845455669</v>
      </c>
      <c r="F16" s="409">
        <v>7263.4488731867059</v>
      </c>
      <c r="G16" s="408">
        <v>2709.095001243335</v>
      </c>
      <c r="H16" s="408">
        <v>1394.5821836518476</v>
      </c>
      <c r="J16" s="174">
        <f t="shared" si="1"/>
        <v>0.23341604297853433</v>
      </c>
      <c r="K16" s="178">
        <f t="shared" si="0"/>
        <v>0.23341604297853433</v>
      </c>
      <c r="L16" s="174"/>
    </row>
    <row r="17" spans="1:13" x14ac:dyDescent="0.25">
      <c r="A17" s="171">
        <v>2008</v>
      </c>
      <c r="B17" s="171" t="s">
        <v>351</v>
      </c>
      <c r="C17" s="171" t="s">
        <v>352</v>
      </c>
      <c r="D17" s="409">
        <f>43500+11970+2909</f>
        <v>58379</v>
      </c>
      <c r="E17" s="409">
        <f>10649+1463+46</f>
        <v>12158</v>
      </c>
      <c r="F17" s="409">
        <f>180+561</f>
        <v>741</v>
      </c>
      <c r="G17" s="408">
        <v>3259.1909999999998</v>
      </c>
      <c r="H17" s="408">
        <v>0</v>
      </c>
      <c r="J17" s="174">
        <f t="shared" si="1"/>
        <v>1.0505124969873967E-2</v>
      </c>
      <c r="K17" s="178">
        <f t="shared" si="0"/>
        <v>1.0505124969873967E-2</v>
      </c>
      <c r="L17" s="174">
        <f t="shared" ref="L17:L19" si="2">K17/J17</f>
        <v>1</v>
      </c>
      <c r="M17" s="171">
        <v>8.7025316455696208E-2</v>
      </c>
    </row>
    <row r="18" spans="1:13" x14ac:dyDescent="0.25">
      <c r="A18" s="171">
        <v>2008</v>
      </c>
      <c r="B18" s="171" t="s">
        <v>351</v>
      </c>
      <c r="C18" s="175" t="s">
        <v>353</v>
      </c>
      <c r="D18" s="409">
        <v>52147</v>
      </c>
      <c r="E18" s="409">
        <v>445</v>
      </c>
      <c r="F18" s="409">
        <v>4878.07</v>
      </c>
      <c r="G18" s="408">
        <v>976.38900000000001</v>
      </c>
      <c r="H18" s="408">
        <v>1156.10259</v>
      </c>
      <c r="J18" s="176">
        <f>(F18+F19)/(D18+E18+D19+E19)</f>
        <v>0.1035441716533378</v>
      </c>
      <c r="K18" s="177">
        <f t="shared" si="0"/>
        <v>9.2753080316397923E-2</v>
      </c>
      <c r="L18" s="174">
        <f t="shared" si="2"/>
        <v>0.89578272572339401</v>
      </c>
      <c r="M18" s="171">
        <v>2.160185575706453</v>
      </c>
    </row>
    <row r="19" spans="1:13" x14ac:dyDescent="0.25">
      <c r="A19" s="171">
        <v>2008</v>
      </c>
      <c r="B19" s="171" t="s">
        <v>351</v>
      </c>
      <c r="C19" s="175" t="s">
        <v>354</v>
      </c>
      <c r="D19" s="409">
        <v>0</v>
      </c>
      <c r="E19" s="409">
        <v>1051</v>
      </c>
      <c r="F19" s="409">
        <v>676.35</v>
      </c>
      <c r="G19" s="408">
        <v>212.30200000000002</v>
      </c>
      <c r="H19" s="408">
        <v>160.29495</v>
      </c>
      <c r="J19" s="174"/>
      <c r="K19" s="178">
        <f t="shared" si="0"/>
        <v>0.64352997145575641</v>
      </c>
      <c r="L19" s="174" t="e">
        <f t="shared" si="2"/>
        <v>#DIV/0!</v>
      </c>
      <c r="M19" s="171">
        <v>0.67054745822964801</v>
      </c>
    </row>
    <row r="20" spans="1:13" x14ac:dyDescent="0.25">
      <c r="A20" s="171">
        <v>2008</v>
      </c>
      <c r="B20" s="171" t="s">
        <v>355</v>
      </c>
      <c r="C20" s="171" t="s">
        <v>352</v>
      </c>
      <c r="D20" s="409">
        <f>50556+24855</f>
        <v>75411</v>
      </c>
      <c r="E20" s="409">
        <f>14483+1720</f>
        <v>16203</v>
      </c>
      <c r="F20" s="409">
        <f>8068+7194</f>
        <v>15262</v>
      </c>
      <c r="G20" s="408">
        <v>6269.1</v>
      </c>
      <c r="H20" s="408">
        <v>1549.056</v>
      </c>
      <c r="J20" s="174">
        <f t="shared" si="1"/>
        <v>0.16659025913070055</v>
      </c>
      <c r="K20" s="178">
        <f t="shared" si="0"/>
        <v>0.16659025913070055</v>
      </c>
      <c r="M20" s="171">
        <v>0.5063202247191011</v>
      </c>
    </row>
    <row r="21" spans="1:13" x14ac:dyDescent="0.25">
      <c r="A21" s="171">
        <v>2008</v>
      </c>
      <c r="B21" s="171" t="s">
        <v>355</v>
      </c>
      <c r="C21" s="175" t="s">
        <v>353</v>
      </c>
      <c r="D21" s="409">
        <v>95170</v>
      </c>
      <c r="E21" s="409">
        <v>65</v>
      </c>
      <c r="F21" s="409">
        <v>7233</v>
      </c>
      <c r="G21" s="408">
        <v>1546.0200000000002</v>
      </c>
      <c r="H21" s="408">
        <v>2862.7490699999994</v>
      </c>
      <c r="J21" s="176">
        <f>(F21+F22)/(D21+E21+D22+E22)</f>
        <v>7.5948968341471093E-2</v>
      </c>
      <c r="K21" s="177">
        <f t="shared" si="0"/>
        <v>7.5948968341471093E-2</v>
      </c>
    </row>
    <row r="22" spans="1:13" x14ac:dyDescent="0.25">
      <c r="A22" s="171">
        <v>2008</v>
      </c>
      <c r="B22" s="171" t="s">
        <v>355</v>
      </c>
      <c r="C22" s="175" t="s">
        <v>354</v>
      </c>
      <c r="D22" s="409">
        <v>0</v>
      </c>
      <c r="E22" s="409">
        <v>0</v>
      </c>
      <c r="F22" s="409"/>
      <c r="G22" s="408">
        <v>0</v>
      </c>
      <c r="H22" s="408">
        <v>0</v>
      </c>
      <c r="J22" s="174"/>
      <c r="K22" s="177" t="e">
        <f t="shared" si="0"/>
        <v>#DIV/0!</v>
      </c>
    </row>
    <row r="23" spans="1:13" x14ac:dyDescent="0.25">
      <c r="A23" s="171">
        <v>2008</v>
      </c>
      <c r="B23" s="171" t="s">
        <v>356</v>
      </c>
      <c r="C23" s="171" t="s">
        <v>352</v>
      </c>
      <c r="D23" s="409">
        <v>4436</v>
      </c>
      <c r="E23" s="409">
        <v>829</v>
      </c>
      <c r="F23" s="409">
        <v>3156</v>
      </c>
      <c r="G23" s="408">
        <v>465.25200000000001</v>
      </c>
      <c r="H23" s="408">
        <v>605.952</v>
      </c>
      <c r="J23" s="174">
        <f t="shared" si="1"/>
        <v>0.59943019943019948</v>
      </c>
      <c r="K23" s="178">
        <f t="shared" si="0"/>
        <v>0.59943019943019948</v>
      </c>
    </row>
    <row r="24" spans="1:13" x14ac:dyDescent="0.25">
      <c r="A24" s="171">
        <v>2008</v>
      </c>
      <c r="B24" s="171" t="s">
        <v>357</v>
      </c>
      <c r="C24" s="171" t="s">
        <v>352</v>
      </c>
      <c r="D24" s="409">
        <v>8836</v>
      </c>
      <c r="E24" s="409">
        <v>377</v>
      </c>
      <c r="F24" s="409">
        <v>8395</v>
      </c>
      <c r="G24" s="408">
        <v>682.0680000000001</v>
      </c>
      <c r="H24" s="408">
        <v>1611.8400000000001</v>
      </c>
      <c r="J24" s="174">
        <f t="shared" si="1"/>
        <v>0.91121241723651358</v>
      </c>
      <c r="K24" s="178">
        <f t="shared" si="0"/>
        <v>0.91121241723651358</v>
      </c>
    </row>
    <row r="25" spans="1:13" x14ac:dyDescent="0.25">
      <c r="A25" s="171">
        <v>2008</v>
      </c>
      <c r="B25" s="171" t="s">
        <v>358</v>
      </c>
      <c r="C25" s="171" t="s">
        <v>352</v>
      </c>
      <c r="D25" s="409">
        <v>22263</v>
      </c>
      <c r="E25" s="409">
        <v>1460</v>
      </c>
      <c r="F25" s="409">
        <v>5080</v>
      </c>
      <c r="G25" s="408">
        <v>1816.4670000000001</v>
      </c>
      <c r="H25" s="408">
        <v>975.36</v>
      </c>
      <c r="J25" s="174">
        <f t="shared" si="1"/>
        <v>0.21413817813935843</v>
      </c>
      <c r="K25" s="178">
        <f t="shared" si="0"/>
        <v>0.21413817813935843</v>
      </c>
    </row>
    <row r="26" spans="1:13" x14ac:dyDescent="0.25">
      <c r="A26" s="171">
        <v>2009</v>
      </c>
      <c r="B26" s="171" t="s">
        <v>351</v>
      </c>
      <c r="C26" s="171" t="s">
        <v>352</v>
      </c>
      <c r="D26" s="409">
        <f>34000+9177+3239</f>
        <v>46416</v>
      </c>
      <c r="E26" s="409">
        <f>17234+1703</f>
        <v>18937</v>
      </c>
      <c r="F26" s="409">
        <v>0</v>
      </c>
      <c r="G26" s="408">
        <v>3964.2060000000001</v>
      </c>
      <c r="H26" s="408">
        <v>0</v>
      </c>
      <c r="J26" s="174">
        <f t="shared" si="1"/>
        <v>0</v>
      </c>
      <c r="K26" s="178">
        <f t="shared" si="0"/>
        <v>0</v>
      </c>
    </row>
    <row r="27" spans="1:13" x14ac:dyDescent="0.25">
      <c r="A27" s="171">
        <v>2009</v>
      </c>
      <c r="B27" s="171" t="s">
        <v>351</v>
      </c>
      <c r="C27" s="175" t="s">
        <v>353</v>
      </c>
      <c r="D27" s="409">
        <v>75470</v>
      </c>
      <c r="E27" s="409">
        <v>419</v>
      </c>
      <c r="F27" s="409">
        <v>7459.8899999999994</v>
      </c>
      <c r="G27" s="408">
        <v>1367.6279999999999</v>
      </c>
      <c r="H27" s="408">
        <v>1767.9939299999999</v>
      </c>
      <c r="J27" s="176">
        <f>(F27+F28)/(D27+E27+D28+E28)</f>
        <v>0.16517161043921069</v>
      </c>
      <c r="K27" s="177">
        <f t="shared" si="0"/>
        <v>9.8300017130282372E-2</v>
      </c>
    </row>
    <row r="28" spans="1:13" x14ac:dyDescent="0.25">
      <c r="A28" s="171">
        <v>2009</v>
      </c>
      <c r="B28" s="171" t="s">
        <v>351</v>
      </c>
      <c r="C28" s="175" t="s">
        <v>354</v>
      </c>
      <c r="D28" s="409">
        <v>170</v>
      </c>
      <c r="E28" s="409">
        <v>2491</v>
      </c>
      <c r="F28" s="409">
        <v>5514.34</v>
      </c>
      <c r="G28" s="408">
        <v>506.072</v>
      </c>
      <c r="H28" s="408">
        <v>1306.89858</v>
      </c>
      <c r="J28" s="174"/>
      <c r="K28" s="178">
        <f t="shared" si="0"/>
        <v>2.0722810973318304</v>
      </c>
    </row>
    <row r="29" spans="1:13" x14ac:dyDescent="0.25">
      <c r="A29" s="171">
        <v>2009</v>
      </c>
      <c r="B29" s="171" t="s">
        <v>355</v>
      </c>
      <c r="C29" s="171" t="s">
        <v>352</v>
      </c>
      <c r="D29" s="409">
        <f>66426+31921</f>
        <v>98347</v>
      </c>
      <c r="E29" s="409">
        <f>16520+6504</f>
        <v>23024</v>
      </c>
      <c r="F29" s="409">
        <f>27863+10137</f>
        <v>38000</v>
      </c>
      <c r="G29" s="408">
        <v>7755.2340000000004</v>
      </c>
      <c r="H29" s="408">
        <v>5349.6959999999999</v>
      </c>
      <c r="J29" s="174">
        <f t="shared" si="1"/>
        <v>0.31308961778349031</v>
      </c>
      <c r="K29" s="178">
        <f t="shared" si="0"/>
        <v>0.31308961778349031</v>
      </c>
    </row>
    <row r="30" spans="1:13" x14ac:dyDescent="0.25">
      <c r="A30" s="171">
        <v>2009</v>
      </c>
      <c r="B30" s="171" t="s">
        <v>355</v>
      </c>
      <c r="C30" s="175" t="s">
        <v>353</v>
      </c>
      <c r="D30" s="409">
        <v>58191</v>
      </c>
      <c r="E30" s="409">
        <v>134</v>
      </c>
      <c r="F30" s="409">
        <v>3858</v>
      </c>
      <c r="G30" s="408">
        <v>931.31500000000005</v>
      </c>
      <c r="H30" s="408">
        <v>1550.7052199999998</v>
      </c>
      <c r="J30" s="176">
        <f>(F30+F31)/(D30+E30+D31+E31)</f>
        <v>7.033278666119995E-2</v>
      </c>
      <c r="K30" s="177">
        <f t="shared" si="0"/>
        <v>6.6146592370338625E-2</v>
      </c>
    </row>
    <row r="31" spans="1:13" x14ac:dyDescent="0.25">
      <c r="A31" s="171">
        <v>2009</v>
      </c>
      <c r="B31" s="171" t="s">
        <v>355</v>
      </c>
      <c r="C31" s="175" t="s">
        <v>354</v>
      </c>
      <c r="D31" s="409">
        <v>0</v>
      </c>
      <c r="E31" s="409">
        <v>211</v>
      </c>
      <c r="F31" s="409">
        <v>259</v>
      </c>
      <c r="G31" s="408">
        <v>42.622</v>
      </c>
      <c r="H31" s="408">
        <v>102.50961</v>
      </c>
      <c r="J31" s="174"/>
      <c r="K31" s="177">
        <f t="shared" si="0"/>
        <v>1.2274881516587677</v>
      </c>
    </row>
    <row r="32" spans="1:13" x14ac:dyDescent="0.25">
      <c r="A32" s="171">
        <v>2009</v>
      </c>
      <c r="B32" s="171" t="s">
        <v>356</v>
      </c>
      <c r="C32" s="171" t="s">
        <v>352</v>
      </c>
      <c r="D32" s="409">
        <v>11501</v>
      </c>
      <c r="E32" s="409">
        <v>1432</v>
      </c>
      <c r="F32" s="409">
        <v>14552</v>
      </c>
      <c r="G32" s="408">
        <v>1068.5130000000001</v>
      </c>
      <c r="H32" s="408">
        <v>2793.9839999999999</v>
      </c>
      <c r="J32" s="174">
        <f t="shared" si="1"/>
        <v>1.1251836387535761</v>
      </c>
      <c r="K32" s="178">
        <f t="shared" si="0"/>
        <v>1.1251836387535761</v>
      </c>
    </row>
    <row r="33" spans="1:11" x14ac:dyDescent="0.25">
      <c r="A33" s="171">
        <v>2009</v>
      </c>
      <c r="B33" s="171" t="s">
        <v>357</v>
      </c>
      <c r="C33" s="171" t="s">
        <v>352</v>
      </c>
      <c r="D33" s="409">
        <v>17884</v>
      </c>
      <c r="E33" s="409">
        <v>3940</v>
      </c>
      <c r="F33" s="409">
        <v>17704</v>
      </c>
      <c r="G33" s="408">
        <v>1990.4760000000001</v>
      </c>
      <c r="H33" s="408">
        <v>3399.1680000000001</v>
      </c>
      <c r="J33" s="174">
        <f t="shared" si="1"/>
        <v>0.8112170087976539</v>
      </c>
      <c r="K33" s="178">
        <f t="shared" si="0"/>
        <v>0.8112170087976539</v>
      </c>
    </row>
    <row r="34" spans="1:11" x14ac:dyDescent="0.25">
      <c r="A34" s="171">
        <v>2009</v>
      </c>
      <c r="B34" s="171" t="s">
        <v>358</v>
      </c>
      <c r="C34" s="171" t="s">
        <v>352</v>
      </c>
      <c r="D34" s="409">
        <v>25587</v>
      </c>
      <c r="E34" s="409">
        <v>3736</v>
      </c>
      <c r="F34" s="409">
        <v>40433</v>
      </c>
      <c r="G34" s="408">
        <v>2482.8150000000001</v>
      </c>
      <c r="H34" s="408">
        <v>7763.1360000000004</v>
      </c>
      <c r="J34" s="174">
        <f t="shared" si="1"/>
        <v>1.3788834703134059</v>
      </c>
      <c r="K34" s="178">
        <f t="shared" si="0"/>
        <v>1.3788834703134059</v>
      </c>
    </row>
    <row r="35" spans="1:11" x14ac:dyDescent="0.25">
      <c r="A35" s="171">
        <v>2010</v>
      </c>
      <c r="B35" s="171" t="s">
        <v>351</v>
      </c>
      <c r="C35" s="171" t="s">
        <v>352</v>
      </c>
      <c r="D35" s="409">
        <f>46400+7570+4043</f>
        <v>58013</v>
      </c>
      <c r="E35" s="409">
        <f>32117+386</f>
        <v>32503</v>
      </c>
      <c r="F35" s="409">
        <v>177</v>
      </c>
      <c r="G35" s="408">
        <v>6777.0029999999997</v>
      </c>
      <c r="H35" s="408">
        <v>0</v>
      </c>
      <c r="J35" s="174">
        <f t="shared" si="1"/>
        <v>1.955455389102479E-3</v>
      </c>
      <c r="K35" s="178">
        <f t="shared" si="0"/>
        <v>1.955455389102479E-3</v>
      </c>
    </row>
    <row r="36" spans="1:11" x14ac:dyDescent="0.25">
      <c r="A36" s="171">
        <v>2010</v>
      </c>
      <c r="B36" s="171" t="s">
        <v>351</v>
      </c>
      <c r="C36" s="175" t="s">
        <v>353</v>
      </c>
      <c r="D36" s="409">
        <v>90213</v>
      </c>
      <c r="E36" s="409">
        <v>626</v>
      </c>
      <c r="F36" s="409">
        <v>5738.12</v>
      </c>
      <c r="G36" s="408">
        <v>1660.0730000000001</v>
      </c>
      <c r="H36" s="408">
        <v>1359.93444</v>
      </c>
      <c r="J36" s="176">
        <f>(F36+F37)/(D36+E36+D37+E37)</f>
        <v>0.10636435544864502</v>
      </c>
      <c r="K36" s="177">
        <f t="shared" si="0"/>
        <v>6.3168022545382493E-2</v>
      </c>
    </row>
    <row r="37" spans="1:11" x14ac:dyDescent="0.25">
      <c r="A37" s="171">
        <v>2010</v>
      </c>
      <c r="B37" s="171" t="s">
        <v>351</v>
      </c>
      <c r="C37" s="175" t="s">
        <v>354</v>
      </c>
      <c r="D37" s="409">
        <v>1</v>
      </c>
      <c r="E37" s="409">
        <v>1449</v>
      </c>
      <c r="F37" s="409">
        <v>4078.14</v>
      </c>
      <c r="G37" s="408">
        <v>292.71500000000003</v>
      </c>
      <c r="H37" s="408">
        <v>966.51917999999989</v>
      </c>
      <c r="J37" s="174"/>
      <c r="K37" s="178">
        <f t="shared" si="0"/>
        <v>2.8125103448275861</v>
      </c>
    </row>
    <row r="38" spans="1:11" x14ac:dyDescent="0.25">
      <c r="A38" s="171">
        <v>2010</v>
      </c>
      <c r="B38" s="171" t="s">
        <v>355</v>
      </c>
      <c r="C38" s="171" t="s">
        <v>352</v>
      </c>
      <c r="D38" s="409">
        <f>54924+24687</f>
        <v>79611</v>
      </c>
      <c r="E38" s="409">
        <f>35879+7936</f>
        <v>43815</v>
      </c>
      <c r="F38" s="409">
        <f>9873+4785</f>
        <v>14658</v>
      </c>
      <c r="G38" s="408">
        <v>10678.524000000001</v>
      </c>
      <c r="H38" s="408">
        <v>1895.616</v>
      </c>
      <c r="J38" s="174">
        <f t="shared" si="1"/>
        <v>0.11875941859899859</v>
      </c>
      <c r="K38" s="178">
        <f t="shared" si="0"/>
        <v>0.11875941859899859</v>
      </c>
    </row>
    <row r="39" spans="1:11" x14ac:dyDescent="0.25">
      <c r="A39" s="171">
        <v>2010</v>
      </c>
      <c r="B39" s="171" t="s">
        <v>355</v>
      </c>
      <c r="C39" s="175" t="s">
        <v>353</v>
      </c>
      <c r="D39" s="409">
        <v>84123</v>
      </c>
      <c r="E39" s="409">
        <v>129</v>
      </c>
      <c r="F39" s="409">
        <v>7887.41</v>
      </c>
      <c r="G39" s="408">
        <v>1371.1490000000001</v>
      </c>
      <c r="H39" s="408">
        <v>1869.3161699999998</v>
      </c>
      <c r="J39" s="176">
        <f>(F39+F40)/(D39+E39+D40+E40)</f>
        <v>9.6684418566119895E-2</v>
      </c>
      <c r="K39" s="177">
        <f t="shared" si="0"/>
        <v>9.3616887432939278E-2</v>
      </c>
    </row>
    <row r="40" spans="1:11" x14ac:dyDescent="0.25">
      <c r="A40" s="171">
        <v>2010</v>
      </c>
      <c r="B40" s="171" t="s">
        <v>355</v>
      </c>
      <c r="C40" s="175" t="s">
        <v>354</v>
      </c>
      <c r="D40" s="409">
        <v>0</v>
      </c>
      <c r="E40" s="409">
        <v>246</v>
      </c>
      <c r="F40" s="409">
        <v>282.22999999999996</v>
      </c>
      <c r="G40" s="408">
        <v>49.692</v>
      </c>
      <c r="H40" s="408">
        <v>66.888509999999982</v>
      </c>
      <c r="J40" s="174"/>
      <c r="K40" s="177">
        <f t="shared" si="0"/>
        <v>1.1472764227642276</v>
      </c>
    </row>
    <row r="41" spans="1:11" x14ac:dyDescent="0.25">
      <c r="A41" s="171">
        <v>2010</v>
      </c>
      <c r="B41" s="171" t="s">
        <v>356</v>
      </c>
      <c r="C41" s="171" t="s">
        <v>352</v>
      </c>
      <c r="D41" s="409">
        <v>10016</v>
      </c>
      <c r="E41" s="409">
        <v>1158.4749572999999</v>
      </c>
      <c r="F41" s="409">
        <v>7933.894507</v>
      </c>
      <c r="G41" s="408">
        <v>913.53119180160002</v>
      </c>
      <c r="H41" s="408">
        <v>1523.3077453440001</v>
      </c>
      <c r="J41" s="174">
        <f t="shared" si="1"/>
        <v>0.71000154703617535</v>
      </c>
      <c r="K41" s="178">
        <f t="shared" si="0"/>
        <v>0.71000154703617535</v>
      </c>
    </row>
    <row r="42" spans="1:11" x14ac:dyDescent="0.25">
      <c r="A42" s="171">
        <v>2010</v>
      </c>
      <c r="B42" s="171" t="s">
        <v>357</v>
      </c>
      <c r="C42" s="171" t="s">
        <v>352</v>
      </c>
      <c r="D42" s="409">
        <v>14942.065113200002</v>
      </c>
      <c r="E42" s="409">
        <v>1537.7635735700001</v>
      </c>
      <c r="F42" s="409">
        <v>12166.5383821</v>
      </c>
      <c r="G42" s="408">
        <v>1326.2530989362403</v>
      </c>
      <c r="H42" s="408">
        <v>2335.9753693632001</v>
      </c>
      <c r="J42" s="174">
        <f t="shared" si="1"/>
        <v>0.73826849862021271</v>
      </c>
      <c r="K42" s="178">
        <f t="shared" si="0"/>
        <v>0.73826849862021271</v>
      </c>
    </row>
    <row r="43" spans="1:11" x14ac:dyDescent="0.25">
      <c r="A43" s="171">
        <v>2010</v>
      </c>
      <c r="B43" s="171" t="s">
        <v>358</v>
      </c>
      <c r="C43" s="171" t="s">
        <v>352</v>
      </c>
      <c r="D43" s="409">
        <v>15612.252940009992</v>
      </c>
      <c r="E43" s="409">
        <v>2089.0185885000001</v>
      </c>
      <c r="F43" s="409">
        <v>2778.9902763</v>
      </c>
      <c r="G43" s="408">
        <v>1478.3370218526895</v>
      </c>
      <c r="H43" s="408">
        <v>533.56613304960001</v>
      </c>
      <c r="J43" s="174">
        <f t="shared" si="1"/>
        <v>0.15699382227000516</v>
      </c>
      <c r="K43" s="178">
        <f t="shared" si="0"/>
        <v>0.15699382227000516</v>
      </c>
    </row>
    <row r="44" spans="1:11" x14ac:dyDescent="0.25">
      <c r="A44" s="171">
        <v>2011</v>
      </c>
      <c r="B44" s="171" t="s">
        <v>351</v>
      </c>
      <c r="C44" s="171" t="s">
        <v>352</v>
      </c>
      <c r="D44" s="409">
        <f>48000+14677+7701</f>
        <v>70378</v>
      </c>
      <c r="E44" s="409">
        <f>46453+500+423</f>
        <v>47376</v>
      </c>
      <c r="F44" s="409">
        <f>1746+75</f>
        <v>1821</v>
      </c>
      <c r="G44" s="408">
        <v>9114.027</v>
      </c>
      <c r="H44" s="408">
        <v>0</v>
      </c>
      <c r="J44" s="174">
        <f t="shared" si="1"/>
        <v>1.5464442821475279E-2</v>
      </c>
      <c r="K44" s="178">
        <f t="shared" si="0"/>
        <v>1.5464442821475279E-2</v>
      </c>
    </row>
    <row r="45" spans="1:11" x14ac:dyDescent="0.25">
      <c r="A45" s="171">
        <v>2011</v>
      </c>
      <c r="B45" s="171" t="s">
        <v>351</v>
      </c>
      <c r="C45" s="175" t="s">
        <v>353</v>
      </c>
      <c r="D45" s="409">
        <v>74660</v>
      </c>
      <c r="E45" s="409">
        <v>0</v>
      </c>
      <c r="F45" s="409">
        <v>5237.12</v>
      </c>
      <c r="G45" s="408">
        <v>1269.22</v>
      </c>
      <c r="H45" s="408">
        <v>1241.1974399999999</v>
      </c>
      <c r="J45" s="176">
        <f>(F45+F46)/(D45+E45+D46+E46)</f>
        <v>7.014833011420106E-2</v>
      </c>
      <c r="K45" s="177">
        <f t="shared" si="0"/>
        <v>7.0146263059201713E-2</v>
      </c>
    </row>
    <row r="46" spans="1:11" x14ac:dyDescent="0.25">
      <c r="A46" s="171">
        <v>2011</v>
      </c>
      <c r="B46" s="171" t="s">
        <v>351</v>
      </c>
      <c r="C46" s="175" t="s">
        <v>354</v>
      </c>
      <c r="D46" s="409">
        <v>0</v>
      </c>
      <c r="E46" s="409">
        <v>31994</v>
      </c>
      <c r="F46" s="409">
        <v>2244.48</v>
      </c>
      <c r="G46" s="408">
        <v>6462.7880000000005</v>
      </c>
      <c r="H46" s="408">
        <v>531.94175999999993</v>
      </c>
      <c r="J46" s="174"/>
      <c r="K46" s="178">
        <f t="shared" si="0"/>
        <v>7.0153153716321817E-2</v>
      </c>
    </row>
    <row r="47" spans="1:11" x14ac:dyDescent="0.25">
      <c r="A47" s="171">
        <v>2011</v>
      </c>
      <c r="B47" s="171" t="s">
        <v>355</v>
      </c>
      <c r="C47" s="171" t="s">
        <v>352</v>
      </c>
      <c r="D47" s="409">
        <f>75209+52131</f>
        <v>127340</v>
      </c>
      <c r="E47" s="409">
        <f>23285+6081</f>
        <v>29366</v>
      </c>
      <c r="F47" s="409">
        <f>14328+9458</f>
        <v>23786</v>
      </c>
      <c r="G47" s="408">
        <v>9660.1409999999996</v>
      </c>
      <c r="H47" s="408">
        <v>2750.9760000000001</v>
      </c>
      <c r="J47" s="174">
        <f t="shared" si="1"/>
        <v>0.15178742358301534</v>
      </c>
      <c r="K47" s="178">
        <f t="shared" si="0"/>
        <v>0.15178742358301534</v>
      </c>
    </row>
    <row r="48" spans="1:11" x14ac:dyDescent="0.25">
      <c r="A48" s="171">
        <v>2011</v>
      </c>
      <c r="B48" s="171" t="s">
        <v>355</v>
      </c>
      <c r="C48" s="175" t="s">
        <v>353</v>
      </c>
      <c r="D48" s="409">
        <v>129023</v>
      </c>
      <c r="E48" s="409">
        <v>166</v>
      </c>
      <c r="F48" s="409">
        <v>9265.16</v>
      </c>
      <c r="G48" s="408">
        <v>2141.9230000000002</v>
      </c>
      <c r="H48" s="408">
        <v>2195.84292</v>
      </c>
      <c r="J48" s="176">
        <f>(F48+F49)/(D48+E48+D49+E49)</f>
        <v>7.5388976864547527E-2</v>
      </c>
      <c r="K48" s="177">
        <f t="shared" si="0"/>
        <v>7.1717870716547075E-2</v>
      </c>
    </row>
    <row r="49" spans="1:11" x14ac:dyDescent="0.25">
      <c r="A49" s="171">
        <v>2011</v>
      </c>
      <c r="B49" s="171" t="s">
        <v>355</v>
      </c>
      <c r="C49" s="175" t="s">
        <v>354</v>
      </c>
      <c r="D49" s="409">
        <v>0</v>
      </c>
      <c r="E49" s="409">
        <v>266</v>
      </c>
      <c r="F49" s="409">
        <v>494.32</v>
      </c>
      <c r="G49" s="408">
        <v>53.732000000000006</v>
      </c>
      <c r="H49" s="408">
        <v>117.15383999999999</v>
      </c>
      <c r="J49" s="174"/>
      <c r="K49" s="177">
        <f t="shared" si="0"/>
        <v>1.8583458646616542</v>
      </c>
    </row>
    <row r="50" spans="1:11" x14ac:dyDescent="0.25">
      <c r="A50" s="171">
        <v>2011</v>
      </c>
      <c r="B50" s="171" t="s">
        <v>356</v>
      </c>
      <c r="C50" s="171" t="s">
        <v>352</v>
      </c>
      <c r="D50" s="409">
        <v>11934</v>
      </c>
      <c r="E50" s="409">
        <v>1952</v>
      </c>
      <c r="F50" s="409">
        <v>3217</v>
      </c>
      <c r="G50" s="408">
        <v>1198.23</v>
      </c>
      <c r="H50" s="408">
        <v>617.66399999999999</v>
      </c>
      <c r="J50" s="174">
        <f t="shared" si="1"/>
        <v>0.23167218781506554</v>
      </c>
      <c r="K50" s="178">
        <f t="shared" si="0"/>
        <v>0.23167218781506554</v>
      </c>
    </row>
    <row r="51" spans="1:11" x14ac:dyDescent="0.25">
      <c r="A51" s="171">
        <v>2011</v>
      </c>
      <c r="B51" s="171" t="s">
        <v>357</v>
      </c>
      <c r="C51" s="171" t="s">
        <v>352</v>
      </c>
      <c r="D51" s="409">
        <v>21651</v>
      </c>
      <c r="E51" s="409">
        <v>2072</v>
      </c>
      <c r="F51" s="409">
        <v>18255</v>
      </c>
      <c r="G51" s="408">
        <v>1891.7430000000002</v>
      </c>
      <c r="H51" s="408">
        <v>3504.96</v>
      </c>
      <c r="J51" s="174">
        <f t="shared" si="1"/>
        <v>0.76950638620747802</v>
      </c>
      <c r="K51" s="178">
        <f t="shared" si="0"/>
        <v>0.76950638620747802</v>
      </c>
    </row>
    <row r="52" spans="1:11" x14ac:dyDescent="0.25">
      <c r="A52" s="171">
        <v>2011</v>
      </c>
      <c r="B52" s="171" t="s">
        <v>358</v>
      </c>
      <c r="C52" s="171" t="s">
        <v>352</v>
      </c>
      <c r="D52" s="409">
        <v>21075</v>
      </c>
      <c r="E52" s="409">
        <v>3648</v>
      </c>
      <c r="F52" s="409">
        <v>9230</v>
      </c>
      <c r="G52" s="408">
        <v>2154.5910000000003</v>
      </c>
      <c r="H52" s="408">
        <v>1772.16</v>
      </c>
      <c r="J52" s="174">
        <f t="shared" si="1"/>
        <v>0.37333656918658736</v>
      </c>
      <c r="K52" s="178">
        <f t="shared" si="0"/>
        <v>0.37333656918658736</v>
      </c>
    </row>
    <row r="53" spans="1:11" x14ac:dyDescent="0.25">
      <c r="A53" s="171">
        <v>2012</v>
      </c>
      <c r="B53" s="171" t="s">
        <v>351</v>
      </c>
      <c r="C53" s="171" t="s">
        <v>352</v>
      </c>
      <c r="D53" s="409">
        <f>40050+7017+5861</f>
        <v>52928</v>
      </c>
      <c r="E53" s="409">
        <v>22235</v>
      </c>
      <c r="F53" s="409">
        <v>0</v>
      </c>
      <c r="G53" s="408">
        <v>4977.165</v>
      </c>
      <c r="H53" s="408">
        <v>0</v>
      </c>
      <c r="J53" s="174">
        <f t="shared" si="1"/>
        <v>0</v>
      </c>
      <c r="K53" s="178">
        <f t="shared" si="0"/>
        <v>0</v>
      </c>
    </row>
    <row r="54" spans="1:11" x14ac:dyDescent="0.25">
      <c r="A54" s="171">
        <v>2012</v>
      </c>
      <c r="B54" s="171" t="s">
        <v>351</v>
      </c>
      <c r="C54" s="175" t="s">
        <v>353</v>
      </c>
      <c r="D54" s="409">
        <v>80257</v>
      </c>
      <c r="E54" s="409"/>
      <c r="F54" s="409">
        <v>10461</v>
      </c>
      <c r="G54" s="408">
        <v>1364.3690000000001</v>
      </c>
      <c r="H54" s="408">
        <v>4140.3591899999992</v>
      </c>
      <c r="J54" s="176">
        <f>(F54+F55)/(D54+E54+D55+E55)</f>
        <v>0.1304569975522232</v>
      </c>
      <c r="K54" s="177">
        <f t="shared" si="0"/>
        <v>0.1303437706368292</v>
      </c>
    </row>
    <row r="55" spans="1:11" x14ac:dyDescent="0.25">
      <c r="A55" s="171">
        <v>2012</v>
      </c>
      <c r="B55" s="171" t="s">
        <v>351</v>
      </c>
      <c r="C55" s="175" t="s">
        <v>354</v>
      </c>
      <c r="D55" s="409">
        <v>0</v>
      </c>
      <c r="E55" s="409">
        <v>3901</v>
      </c>
      <c r="F55" s="409">
        <v>518</v>
      </c>
      <c r="G55" s="408">
        <v>788.00200000000007</v>
      </c>
      <c r="H55" s="408">
        <v>205.01921999999999</v>
      </c>
      <c r="J55" s="174"/>
      <c r="K55" s="178">
        <f t="shared" si="0"/>
        <v>0.13278646500897207</v>
      </c>
    </row>
    <row r="56" spans="1:11" x14ac:dyDescent="0.25">
      <c r="A56" s="171">
        <v>2012</v>
      </c>
      <c r="B56" s="171" t="s">
        <v>355</v>
      </c>
      <c r="C56" s="171" t="s">
        <v>352</v>
      </c>
      <c r="D56" s="409">
        <f>66156+26693</f>
        <v>92849</v>
      </c>
      <c r="E56" s="409">
        <f>33661+2770</f>
        <v>36431</v>
      </c>
      <c r="F56" s="409">
        <f>18598+10277</f>
        <v>28875</v>
      </c>
      <c r="G56" s="408">
        <v>10976.478000000001</v>
      </c>
      <c r="H56" s="408">
        <v>3570.8160000000003</v>
      </c>
      <c r="J56" s="174">
        <f t="shared" si="1"/>
        <v>0.22335241336633663</v>
      </c>
      <c r="K56" s="178">
        <f t="shared" si="0"/>
        <v>0.22335241336633663</v>
      </c>
    </row>
    <row r="57" spans="1:11" x14ac:dyDescent="0.25">
      <c r="A57" s="171">
        <v>2012</v>
      </c>
      <c r="B57" s="171" t="s">
        <v>355</v>
      </c>
      <c r="C57" s="175" t="s">
        <v>353</v>
      </c>
      <c r="D57" s="409">
        <v>55530</v>
      </c>
      <c r="E57" s="409">
        <v>25</v>
      </c>
      <c r="F57" s="409">
        <v>1327</v>
      </c>
      <c r="G57" s="369">
        <v>949.06000000000006</v>
      </c>
      <c r="H57" s="369">
        <v>525.21332999999993</v>
      </c>
      <c r="J57" s="176">
        <f>(F57+F58)/(D57+E57+D58+E58)</f>
        <v>2.851349411426931E-2</v>
      </c>
      <c r="K57" s="177">
        <f t="shared" si="0"/>
        <v>2.3886238862388623E-2</v>
      </c>
    </row>
    <row r="58" spans="1:11" x14ac:dyDescent="0.25">
      <c r="A58" s="171">
        <v>2012</v>
      </c>
      <c r="B58" s="171" t="s">
        <v>355</v>
      </c>
      <c r="C58" s="175" t="s">
        <v>354</v>
      </c>
      <c r="D58" s="409">
        <v>0</v>
      </c>
      <c r="E58" s="409">
        <v>173</v>
      </c>
      <c r="F58" s="409">
        <v>262</v>
      </c>
      <c r="G58" s="369">
        <v>34.946000000000005</v>
      </c>
      <c r="H58" s="369">
        <v>103.69697999999998</v>
      </c>
      <c r="J58" s="174"/>
      <c r="K58" s="177">
        <f t="shared" si="0"/>
        <v>1.5144508670520231</v>
      </c>
    </row>
    <row r="59" spans="1:11" x14ac:dyDescent="0.25">
      <c r="A59" s="171">
        <v>2012</v>
      </c>
      <c r="B59" s="171" t="s">
        <v>356</v>
      </c>
      <c r="C59" s="171" t="s">
        <v>352</v>
      </c>
      <c r="D59" s="409">
        <v>8512</v>
      </c>
      <c r="E59" s="409">
        <v>1447</v>
      </c>
      <c r="F59" s="409">
        <v>6452</v>
      </c>
      <c r="G59" s="369">
        <v>821.13000000000011</v>
      </c>
      <c r="H59" s="369">
        <v>1238.7840000000001</v>
      </c>
      <c r="J59" s="174">
        <f t="shared" si="1"/>
        <v>0.64785621046289787</v>
      </c>
      <c r="K59" s="178">
        <f t="shared" si="0"/>
        <v>0.64785621046289787</v>
      </c>
    </row>
    <row r="60" spans="1:11" x14ac:dyDescent="0.25">
      <c r="A60" s="171">
        <v>2012</v>
      </c>
      <c r="B60" s="171" t="s">
        <v>357</v>
      </c>
      <c r="C60" s="171" t="s">
        <v>352</v>
      </c>
      <c r="D60" s="409">
        <v>28194</v>
      </c>
      <c r="E60" s="409">
        <v>2010</v>
      </c>
      <c r="F60" s="409">
        <v>43775</v>
      </c>
      <c r="G60" s="369">
        <v>1935.4530000000002</v>
      </c>
      <c r="H60" s="369">
        <v>8404.7999999999993</v>
      </c>
      <c r="J60" s="174">
        <f t="shared" si="1"/>
        <v>1.4493113494901337</v>
      </c>
      <c r="K60" s="178">
        <f t="shared" si="0"/>
        <v>1.4493113494901337</v>
      </c>
    </row>
    <row r="61" spans="1:11" x14ac:dyDescent="0.25">
      <c r="A61" s="171">
        <v>2012</v>
      </c>
      <c r="B61" s="171" t="s">
        <v>358</v>
      </c>
      <c r="C61" s="171" t="s">
        <v>352</v>
      </c>
      <c r="D61" s="409">
        <v>24510</v>
      </c>
      <c r="E61" s="409">
        <v>3147</v>
      </c>
      <c r="F61" s="409">
        <v>7456</v>
      </c>
      <c r="G61" s="369">
        <v>2132.8500000000004</v>
      </c>
      <c r="H61" s="369">
        <v>1431.5520000000001</v>
      </c>
      <c r="J61" s="174">
        <f t="shared" si="1"/>
        <v>0.26958816936037894</v>
      </c>
      <c r="K61" s="178">
        <f t="shared" si="0"/>
        <v>0.26958816936037894</v>
      </c>
    </row>
    <row r="62" spans="1:11" x14ac:dyDescent="0.25">
      <c r="A62" s="171">
        <v>2013</v>
      </c>
      <c r="B62" s="171" t="s">
        <v>351</v>
      </c>
      <c r="C62" s="171" t="s">
        <v>352</v>
      </c>
      <c r="D62" s="409">
        <f>46650+10259+4457</f>
        <v>61366</v>
      </c>
      <c r="E62" s="409">
        <f>47931+331</f>
        <v>48262</v>
      </c>
      <c r="F62" s="409">
        <v>229</v>
      </c>
      <c r="G62" s="408"/>
      <c r="H62" s="408"/>
      <c r="J62" s="174">
        <f t="shared" si="1"/>
        <v>2.0888824023059804E-3</v>
      </c>
      <c r="K62" s="178">
        <f t="shared" si="0"/>
        <v>2.0888824023059804E-3</v>
      </c>
    </row>
    <row r="63" spans="1:11" x14ac:dyDescent="0.25">
      <c r="A63" s="171">
        <v>2013</v>
      </c>
      <c r="B63" s="171" t="s">
        <v>351</v>
      </c>
      <c r="C63" s="175" t="s">
        <v>353</v>
      </c>
      <c r="D63" s="409">
        <v>69264</v>
      </c>
      <c r="E63" s="409">
        <v>0</v>
      </c>
      <c r="F63" s="409">
        <v>9982</v>
      </c>
      <c r="G63" s="408"/>
      <c r="H63" s="408"/>
      <c r="J63" s="176">
        <f t="shared" si="1"/>
        <v>0.14411526911526912</v>
      </c>
      <c r="K63" s="178">
        <f t="shared" si="0"/>
        <v>0.14411526911526912</v>
      </c>
    </row>
    <row r="64" spans="1:11" x14ac:dyDescent="0.25">
      <c r="A64" s="171">
        <v>2013</v>
      </c>
      <c r="B64" s="171" t="s">
        <v>351</v>
      </c>
      <c r="C64" s="175" t="s">
        <v>354</v>
      </c>
      <c r="D64" s="409">
        <v>0</v>
      </c>
      <c r="E64" s="409">
        <v>29994</v>
      </c>
      <c r="F64" s="409">
        <v>4322</v>
      </c>
      <c r="G64" s="408"/>
      <c r="H64" s="408"/>
      <c r="J64" s="174">
        <f t="shared" si="1"/>
        <v>0.14409548576381942</v>
      </c>
      <c r="K64" s="178">
        <f t="shared" si="0"/>
        <v>0.14409548576381942</v>
      </c>
    </row>
    <row r="65" spans="1:11" x14ac:dyDescent="0.25">
      <c r="A65" s="171">
        <v>2013</v>
      </c>
      <c r="B65" s="171" t="s">
        <v>355</v>
      </c>
      <c r="C65" s="171" t="s">
        <v>352</v>
      </c>
      <c r="D65" s="409">
        <f>67345+23152</f>
        <v>90497</v>
      </c>
      <c r="E65" s="409">
        <f>32777+7301</f>
        <v>40078</v>
      </c>
      <c r="F65" s="409">
        <f>17221+10974</f>
        <v>28195</v>
      </c>
      <c r="G65" s="408"/>
      <c r="H65" s="408"/>
      <c r="J65" s="174">
        <f t="shared" si="1"/>
        <v>0.21592954240857745</v>
      </c>
      <c r="K65" s="178">
        <f t="shared" si="0"/>
        <v>0.21592954240857745</v>
      </c>
    </row>
    <row r="66" spans="1:11" x14ac:dyDescent="0.25">
      <c r="A66" s="171">
        <v>2013</v>
      </c>
      <c r="B66" s="171" t="s">
        <v>355</v>
      </c>
      <c r="C66" s="175" t="s">
        <v>353</v>
      </c>
      <c r="D66" s="409">
        <v>35166</v>
      </c>
      <c r="E66" s="409">
        <v>50</v>
      </c>
      <c r="F66" s="409">
        <v>4380</v>
      </c>
      <c r="G66" s="408"/>
      <c r="H66" s="408"/>
      <c r="J66" s="176">
        <f t="shared" si="1"/>
        <v>0.12437528396183553</v>
      </c>
      <c r="K66" s="178">
        <f t="shared" si="0"/>
        <v>0.12437528396183553</v>
      </c>
    </row>
    <row r="67" spans="1:11" x14ac:dyDescent="0.25">
      <c r="A67" s="171">
        <v>2013</v>
      </c>
      <c r="B67" s="171" t="s">
        <v>355</v>
      </c>
      <c r="C67" s="175" t="s">
        <v>354</v>
      </c>
      <c r="D67" s="409">
        <v>0</v>
      </c>
      <c r="E67" s="409">
        <v>0</v>
      </c>
      <c r="F67" s="409">
        <v>0</v>
      </c>
      <c r="G67" s="408"/>
      <c r="H67" s="408"/>
      <c r="J67" s="174" t="e">
        <f t="shared" si="1"/>
        <v>#DIV/0!</v>
      </c>
      <c r="K67" s="178" t="e">
        <f t="shared" si="0"/>
        <v>#DIV/0!</v>
      </c>
    </row>
    <row r="68" spans="1:11" x14ac:dyDescent="0.25">
      <c r="A68" s="171">
        <v>2013</v>
      </c>
      <c r="B68" s="171" t="s">
        <v>356</v>
      </c>
      <c r="C68" s="171" t="s">
        <v>352</v>
      </c>
      <c r="D68" s="409">
        <v>8894</v>
      </c>
      <c r="E68" s="409">
        <v>1652</v>
      </c>
      <c r="F68" s="409">
        <v>5058</v>
      </c>
      <c r="G68" s="408"/>
      <c r="H68" s="408"/>
      <c r="J68" s="174">
        <f t="shared" si="1"/>
        <v>0.47961312345913143</v>
      </c>
      <c r="K68" s="178">
        <f t="shared" si="0"/>
        <v>0.47961312345913143</v>
      </c>
    </row>
    <row r="69" spans="1:11" x14ac:dyDescent="0.25">
      <c r="A69" s="171">
        <v>2013</v>
      </c>
      <c r="B69" s="171" t="s">
        <v>357</v>
      </c>
      <c r="C69" s="171" t="s">
        <v>352</v>
      </c>
      <c r="D69" s="409">
        <v>45769</v>
      </c>
      <c r="E69" s="409">
        <v>3127</v>
      </c>
      <c r="F69" s="409">
        <v>71290</v>
      </c>
      <c r="G69" s="408"/>
      <c r="H69" s="408"/>
      <c r="J69" s="174">
        <f t="shared" si="1"/>
        <v>1.4579924738219896</v>
      </c>
      <c r="K69" s="178">
        <f t="shared" si="0"/>
        <v>1.4579924738219896</v>
      </c>
    </row>
    <row r="70" spans="1:11" x14ac:dyDescent="0.25">
      <c r="A70" s="171">
        <v>2013</v>
      </c>
      <c r="B70" s="171" t="s">
        <v>358</v>
      </c>
      <c r="C70" s="171" t="s">
        <v>352</v>
      </c>
      <c r="D70" s="409">
        <v>34725</v>
      </c>
      <c r="E70" s="409">
        <v>8500</v>
      </c>
      <c r="F70" s="409">
        <v>16050</v>
      </c>
      <c r="G70" s="408"/>
      <c r="H70" s="408"/>
      <c r="J70" s="174">
        <f t="shared" si="1"/>
        <v>0.37131289762868708</v>
      </c>
      <c r="K70" s="178">
        <f t="shared" si="0"/>
        <v>0.37131289762868708</v>
      </c>
    </row>
    <row r="71" spans="1:11" x14ac:dyDescent="0.25">
      <c r="A71" s="370">
        <v>2014</v>
      </c>
      <c r="B71" s="171" t="s">
        <v>351</v>
      </c>
      <c r="C71" s="171" t="s">
        <v>352</v>
      </c>
      <c r="D71" s="409">
        <f>44900+11973+7800</f>
        <v>64673</v>
      </c>
      <c r="E71" s="409">
        <f>36920+1192</f>
        <v>38112</v>
      </c>
      <c r="F71" s="409">
        <v>3500</v>
      </c>
      <c r="G71" s="408"/>
      <c r="H71" s="408"/>
      <c r="J71" s="174">
        <f t="shared" ref="J71:J79" si="3">F71/(D71+E71)</f>
        <v>3.4051661234615949E-2</v>
      </c>
      <c r="K71" s="178">
        <f t="shared" ref="K71:K79" si="4">F71/(D71+E71)</f>
        <v>3.4051661234615949E-2</v>
      </c>
    </row>
    <row r="72" spans="1:11" x14ac:dyDescent="0.25">
      <c r="A72" s="370">
        <v>2014</v>
      </c>
      <c r="B72" s="171" t="s">
        <v>351</v>
      </c>
      <c r="C72" s="175" t="s">
        <v>353</v>
      </c>
      <c r="D72" s="409">
        <v>172001</v>
      </c>
      <c r="E72" s="409">
        <v>845</v>
      </c>
      <c r="F72" s="409">
        <v>11265</v>
      </c>
      <c r="G72" s="408"/>
      <c r="H72" s="408"/>
      <c r="J72" s="176">
        <f t="shared" si="3"/>
        <v>6.5173622762459069E-2</v>
      </c>
      <c r="K72" s="178">
        <f t="shared" si="4"/>
        <v>6.5173622762459069E-2</v>
      </c>
    </row>
    <row r="73" spans="1:11" x14ac:dyDescent="0.25">
      <c r="A73" s="370">
        <v>2014</v>
      </c>
      <c r="B73" s="171" t="s">
        <v>351</v>
      </c>
      <c r="C73" s="175" t="s">
        <v>354</v>
      </c>
      <c r="D73" s="409">
        <v>0</v>
      </c>
      <c r="E73" s="409">
        <v>5834</v>
      </c>
      <c r="F73" s="409">
        <v>2672</v>
      </c>
      <c r="G73" s="408"/>
      <c r="H73" s="408"/>
      <c r="J73" s="174">
        <f t="shared" si="3"/>
        <v>0.45800479945149125</v>
      </c>
      <c r="K73" s="178">
        <f t="shared" si="4"/>
        <v>0.45800479945149125</v>
      </c>
    </row>
    <row r="74" spans="1:11" x14ac:dyDescent="0.25">
      <c r="A74" s="370">
        <v>2014</v>
      </c>
      <c r="B74" s="171" t="s">
        <v>355</v>
      </c>
      <c r="C74" s="171" t="s">
        <v>352</v>
      </c>
      <c r="D74" s="409">
        <f>59206+28756</f>
        <v>87962</v>
      </c>
      <c r="E74" s="409">
        <f>24312+8590</f>
        <v>32902</v>
      </c>
      <c r="F74" s="409">
        <f>16516+10593</f>
        <v>27109</v>
      </c>
      <c r="G74" s="408"/>
      <c r="H74" s="408"/>
      <c r="J74" s="174">
        <f>F74/(D74+E74)</f>
        <v>0.22429342070426264</v>
      </c>
      <c r="K74" s="178">
        <f t="shared" si="4"/>
        <v>0.22429342070426264</v>
      </c>
    </row>
    <row r="75" spans="1:11" x14ac:dyDescent="0.25">
      <c r="A75" s="370">
        <v>2014</v>
      </c>
      <c r="B75" s="171" t="s">
        <v>355</v>
      </c>
      <c r="C75" s="175" t="s">
        <v>353</v>
      </c>
      <c r="D75" s="409">
        <v>109796</v>
      </c>
      <c r="E75" s="409">
        <v>118</v>
      </c>
      <c r="F75" s="409">
        <v>6788</v>
      </c>
      <c r="G75" s="408"/>
      <c r="H75" s="408"/>
      <c r="J75" s="176">
        <f t="shared" si="3"/>
        <v>6.1757373946903941E-2</v>
      </c>
      <c r="K75" s="178">
        <f t="shared" si="4"/>
        <v>6.1757373946903941E-2</v>
      </c>
    </row>
    <row r="76" spans="1:11" x14ac:dyDescent="0.25">
      <c r="A76" s="370">
        <v>2014</v>
      </c>
      <c r="B76" s="171" t="s">
        <v>355</v>
      </c>
      <c r="C76" s="175" t="s">
        <v>354</v>
      </c>
      <c r="D76" s="409">
        <v>0</v>
      </c>
      <c r="E76" s="409">
        <v>0</v>
      </c>
      <c r="F76" s="409">
        <v>0</v>
      </c>
      <c r="G76" s="408"/>
      <c r="H76" s="408"/>
      <c r="J76" s="174" t="e">
        <f t="shared" si="3"/>
        <v>#DIV/0!</v>
      </c>
      <c r="K76" s="178" t="e">
        <f t="shared" si="4"/>
        <v>#DIV/0!</v>
      </c>
    </row>
    <row r="77" spans="1:11" x14ac:dyDescent="0.25">
      <c r="A77" s="370">
        <v>2014</v>
      </c>
      <c r="B77" s="171" t="s">
        <v>356</v>
      </c>
      <c r="C77" s="171" t="s">
        <v>352</v>
      </c>
      <c r="D77" s="409">
        <v>10093</v>
      </c>
      <c r="E77" s="409">
        <v>1173</v>
      </c>
      <c r="F77" s="409">
        <v>5733</v>
      </c>
      <c r="G77" s="408"/>
      <c r="H77" s="408"/>
      <c r="J77" s="174">
        <f t="shared" si="3"/>
        <v>0.50887626486774362</v>
      </c>
      <c r="K77" s="178">
        <f t="shared" si="4"/>
        <v>0.50887626486774362</v>
      </c>
    </row>
    <row r="78" spans="1:11" x14ac:dyDescent="0.25">
      <c r="A78" s="370">
        <v>2014</v>
      </c>
      <c r="B78" s="171" t="s">
        <v>357</v>
      </c>
      <c r="C78" s="171" t="s">
        <v>352</v>
      </c>
      <c r="D78" s="409">
        <v>51661</v>
      </c>
      <c r="E78" s="409">
        <v>18247</v>
      </c>
      <c r="F78" s="409">
        <v>28914</v>
      </c>
      <c r="G78" s="408"/>
      <c r="H78" s="408"/>
      <c r="J78" s="174">
        <f t="shared" si="3"/>
        <v>0.41360073239114264</v>
      </c>
      <c r="K78" s="178">
        <f t="shared" si="4"/>
        <v>0.41360073239114264</v>
      </c>
    </row>
    <row r="79" spans="1:11" x14ac:dyDescent="0.25">
      <c r="A79" s="370">
        <v>2014</v>
      </c>
      <c r="B79" s="171" t="s">
        <v>358</v>
      </c>
      <c r="C79" s="171" t="s">
        <v>352</v>
      </c>
      <c r="D79" s="409">
        <v>21704</v>
      </c>
      <c r="E79" s="409">
        <v>6834</v>
      </c>
      <c r="F79" s="409">
        <v>8937</v>
      </c>
      <c r="G79" s="408"/>
      <c r="H79" s="408"/>
      <c r="J79" s="174">
        <f t="shared" si="3"/>
        <v>0.31316139883663885</v>
      </c>
      <c r="K79" s="178">
        <f t="shared" si="4"/>
        <v>0.31316139883663885</v>
      </c>
    </row>
    <row r="80" spans="1:11" x14ac:dyDescent="0.25">
      <c r="D80" s="173"/>
      <c r="E80" s="173"/>
      <c r="F80" s="173"/>
      <c r="G80" s="173"/>
      <c r="H80" s="173"/>
      <c r="J80" s="174"/>
      <c r="K80" s="178"/>
    </row>
    <row r="81" spans="1:12" ht="15" customHeight="1" x14ac:dyDescent="0.25">
      <c r="J81" s="171" t="s">
        <v>359</v>
      </c>
      <c r="K81" s="171" t="s">
        <v>360</v>
      </c>
    </row>
    <row r="82" spans="1:12" x14ac:dyDescent="0.25">
      <c r="A82" s="171" t="s">
        <v>361</v>
      </c>
      <c r="B82" s="171" t="s">
        <v>362</v>
      </c>
      <c r="D82" s="173">
        <f>SUM(D9,D18,D27,D36,D45,D10,D19,D28,D37,D46)</f>
        <v>376000</v>
      </c>
      <c r="E82" s="173">
        <f>SUM(E9,E18,E27,E36,E45,E10,E19,E28,E37,E46)</f>
        <v>41830</v>
      </c>
      <c r="F82" s="173">
        <f>SUM(F9,F18,F27,F36,F45,F10,F19,F28,F37,F46)</f>
        <v>48752.310000000005</v>
      </c>
      <c r="G82" s="173">
        <f>SUM(G9,G18,G27,G36,G45,G10,G19,G28,G37,G46)</f>
        <v>14841.660000000002</v>
      </c>
      <c r="H82" s="173">
        <f>SUM(H9,H18,H27,H36,H45,H10,H19,H28,H37,H46)</f>
        <v>11554.297469999996</v>
      </c>
      <c r="J82" s="174">
        <f t="shared" ref="J82:J88" si="5">F82/(D82+E82)</f>
        <v>0.11667977407079436</v>
      </c>
      <c r="K82" s="179">
        <f>AVERAGE(J9,J18,J27,J36,J45)</f>
        <v>0.11886505819299323</v>
      </c>
    </row>
    <row r="83" spans="1:12" x14ac:dyDescent="0.25">
      <c r="B83" s="171" t="s">
        <v>363</v>
      </c>
      <c r="D83" s="173">
        <f>SUM(D8,D17,D26,D35,D44)</f>
        <v>308316</v>
      </c>
      <c r="E83" s="173">
        <f>SUM(E8,E17,E26,E35,E44)</f>
        <v>146619</v>
      </c>
      <c r="F83" s="173">
        <f>SUM(F8,F17,F26,F35,F44)</f>
        <v>2857</v>
      </c>
      <c r="G83" s="173">
        <f>SUM(G8,G17,G26,G35,G44)</f>
        <v>30959.22</v>
      </c>
      <c r="H83" s="173">
        <f>SUM(H8,H17,H26,H35,H44)</f>
        <v>0</v>
      </c>
      <c r="J83" s="174">
        <f t="shared" si="5"/>
        <v>6.2800180245529578E-3</v>
      </c>
      <c r="K83" s="179">
        <f>AVERAGE(J8,J17,J26,J35,J44)</f>
        <v>5.7980490955803019E-3</v>
      </c>
    </row>
    <row r="84" spans="1:12" x14ac:dyDescent="0.25">
      <c r="B84" s="171" t="s">
        <v>71</v>
      </c>
      <c r="D84" s="173">
        <f>SUM(D12:D13,D21:D22,D30:D31,D39:D40,D48:D49)</f>
        <v>459428</v>
      </c>
      <c r="E84" s="173">
        <f>SUM(E12:E13,E21:E22,E30:E31,E39:E40,E48:E49)</f>
        <v>1467</v>
      </c>
      <c r="F84" s="173">
        <f>SUM(F12:F13,F21:F22,F30:F31,F39:F40,F48:F49)</f>
        <v>38089.120000000003</v>
      </c>
      <c r="G84" s="173">
        <f>SUM(G12:G13,G21:G22,G30:G31,G39:G40,G48:G49)</f>
        <v>7704.9000000000015</v>
      </c>
      <c r="H84" s="173">
        <f>SUM(H12:H13,H21:H22,H30:H31,H39:H40,H48:H49)</f>
        <v>12179.249880000001</v>
      </c>
      <c r="J84" s="174">
        <f t="shared" si="5"/>
        <v>8.2641642890463121E-2</v>
      </c>
      <c r="K84" s="179">
        <f>AVERAGE(J12,J21,J30,J39,J48)</f>
        <v>8.2582493954180131E-2</v>
      </c>
    </row>
    <row r="85" spans="1:12" x14ac:dyDescent="0.25">
      <c r="B85" s="171" t="s">
        <v>73</v>
      </c>
      <c r="D85" s="173">
        <f>SUM(D11,D20,D29,D38,D47)</f>
        <v>466400</v>
      </c>
      <c r="E85" s="173">
        <f>SUM(E11,E20,E29,E38,E47)</f>
        <v>122490</v>
      </c>
      <c r="F85" s="173">
        <f>SUM(F11,F20,F29,F38,F47)</f>
        <v>116516</v>
      </c>
      <c r="G85" s="173">
        <f>SUM(G11,G20,G29,G38,G47)</f>
        <v>38706.068819758817</v>
      </c>
      <c r="H85" s="173">
        <f>SUM(H11,H20,H29,H38,H47)</f>
        <v>14538.624</v>
      </c>
      <c r="J85" s="174">
        <f t="shared" si="5"/>
        <v>0.19785698517549966</v>
      </c>
      <c r="K85" s="179">
        <f>AVERAGE(J11,J20,J29,J38,J47)</f>
        <v>0.20185535290322082</v>
      </c>
    </row>
    <row r="86" spans="1:12" x14ac:dyDescent="0.25">
      <c r="B86" s="171" t="s">
        <v>364</v>
      </c>
      <c r="D86" s="173">
        <f t="shared" ref="D86:H88" si="6">SUM(D14,D23,D32,D41,D50)</f>
        <v>47769</v>
      </c>
      <c r="E86" s="173">
        <f t="shared" si="6"/>
        <v>7145.0955333942857</v>
      </c>
      <c r="F86" s="173">
        <f t="shared" si="6"/>
        <v>32899.541219585255</v>
      </c>
      <c r="G86" s="173">
        <f t="shared" si="6"/>
        <v>4667.9193424117029</v>
      </c>
      <c r="H86" s="173">
        <f t="shared" si="6"/>
        <v>6316.711914160368</v>
      </c>
      <c r="J86" s="174">
        <f t="shared" si="5"/>
        <v>0.59910922505458419</v>
      </c>
      <c r="K86" s="179">
        <f>AVERAGE(J14,J23,J32,J41,J50)</f>
        <v>0.60259138981691929</v>
      </c>
    </row>
    <row r="87" spans="1:12" x14ac:dyDescent="0.25">
      <c r="B87" s="171" t="s">
        <v>365</v>
      </c>
      <c r="D87" s="173">
        <f t="shared" si="6"/>
        <v>77874.418578889206</v>
      </c>
      <c r="E87" s="173">
        <f t="shared" si="6"/>
        <v>9749.5375562186764</v>
      </c>
      <c r="F87" s="173">
        <f t="shared" si="6"/>
        <v>80293.149777266546</v>
      </c>
      <c r="G87" s="173">
        <f t="shared" si="6"/>
        <v>7245.2460927373413</v>
      </c>
      <c r="H87" s="173">
        <f t="shared" si="6"/>
        <v>15416.284757235178</v>
      </c>
      <c r="J87" s="174">
        <f t="shared" si="5"/>
        <v>0.91633787515211107</v>
      </c>
      <c r="K87" s="179">
        <f>AVERAGE(J15,J24,J33,J42,J51)</f>
        <v>0.93623161502296937</v>
      </c>
    </row>
    <row r="88" spans="1:12" x14ac:dyDescent="0.25">
      <c r="B88" s="171" t="s">
        <v>366</v>
      </c>
      <c r="D88" s="173">
        <f t="shared" si="6"/>
        <v>111086.58584740979</v>
      </c>
      <c r="E88" s="173">
        <f t="shared" si="6"/>
        <v>15501.721873045568</v>
      </c>
      <c r="F88" s="173">
        <f t="shared" si="6"/>
        <v>64785.439149486701</v>
      </c>
      <c r="G88" s="173">
        <f t="shared" si="6"/>
        <v>10641.305023096025</v>
      </c>
      <c r="H88" s="173">
        <f t="shared" si="6"/>
        <v>12438.804316701448</v>
      </c>
      <c r="J88" s="174">
        <f t="shared" si="5"/>
        <v>0.51178059266383613</v>
      </c>
      <c r="K88" s="179">
        <f>AVERAGE(J16,J25,J34,J43,J52)</f>
        <v>0.47135361657757829</v>
      </c>
    </row>
    <row r="89" spans="1:12" ht="15" customHeight="1" x14ac:dyDescent="0.25"/>
    <row r="90" spans="1:12" x14ac:dyDescent="0.25">
      <c r="A90" s="171" t="s">
        <v>455</v>
      </c>
      <c r="B90" s="171" t="s">
        <v>362</v>
      </c>
      <c r="D90" s="173">
        <f>SUM(D9,D18,D27,D36,D45,D10,D19,D28,D37,D46,D54)</f>
        <v>456257</v>
      </c>
      <c r="E90" s="173">
        <f>SUM(E9,E18,E27,E36,E45,E10,E19,E28,E37,E46,E54)</f>
        <v>41830</v>
      </c>
      <c r="F90" s="173">
        <f>SUM(F9,F18,F27,F36,F45,F10,F19,F28,F37,F46,F54)</f>
        <v>59213.310000000005</v>
      </c>
      <c r="G90" s="173">
        <f>SUM(G9,G18,G27,G36,G45,G10,G19,G28,G37,G46,G54)</f>
        <v>16206.029000000002</v>
      </c>
      <c r="H90" s="173">
        <f>SUM(H9,H18,H27,H36,H45,H10,H19,H28,H37,H46,H54)</f>
        <v>15694.656659999995</v>
      </c>
      <c r="J90" s="180">
        <f>F90/(D90+E90)</f>
        <v>0.11888146046774963</v>
      </c>
      <c r="K90" s="181">
        <f>AVERAGE(K9,K18,K27,K36,K45,K54,K63)</f>
        <v>0.10339916197847687</v>
      </c>
      <c r="L90" s="171" t="s">
        <v>477</v>
      </c>
    </row>
    <row r="91" spans="1:12" x14ac:dyDescent="0.25">
      <c r="B91" s="171" t="s">
        <v>363</v>
      </c>
      <c r="D91" s="173">
        <f>SUM(D8,D17,D26,D35,D44,D53)</f>
        <v>361244</v>
      </c>
      <c r="E91" s="173">
        <f>SUM(E8,E17,E26,E35,E44,E53)</f>
        <v>168854</v>
      </c>
      <c r="F91" s="173">
        <f>SUM(F8,F17,F26,F35,F44,F53)</f>
        <v>2857</v>
      </c>
      <c r="G91" s="173">
        <f>SUM(G8,G17,G26,G35,G44,G53)</f>
        <v>35936.385000000002</v>
      </c>
      <c r="H91" s="173">
        <f>SUM(H8,H17,H26,H35,H44,H53)</f>
        <v>0</v>
      </c>
      <c r="J91" s="180">
        <f t="shared" ref="J91:J96" si="7">F91/(D91+E91)</f>
        <v>5.3895694758327702E-3</v>
      </c>
      <c r="K91" s="181">
        <f>AVERAGE(J8,J17,J26,J35,J44,J53,J62)</f>
        <v>4.4398754114582124E-3</v>
      </c>
    </row>
    <row r="92" spans="1:12" x14ac:dyDescent="0.25">
      <c r="B92" s="171" t="s">
        <v>71</v>
      </c>
      <c r="D92" s="173">
        <f>SUM(D12:D13,D21:D22,D30:D31,D39:D40,D48:D49,D57)</f>
        <v>514958</v>
      </c>
      <c r="E92" s="173">
        <f>SUM(E12:E13,E21:E22,E30:E31,E39:E40,E48:E49,E57)</f>
        <v>1492</v>
      </c>
      <c r="F92" s="173">
        <f>SUM(F12:F13,F21:F22,F30:F31,F39:F40,F48:F49,F57)</f>
        <v>39416.120000000003</v>
      </c>
      <c r="G92" s="173">
        <f>SUM(G12:G13,G21:G22,G30:G31,G39:G40,G48:G49,G57)</f>
        <v>8653.9600000000009</v>
      </c>
      <c r="H92" s="173">
        <f>SUM(H12:H13,H21:H22,H30:H31,H39:H40,H48:H49,H57)</f>
        <v>12704.463210000002</v>
      </c>
      <c r="J92" s="180">
        <f t="shared" si="7"/>
        <v>7.632127021008811E-2</v>
      </c>
      <c r="K92" s="181">
        <f>AVERAGE(K12,K21,K30,K39,K48,K57,K66)</f>
        <v>7.8607023003297471E-2</v>
      </c>
    </row>
    <row r="93" spans="1:12" x14ac:dyDescent="0.25">
      <c r="B93" s="171" t="s">
        <v>73</v>
      </c>
      <c r="D93" s="173">
        <f>SUM(D11,D20,D29,D38,D47,D56)</f>
        <v>559249</v>
      </c>
      <c r="E93" s="173">
        <f>SUM(E11,E20,E29,E38,E47,E56)</f>
        <v>158921</v>
      </c>
      <c r="F93" s="173">
        <f>SUM(F11,F20,F29,F38,F47,F56)</f>
        <v>145391</v>
      </c>
      <c r="G93" s="173">
        <f>SUM(G11,G20,G29,G38,G47,G56)</f>
        <v>49682.54681975882</v>
      </c>
      <c r="H93" s="173">
        <f>SUM(H11,H20,H29,H38,H47,H56)</f>
        <v>18109.439999999999</v>
      </c>
      <c r="J93" s="180">
        <f t="shared" si="7"/>
        <v>0.20244649595499672</v>
      </c>
      <c r="K93" s="181">
        <f>AVERAGE(K11,K20,K29,K38,K47,K56,K65)</f>
        <v>0.20693696004157403</v>
      </c>
    </row>
    <row r="94" spans="1:12" x14ac:dyDescent="0.25">
      <c r="B94" s="171" t="s">
        <v>364</v>
      </c>
      <c r="D94" s="173">
        <f t="shared" ref="D94:H95" si="8">SUM(D14,D23,D32,D41,D50,D59)</f>
        <v>56281</v>
      </c>
      <c r="E94" s="173">
        <f t="shared" si="8"/>
        <v>8592.0955333942857</v>
      </c>
      <c r="F94" s="173">
        <f t="shared" si="8"/>
        <v>39351.541219585255</v>
      </c>
      <c r="G94" s="173">
        <f t="shared" si="8"/>
        <v>5489.049342411703</v>
      </c>
      <c r="H94" s="173">
        <f t="shared" si="8"/>
        <v>7555.4959141603686</v>
      </c>
      <c r="J94" s="180">
        <f t="shared" si="7"/>
        <v>0.60659262358350896</v>
      </c>
      <c r="K94" s="181">
        <f>AVERAGE(K14,K23,K32,K41,K50,K59,K68)</f>
        <v>0.59148946900094657</v>
      </c>
    </row>
    <row r="95" spans="1:12" x14ac:dyDescent="0.25">
      <c r="B95" s="171" t="s">
        <v>365</v>
      </c>
      <c r="D95" s="173">
        <f t="shared" si="8"/>
        <v>106068.41857888921</v>
      </c>
      <c r="E95" s="173">
        <f t="shared" si="8"/>
        <v>11759.537556218676</v>
      </c>
      <c r="F95" s="173">
        <f t="shared" si="8"/>
        <v>124068.14977726655</v>
      </c>
      <c r="G95" s="173">
        <f t="shared" si="8"/>
        <v>9180.6990927373408</v>
      </c>
      <c r="H95" s="173">
        <f t="shared" si="8"/>
        <v>23821.084757235178</v>
      </c>
      <c r="J95" s="180">
        <f t="shared" si="7"/>
        <v>1.052960212897212</v>
      </c>
      <c r="K95" s="181">
        <f>AVERAGE(K15,K24,K33,K42,K51,K60,K69)</f>
        <v>1.0840659854895671</v>
      </c>
    </row>
    <row r="96" spans="1:12" x14ac:dyDescent="0.25">
      <c r="B96" s="171" t="s">
        <v>366</v>
      </c>
      <c r="D96" s="173">
        <f>SUM(D16,D25,D34,D43,D52,D70)</f>
        <v>145811.58584740979</v>
      </c>
      <c r="E96" s="173">
        <f t="shared" ref="E96:H96" si="9">SUM(E16,E25,E34,E43,E52,E70)</f>
        <v>24001.721873045568</v>
      </c>
      <c r="F96" s="173">
        <f t="shared" si="9"/>
        <v>80835.439149486701</v>
      </c>
      <c r="G96" s="173">
        <f t="shared" si="9"/>
        <v>10641.305023096025</v>
      </c>
      <c r="H96" s="173">
        <f t="shared" si="9"/>
        <v>12438.804316701448</v>
      </c>
      <c r="J96" s="180">
        <f t="shared" si="7"/>
        <v>0.47602534945351299</v>
      </c>
      <c r="K96" s="181">
        <f>AVERAGE(K16,K25,K34,K43,K52,K70,K61)</f>
        <v>0.42823844998242244</v>
      </c>
    </row>
  </sheetData>
  <autoFilter ref="A7:H79" xr:uid="{00000000-0009-0000-0000-000005000000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Y35"/>
  <sheetViews>
    <sheetView workbookViewId="0">
      <selection activeCell="C28" sqref="C28:C29"/>
    </sheetView>
  </sheetViews>
  <sheetFormatPr defaultRowHeight="14.4" x14ac:dyDescent="0.3"/>
  <cols>
    <col min="1" max="8" width="7.109375" customWidth="1"/>
    <col min="9" max="9" width="2.109375" customWidth="1"/>
    <col min="10" max="10" width="2.109375" style="38" customWidth="1"/>
    <col min="11" max="11" width="2.109375" style="112" customWidth="1"/>
    <col min="12" max="12" width="3.6640625" style="237" bestFit="1" customWidth="1"/>
    <col min="13" max="13" width="9.44140625" style="237" bestFit="1" customWidth="1"/>
    <col min="14" max="14" width="8.33203125" style="237" bestFit="1" customWidth="1"/>
    <col min="15" max="15" width="5.44140625" style="237" bestFit="1" customWidth="1"/>
    <col min="16" max="16" width="8.109375" style="237" bestFit="1" customWidth="1"/>
    <col min="17" max="17" width="9.6640625" style="261" bestFit="1" customWidth="1"/>
    <col min="18" max="18" width="8" style="237" bestFit="1" customWidth="1"/>
    <col min="19" max="19" width="2.109375" style="237" customWidth="1"/>
    <col min="20" max="20" width="9.44140625" style="237" bestFit="1" customWidth="1"/>
    <col min="21" max="21" width="8.33203125" style="237" bestFit="1" customWidth="1"/>
    <col min="22" max="22" width="5.44140625" style="237" bestFit="1" customWidth="1"/>
    <col min="23" max="23" width="8.109375" style="237" bestFit="1" customWidth="1"/>
    <col min="24" max="24" width="9.6640625" style="237" bestFit="1" customWidth="1"/>
    <col min="25" max="25" width="8" style="237" bestFit="1" customWidth="1"/>
  </cols>
  <sheetData>
    <row r="1" spans="1:25" s="112" customFormat="1" x14ac:dyDescent="0.3">
      <c r="A1" s="426" t="s">
        <v>380</v>
      </c>
      <c r="B1" s="426"/>
      <c r="C1" s="426"/>
      <c r="D1" s="426"/>
      <c r="E1" s="426"/>
      <c r="F1" s="426"/>
      <c r="G1" s="426"/>
      <c r="H1" s="426"/>
      <c r="I1"/>
      <c r="J1" s="38"/>
      <c r="L1" s="237" t="s">
        <v>389</v>
      </c>
      <c r="M1" s="237"/>
      <c r="N1" s="237"/>
      <c r="O1" s="237"/>
      <c r="P1" s="237"/>
      <c r="Q1" s="261"/>
      <c r="R1" s="237"/>
      <c r="S1" s="237"/>
      <c r="T1" s="237"/>
      <c r="U1" s="237"/>
      <c r="V1" s="237"/>
      <c r="W1" s="237"/>
      <c r="X1" s="261"/>
      <c r="Y1" s="237"/>
    </row>
    <row r="2" spans="1:25" x14ac:dyDescent="0.3">
      <c r="A2" s="112" t="s">
        <v>388</v>
      </c>
      <c r="B2" s="112"/>
      <c r="C2" s="112"/>
      <c r="D2" s="112"/>
      <c r="E2" s="112"/>
      <c r="F2" s="112"/>
      <c r="G2" s="112"/>
      <c r="H2" s="112"/>
    </row>
    <row r="3" spans="1:25" ht="15.75" customHeight="1" thickBot="1" x14ac:dyDescent="0.35">
      <c r="A3" s="112"/>
      <c r="B3" s="112"/>
      <c r="C3" s="427" t="s">
        <v>214</v>
      </c>
      <c r="D3" s="427"/>
      <c r="E3" s="427"/>
      <c r="F3" s="427" t="s">
        <v>215</v>
      </c>
      <c r="G3" s="427"/>
      <c r="H3" s="427"/>
      <c r="M3" s="420" t="s">
        <v>382</v>
      </c>
      <c r="N3" s="421"/>
      <c r="O3" s="421"/>
      <c r="P3" s="421"/>
      <c r="Q3" s="421"/>
      <c r="R3" s="422"/>
      <c r="S3" s="236"/>
      <c r="T3" s="420" t="s">
        <v>382</v>
      </c>
      <c r="U3" s="421"/>
      <c r="V3" s="421"/>
      <c r="W3" s="421"/>
      <c r="X3" s="421"/>
      <c r="Y3" s="422"/>
    </row>
    <row r="4" spans="1:25" ht="15" thickBot="1" x14ac:dyDescent="0.35">
      <c r="A4" s="212" t="s">
        <v>31</v>
      </c>
      <c r="B4" s="213" t="s">
        <v>314</v>
      </c>
      <c r="C4" s="214" t="s">
        <v>377</v>
      </c>
      <c r="D4" s="214" t="s">
        <v>378</v>
      </c>
      <c r="E4" s="213" t="s">
        <v>379</v>
      </c>
      <c r="F4" s="214" t="s">
        <v>377</v>
      </c>
      <c r="G4" s="214" t="s">
        <v>378</v>
      </c>
      <c r="H4" s="215" t="s">
        <v>379</v>
      </c>
      <c r="L4" s="266"/>
      <c r="M4" s="423" t="s">
        <v>392</v>
      </c>
      <c r="N4" s="424"/>
      <c r="O4" s="424"/>
      <c r="P4" s="424"/>
      <c r="Q4" s="424"/>
      <c r="R4" s="425"/>
      <c r="S4" s="236"/>
      <c r="T4" s="423" t="s">
        <v>393</v>
      </c>
      <c r="U4" s="424"/>
      <c r="V4" s="424"/>
      <c r="W4" s="424"/>
      <c r="X4" s="424"/>
      <c r="Y4" s="425"/>
    </row>
    <row r="5" spans="1:25" ht="15" customHeight="1" thickTop="1" x14ac:dyDescent="0.3">
      <c r="A5" s="216">
        <v>2</v>
      </c>
      <c r="B5" s="217">
        <v>2003</v>
      </c>
      <c r="C5" s="218">
        <v>624</v>
      </c>
      <c r="D5" s="218">
        <v>557</v>
      </c>
      <c r="E5" s="219">
        <f t="shared" ref="E5:E10" si="0">D5/C5</f>
        <v>0.89262820512820518</v>
      </c>
      <c r="F5" s="218">
        <v>487</v>
      </c>
      <c r="G5" s="218">
        <v>511</v>
      </c>
      <c r="H5" s="220">
        <f>G5/F5</f>
        <v>1.0492813141683779</v>
      </c>
      <c r="L5" s="417" t="s">
        <v>330</v>
      </c>
      <c r="M5" s="238" t="s">
        <v>314</v>
      </c>
      <c r="N5" s="239" t="s">
        <v>199</v>
      </c>
      <c r="O5" s="239" t="s">
        <v>383</v>
      </c>
      <c r="P5" s="239" t="s">
        <v>384</v>
      </c>
      <c r="Q5" s="240" t="s">
        <v>390</v>
      </c>
      <c r="R5" s="241" t="s">
        <v>391</v>
      </c>
      <c r="T5" s="238" t="s">
        <v>314</v>
      </c>
      <c r="U5" s="239" t="s">
        <v>199</v>
      </c>
      <c r="V5" s="239" t="s">
        <v>383</v>
      </c>
      <c r="W5" s="239" t="s">
        <v>384</v>
      </c>
      <c r="X5" s="240" t="s">
        <v>390</v>
      </c>
      <c r="Y5" s="241" t="s">
        <v>391</v>
      </c>
    </row>
    <row r="6" spans="1:25" x14ac:dyDescent="0.3">
      <c r="A6" s="216"/>
      <c r="B6" s="217">
        <v>2004</v>
      </c>
      <c r="C6" s="218">
        <v>154</v>
      </c>
      <c r="D6" s="218">
        <v>306</v>
      </c>
      <c r="E6" s="221">
        <f t="shared" si="0"/>
        <v>1.9870129870129871</v>
      </c>
      <c r="F6" s="218">
        <v>57</v>
      </c>
      <c r="G6" s="218">
        <v>188</v>
      </c>
      <c r="H6" s="220">
        <f>G6/F6</f>
        <v>3.2982456140350878</v>
      </c>
      <c r="L6" s="418"/>
      <c r="M6" s="246">
        <v>2001</v>
      </c>
      <c r="N6" s="247" t="s">
        <v>385</v>
      </c>
      <c r="O6" s="248">
        <f>22+261</f>
        <v>283</v>
      </c>
      <c r="P6" s="248">
        <f>0+20</f>
        <v>20</v>
      </c>
      <c r="Q6" s="249">
        <f>P6/(O6+P6)</f>
        <v>6.6006600660066E-2</v>
      </c>
      <c r="R6" s="250">
        <f>P6/O6</f>
        <v>7.0671378091872794E-2</v>
      </c>
      <c r="T6" s="246">
        <v>2001</v>
      </c>
      <c r="U6" s="247" t="s">
        <v>385</v>
      </c>
      <c r="V6" s="248">
        <f>150+249</f>
        <v>399</v>
      </c>
      <c r="W6" s="248">
        <f>3+8</f>
        <v>11</v>
      </c>
      <c r="X6" s="249">
        <f t="shared" ref="X6:X11" si="1">W6/(V6+W6)</f>
        <v>2.6829268292682926E-2</v>
      </c>
      <c r="Y6" s="250">
        <f t="shared" ref="Y6:Y11" si="2">W6/V6</f>
        <v>2.7568922305764409E-2</v>
      </c>
    </row>
    <row r="7" spans="1:25" x14ac:dyDescent="0.3">
      <c r="A7" s="216"/>
      <c r="B7" s="217">
        <v>2005</v>
      </c>
      <c r="C7" s="218">
        <v>685</v>
      </c>
      <c r="D7" s="218">
        <v>460</v>
      </c>
      <c r="E7" s="219">
        <f t="shared" si="0"/>
        <v>0.67153284671532842</v>
      </c>
      <c r="F7" s="218">
        <v>315</v>
      </c>
      <c r="G7" s="218">
        <v>96</v>
      </c>
      <c r="H7" s="220">
        <f>G7/F7</f>
        <v>0.30476190476190479</v>
      </c>
      <c r="L7" s="418"/>
      <c r="M7" s="246">
        <v>2002</v>
      </c>
      <c r="N7" s="247" t="s">
        <v>385</v>
      </c>
      <c r="O7" s="248">
        <f>1+447</f>
        <v>448</v>
      </c>
      <c r="P7" s="248">
        <f>0+31</f>
        <v>31</v>
      </c>
      <c r="Q7" s="249">
        <f>P7/(O7+P7)</f>
        <v>6.471816283924843E-2</v>
      </c>
      <c r="R7" s="250">
        <f>P7/O7</f>
        <v>6.9196428571428575E-2</v>
      </c>
      <c r="T7" s="246">
        <v>2002</v>
      </c>
      <c r="U7" s="247" t="s">
        <v>385</v>
      </c>
      <c r="V7" s="248">
        <f>204+44+79</f>
        <v>327</v>
      </c>
      <c r="W7" s="248">
        <f>15+12+4</f>
        <v>31</v>
      </c>
      <c r="X7" s="249">
        <f t="shared" si="1"/>
        <v>8.6592178770949726E-2</v>
      </c>
      <c r="Y7" s="250">
        <f t="shared" si="2"/>
        <v>9.480122324159021E-2</v>
      </c>
    </row>
    <row r="8" spans="1:25" x14ac:dyDescent="0.3">
      <c r="A8" s="216"/>
      <c r="B8" s="217">
        <v>2006</v>
      </c>
      <c r="C8" s="218">
        <v>136</v>
      </c>
      <c r="D8" s="218">
        <v>69</v>
      </c>
      <c r="E8" s="219">
        <f t="shared" si="0"/>
        <v>0.50735294117647056</v>
      </c>
      <c r="F8" s="218">
        <v>20</v>
      </c>
      <c r="G8" s="218">
        <v>2</v>
      </c>
      <c r="H8" s="220">
        <f>G8/F8</f>
        <v>0.1</v>
      </c>
      <c r="L8" s="418"/>
      <c r="M8" s="246">
        <v>2003</v>
      </c>
      <c r="N8" s="247" t="s">
        <v>385</v>
      </c>
      <c r="O8" s="248">
        <v>364</v>
      </c>
      <c r="P8" s="248">
        <v>142</v>
      </c>
      <c r="Q8" s="249">
        <f>P8/(O8+P8)</f>
        <v>0.28063241106719367</v>
      </c>
      <c r="R8" s="250">
        <f>P8/O8</f>
        <v>0.39010989010989011</v>
      </c>
      <c r="T8" s="246">
        <v>2003</v>
      </c>
      <c r="U8" s="247" t="s">
        <v>385</v>
      </c>
      <c r="V8" s="248">
        <f>223+154+26</f>
        <v>403</v>
      </c>
      <c r="W8" s="248">
        <f>8+23+0</f>
        <v>31</v>
      </c>
      <c r="X8" s="249">
        <f t="shared" si="1"/>
        <v>7.1428571428571425E-2</v>
      </c>
      <c r="Y8" s="250">
        <f t="shared" si="2"/>
        <v>7.6923076923076927E-2</v>
      </c>
    </row>
    <row r="9" spans="1:25" x14ac:dyDescent="0.3">
      <c r="A9" s="222"/>
      <c r="B9" s="223">
        <v>2007</v>
      </c>
      <c r="C9" s="224">
        <v>109</v>
      </c>
      <c r="D9" s="224">
        <v>132</v>
      </c>
      <c r="E9" s="225">
        <f t="shared" si="0"/>
        <v>1.2110091743119267</v>
      </c>
      <c r="F9" s="224"/>
      <c r="G9" s="224"/>
      <c r="H9" s="226"/>
      <c r="L9" s="418"/>
      <c r="M9" s="246">
        <v>2004</v>
      </c>
      <c r="N9" s="247" t="s">
        <v>385</v>
      </c>
      <c r="O9" s="248">
        <f>81</f>
        <v>81</v>
      </c>
      <c r="P9" s="248">
        <f>16</f>
        <v>16</v>
      </c>
      <c r="Q9" s="249">
        <f>P9/(O9+P9)</f>
        <v>0.16494845360824742</v>
      </c>
      <c r="R9" s="250">
        <f>P9/O9</f>
        <v>0.19753086419753085</v>
      </c>
      <c r="T9" s="246">
        <v>2004</v>
      </c>
      <c r="U9" s="247" t="s">
        <v>385</v>
      </c>
      <c r="V9" s="248">
        <f>79+87+39</f>
        <v>205</v>
      </c>
      <c r="W9" s="248">
        <f>22+23+5</f>
        <v>50</v>
      </c>
      <c r="X9" s="249">
        <f t="shared" si="1"/>
        <v>0.19607843137254902</v>
      </c>
      <c r="Y9" s="250">
        <f t="shared" si="2"/>
        <v>0.24390243902439024</v>
      </c>
    </row>
    <row r="10" spans="1:25" x14ac:dyDescent="0.3">
      <c r="A10" s="216">
        <v>3</v>
      </c>
      <c r="B10" s="217">
        <v>2003</v>
      </c>
      <c r="C10" s="218">
        <v>164</v>
      </c>
      <c r="D10" s="218">
        <v>299</v>
      </c>
      <c r="E10" s="219">
        <f t="shared" si="0"/>
        <v>1.8231707317073171</v>
      </c>
      <c r="F10" s="218"/>
      <c r="G10" s="218"/>
      <c r="H10" s="227"/>
      <c r="L10" s="418"/>
      <c r="M10" s="246">
        <v>2005</v>
      </c>
      <c r="N10" s="247" t="s">
        <v>385</v>
      </c>
      <c r="O10" s="251"/>
      <c r="P10" s="251"/>
      <c r="Q10" s="249"/>
      <c r="R10" s="250"/>
      <c r="T10" s="246">
        <v>2005</v>
      </c>
      <c r="U10" s="247" t="s">
        <v>385</v>
      </c>
      <c r="V10" s="248">
        <f>41+58+13</f>
        <v>112</v>
      </c>
      <c r="W10" s="248">
        <f>2+4+10</f>
        <v>16</v>
      </c>
      <c r="X10" s="249">
        <f t="shared" si="1"/>
        <v>0.125</v>
      </c>
      <c r="Y10" s="250">
        <f t="shared" si="2"/>
        <v>0.14285714285714285</v>
      </c>
    </row>
    <row r="11" spans="1:25" x14ac:dyDescent="0.3">
      <c r="A11" s="216"/>
      <c r="B11" s="217">
        <v>2004</v>
      </c>
      <c r="C11" s="218"/>
      <c r="D11" s="218"/>
      <c r="E11" s="228"/>
      <c r="F11" s="218"/>
      <c r="G11" s="218"/>
      <c r="H11" s="227"/>
      <c r="L11" s="418"/>
      <c r="M11" s="246">
        <v>2006</v>
      </c>
      <c r="N11" s="247" t="s">
        <v>385</v>
      </c>
      <c r="O11" s="248">
        <f>29+18</f>
        <v>47</v>
      </c>
      <c r="P11" s="248">
        <f>5+2</f>
        <v>7</v>
      </c>
      <c r="Q11" s="249">
        <f>P11/(O11+P11)</f>
        <v>0.12962962962962962</v>
      </c>
      <c r="R11" s="250">
        <f>P11/O11</f>
        <v>0.14893617021276595</v>
      </c>
      <c r="T11" s="246">
        <v>2006</v>
      </c>
      <c r="U11" s="247" t="s">
        <v>385</v>
      </c>
      <c r="V11" s="248">
        <v>62</v>
      </c>
      <c r="W11" s="248">
        <v>62</v>
      </c>
      <c r="X11" s="249">
        <f t="shared" si="1"/>
        <v>0.5</v>
      </c>
      <c r="Y11" s="250">
        <f t="shared" si="2"/>
        <v>1</v>
      </c>
    </row>
    <row r="12" spans="1:25" x14ac:dyDescent="0.3">
      <c r="A12" s="216"/>
      <c r="B12" s="217">
        <v>2005</v>
      </c>
      <c r="C12" s="218">
        <v>327</v>
      </c>
      <c r="D12" s="218">
        <v>271</v>
      </c>
      <c r="E12" s="219">
        <f>D12/C12</f>
        <v>0.82874617737003053</v>
      </c>
      <c r="F12" s="218">
        <v>61</v>
      </c>
      <c r="G12" s="218">
        <v>20</v>
      </c>
      <c r="H12" s="220">
        <f>G12/F12</f>
        <v>0.32786885245901637</v>
      </c>
      <c r="L12" s="419"/>
      <c r="M12" s="252" t="s">
        <v>386</v>
      </c>
      <c r="N12" s="253"/>
      <c r="O12" s="254">
        <f>AVERAGE(O6:O11)</f>
        <v>244.6</v>
      </c>
      <c r="P12" s="254">
        <f>AVERAGE(P6:P11)</f>
        <v>43.2</v>
      </c>
      <c r="Q12" s="255">
        <f>AVERAGE(Q6:Q11)</f>
        <v>0.14118705156087702</v>
      </c>
      <c r="R12" s="256">
        <f>AVERAGE(R6:R11)</f>
        <v>0.17528894623669766</v>
      </c>
      <c r="T12" s="252" t="s">
        <v>386</v>
      </c>
      <c r="U12" s="253"/>
      <c r="V12" s="254">
        <f>AVERAGE(V6:V11)</f>
        <v>251.33333333333334</v>
      </c>
      <c r="W12" s="254">
        <f>AVERAGE(W6:W11)</f>
        <v>33.5</v>
      </c>
      <c r="X12" s="255">
        <f>AVERAGE(X6:X11)</f>
        <v>0.1676547416441255</v>
      </c>
      <c r="Y12" s="256">
        <f>AVERAGE(Y6:Y11)</f>
        <v>0.26434213405866075</v>
      </c>
    </row>
    <row r="13" spans="1:25" ht="15" customHeight="1" x14ac:dyDescent="0.3">
      <c r="A13" s="216"/>
      <c r="B13" s="217">
        <v>2006</v>
      </c>
      <c r="C13" s="218">
        <v>254</v>
      </c>
      <c r="D13" s="218">
        <v>357</v>
      </c>
      <c r="E13" s="219">
        <f>D13/C13</f>
        <v>1.405511811023622</v>
      </c>
      <c r="F13" s="218">
        <v>81</v>
      </c>
      <c r="G13" s="218">
        <v>88</v>
      </c>
      <c r="H13" s="220">
        <f>G13/F13</f>
        <v>1.0864197530864197</v>
      </c>
      <c r="M13" s="257"/>
      <c r="N13" s="258"/>
      <c r="O13" s="259"/>
      <c r="P13" s="259"/>
      <c r="Q13" s="260"/>
    </row>
    <row r="14" spans="1:25" ht="15" customHeight="1" x14ac:dyDescent="0.3">
      <c r="A14" s="222"/>
      <c r="B14" s="223">
        <v>2007</v>
      </c>
      <c r="C14" s="224"/>
      <c r="D14" s="224"/>
      <c r="E14" s="229"/>
      <c r="F14" s="224"/>
      <c r="G14" s="224"/>
      <c r="H14" s="226"/>
      <c r="L14" s="417" t="s">
        <v>331</v>
      </c>
      <c r="M14" s="267" t="s">
        <v>314</v>
      </c>
      <c r="N14" s="268" t="s">
        <v>199</v>
      </c>
      <c r="O14" s="268" t="s">
        <v>383</v>
      </c>
      <c r="P14" s="268" t="s">
        <v>384</v>
      </c>
      <c r="Q14" s="269" t="s">
        <v>390</v>
      </c>
      <c r="R14" s="270" t="s">
        <v>391</v>
      </c>
      <c r="T14" s="267" t="s">
        <v>314</v>
      </c>
      <c r="U14" s="268" t="s">
        <v>199</v>
      </c>
      <c r="V14" s="268" t="s">
        <v>383</v>
      </c>
      <c r="W14" s="268" t="s">
        <v>384</v>
      </c>
      <c r="X14" s="269" t="s">
        <v>390</v>
      </c>
      <c r="Y14" s="270" t="s">
        <v>391</v>
      </c>
    </row>
    <row r="15" spans="1:25" ht="15" customHeight="1" x14ac:dyDescent="0.3">
      <c r="A15" s="216">
        <v>4</v>
      </c>
      <c r="B15" s="217">
        <v>2003</v>
      </c>
      <c r="C15" s="218">
        <v>256</v>
      </c>
      <c r="D15" s="218">
        <v>254</v>
      </c>
      <c r="E15" s="219">
        <f>D15/C15</f>
        <v>0.9921875</v>
      </c>
      <c r="F15" s="218">
        <v>594</v>
      </c>
      <c r="G15" s="218">
        <v>32</v>
      </c>
      <c r="H15" s="220">
        <f>G15/F15</f>
        <v>5.387205387205387E-2</v>
      </c>
      <c r="L15" s="418"/>
      <c r="M15" s="246">
        <v>2001</v>
      </c>
      <c r="N15" s="247" t="s">
        <v>385</v>
      </c>
      <c r="O15" s="251"/>
      <c r="P15" s="251"/>
      <c r="Q15" s="244"/>
      <c r="R15" s="245"/>
      <c r="T15" s="246">
        <v>2001</v>
      </c>
      <c r="U15" s="247" t="s">
        <v>385</v>
      </c>
      <c r="V15" s="251"/>
      <c r="W15" s="251"/>
      <c r="X15" s="244"/>
      <c r="Y15" s="245"/>
    </row>
    <row r="16" spans="1:25" ht="15" customHeight="1" x14ac:dyDescent="0.3">
      <c r="A16" s="216"/>
      <c r="B16" s="217">
        <v>2004</v>
      </c>
      <c r="C16" s="218">
        <v>278</v>
      </c>
      <c r="D16" s="218">
        <v>192</v>
      </c>
      <c r="E16" s="219">
        <f>D16/C16</f>
        <v>0.69064748201438853</v>
      </c>
      <c r="F16" s="218">
        <v>257</v>
      </c>
      <c r="G16" s="218">
        <v>45</v>
      </c>
      <c r="H16" s="220">
        <f>G16/F16</f>
        <v>0.17509727626459143</v>
      </c>
      <c r="L16" s="418"/>
      <c r="M16" s="246">
        <v>2002</v>
      </c>
      <c r="N16" s="247" t="s">
        <v>385</v>
      </c>
      <c r="O16" s="248">
        <v>151</v>
      </c>
      <c r="P16" s="248">
        <v>6</v>
      </c>
      <c r="Q16" s="249">
        <f>P16/(O16+P16)</f>
        <v>3.8216560509554139E-2</v>
      </c>
      <c r="R16" s="250">
        <f>P16/O16</f>
        <v>3.9735099337748346E-2</v>
      </c>
      <c r="T16" s="246">
        <v>2002</v>
      </c>
      <c r="U16" s="247" t="s">
        <v>385</v>
      </c>
      <c r="V16" s="248">
        <v>83</v>
      </c>
      <c r="W16" s="248">
        <v>20</v>
      </c>
      <c r="X16" s="249">
        <f>W16/(V16+W16)</f>
        <v>0.1941747572815534</v>
      </c>
      <c r="Y16" s="250">
        <f>W16/V16</f>
        <v>0.24096385542168675</v>
      </c>
    </row>
    <row r="17" spans="1:25" ht="15" customHeight="1" x14ac:dyDescent="0.3">
      <c r="A17" s="216"/>
      <c r="B17" s="217">
        <v>2005</v>
      </c>
      <c r="C17" s="218">
        <v>338</v>
      </c>
      <c r="D17" s="218">
        <v>230</v>
      </c>
      <c r="E17" s="219">
        <f>D17/C17</f>
        <v>0.68047337278106512</v>
      </c>
      <c r="F17" s="218">
        <v>21</v>
      </c>
      <c r="G17" s="218">
        <v>0</v>
      </c>
      <c r="H17" s="220">
        <f>G17/F17</f>
        <v>0</v>
      </c>
      <c r="L17" s="418"/>
      <c r="M17" s="246">
        <v>2003</v>
      </c>
      <c r="N17" s="247" t="s">
        <v>385</v>
      </c>
      <c r="O17" s="251"/>
      <c r="P17" s="251"/>
      <c r="Q17" s="244"/>
      <c r="R17" s="245"/>
      <c r="T17" s="246">
        <v>2003</v>
      </c>
      <c r="U17" s="247" t="s">
        <v>385</v>
      </c>
      <c r="V17" s="251"/>
      <c r="W17" s="251"/>
      <c r="X17" s="244"/>
      <c r="Y17" s="245"/>
    </row>
    <row r="18" spans="1:25" ht="15" customHeight="1" x14ac:dyDescent="0.3">
      <c r="A18" s="216"/>
      <c r="B18" s="217">
        <v>2006</v>
      </c>
      <c r="C18" s="218">
        <v>12</v>
      </c>
      <c r="D18" s="218">
        <v>41</v>
      </c>
      <c r="E18" s="219">
        <f>D18/C18</f>
        <v>3.4166666666666665</v>
      </c>
      <c r="F18" s="218">
        <v>55</v>
      </c>
      <c r="G18" s="218">
        <v>159</v>
      </c>
      <c r="H18" s="220">
        <f>G18/F18</f>
        <v>2.8909090909090911</v>
      </c>
      <c r="L18" s="418"/>
      <c r="M18" s="246">
        <v>2004</v>
      </c>
      <c r="N18" s="247" t="s">
        <v>385</v>
      </c>
      <c r="O18" s="251"/>
      <c r="P18" s="251"/>
      <c r="Q18" s="244"/>
      <c r="R18" s="245"/>
      <c r="T18" s="246">
        <v>2004</v>
      </c>
      <c r="U18" s="247" t="s">
        <v>385</v>
      </c>
      <c r="V18" s="251"/>
      <c r="W18" s="251"/>
      <c r="X18" s="244"/>
      <c r="Y18" s="245"/>
    </row>
    <row r="19" spans="1:25" ht="15" customHeight="1" x14ac:dyDescent="0.3">
      <c r="A19" s="222"/>
      <c r="B19" s="223">
        <v>2007</v>
      </c>
      <c r="C19" s="224"/>
      <c r="D19" s="224"/>
      <c r="E19" s="229"/>
      <c r="F19" s="224"/>
      <c r="G19" s="224"/>
      <c r="H19" s="226"/>
      <c r="L19" s="418"/>
      <c r="M19" s="246">
        <v>2005</v>
      </c>
      <c r="N19" s="247" t="s">
        <v>385</v>
      </c>
      <c r="O19" s="251"/>
      <c r="P19" s="251"/>
      <c r="Q19" s="244"/>
      <c r="R19" s="245"/>
      <c r="T19" s="246">
        <v>2005</v>
      </c>
      <c r="U19" s="247" t="s">
        <v>385</v>
      </c>
      <c r="V19" s="248">
        <f>32+28+23</f>
        <v>83</v>
      </c>
      <c r="W19" s="248">
        <f>3+1+10</f>
        <v>14</v>
      </c>
      <c r="X19" s="249">
        <f>W19/(V19+W19)</f>
        <v>0.14432989690721648</v>
      </c>
      <c r="Y19" s="250">
        <f>W19/V19</f>
        <v>0.16867469879518071</v>
      </c>
    </row>
    <row r="20" spans="1:25" ht="15" customHeight="1" x14ac:dyDescent="0.3">
      <c r="A20" s="216">
        <v>34</v>
      </c>
      <c r="B20" s="217">
        <v>2003</v>
      </c>
      <c r="C20" s="218">
        <f t="shared" ref="C20:D23" si="3">C10+C15</f>
        <v>420</v>
      </c>
      <c r="D20" s="218">
        <f t="shared" si="3"/>
        <v>553</v>
      </c>
      <c r="E20" s="219">
        <f>D20/C20</f>
        <v>1.3166666666666667</v>
      </c>
      <c r="F20" s="218">
        <f t="shared" ref="F20:G23" si="4">F10+F15</f>
        <v>594</v>
      </c>
      <c r="G20" s="218">
        <f t="shared" si="4"/>
        <v>32</v>
      </c>
      <c r="H20" s="220">
        <f>G20/F20</f>
        <v>5.387205387205387E-2</v>
      </c>
      <c r="L20" s="418"/>
      <c r="M20" s="246">
        <v>2006</v>
      </c>
      <c r="N20" s="247" t="s">
        <v>385</v>
      </c>
      <c r="O20" s="251"/>
      <c r="P20" s="251"/>
      <c r="Q20" s="244"/>
      <c r="R20" s="245"/>
      <c r="T20" s="246">
        <v>2006</v>
      </c>
      <c r="U20" s="247" t="s">
        <v>385</v>
      </c>
      <c r="V20" s="248">
        <f>28+1</f>
        <v>29</v>
      </c>
      <c r="W20" s="248">
        <f>2+4</f>
        <v>6</v>
      </c>
      <c r="X20" s="249">
        <f>W20/(V20+W20)</f>
        <v>0.17142857142857143</v>
      </c>
      <c r="Y20" s="250">
        <f>W20/V20</f>
        <v>0.20689655172413793</v>
      </c>
    </row>
    <row r="21" spans="1:25" ht="15" customHeight="1" x14ac:dyDescent="0.3">
      <c r="A21" s="216"/>
      <c r="B21" s="217">
        <v>2004</v>
      </c>
      <c r="C21" s="218">
        <f t="shared" si="3"/>
        <v>278</v>
      </c>
      <c r="D21" s="218">
        <f t="shared" si="3"/>
        <v>192</v>
      </c>
      <c r="E21" s="219">
        <f>D21/C21</f>
        <v>0.69064748201438853</v>
      </c>
      <c r="F21" s="218">
        <f t="shared" si="4"/>
        <v>257</v>
      </c>
      <c r="G21" s="218">
        <f t="shared" si="4"/>
        <v>45</v>
      </c>
      <c r="H21" s="220">
        <f>G21/F21</f>
        <v>0.17509727626459143</v>
      </c>
      <c r="L21" s="419"/>
      <c r="M21" s="252" t="s">
        <v>386</v>
      </c>
      <c r="N21" s="253"/>
      <c r="O21" s="254">
        <f>AVERAGE(O15:O20)</f>
        <v>151</v>
      </c>
      <c r="P21" s="254">
        <f>AVERAGE(P15:P20)</f>
        <v>6</v>
      </c>
      <c r="Q21" s="255">
        <f>AVERAGE(Q15:Q20)</f>
        <v>3.8216560509554139E-2</v>
      </c>
      <c r="R21" s="256">
        <f>AVERAGE(R15:R20)</f>
        <v>3.9735099337748346E-2</v>
      </c>
      <c r="T21" s="252" t="s">
        <v>386</v>
      </c>
      <c r="U21" s="253"/>
      <c r="V21" s="254">
        <f>AVERAGE(V15:V20)</f>
        <v>65</v>
      </c>
      <c r="W21" s="254">
        <f>AVERAGE(W15:W20)</f>
        <v>13.333333333333334</v>
      </c>
      <c r="X21" s="255">
        <f>AVERAGE(X15:X20)</f>
        <v>0.16997774187244707</v>
      </c>
      <c r="Y21" s="256">
        <f>AVERAGE(Y15:Y20)</f>
        <v>0.20551170198033511</v>
      </c>
    </row>
    <row r="22" spans="1:25" ht="15" customHeight="1" x14ac:dyDescent="0.3">
      <c r="A22" s="216"/>
      <c r="B22" s="217">
        <v>2005</v>
      </c>
      <c r="C22" s="218">
        <f t="shared" si="3"/>
        <v>665</v>
      </c>
      <c r="D22" s="218">
        <f t="shared" si="3"/>
        <v>501</v>
      </c>
      <c r="E22" s="219">
        <f>D22/C22</f>
        <v>0.75338345864661649</v>
      </c>
      <c r="F22" s="218">
        <f t="shared" si="4"/>
        <v>82</v>
      </c>
      <c r="G22" s="218">
        <f t="shared" si="4"/>
        <v>20</v>
      </c>
      <c r="H22" s="220">
        <f>G22/F22</f>
        <v>0.24390243902439024</v>
      </c>
    </row>
    <row r="23" spans="1:25" ht="15" customHeight="1" x14ac:dyDescent="0.3">
      <c r="A23" s="216"/>
      <c r="B23" s="217">
        <v>2006</v>
      </c>
      <c r="C23" s="218">
        <f t="shared" si="3"/>
        <v>266</v>
      </c>
      <c r="D23" s="218">
        <f t="shared" si="3"/>
        <v>398</v>
      </c>
      <c r="E23" s="219">
        <f>D23/C23</f>
        <v>1.4962406015037595</v>
      </c>
      <c r="F23" s="218">
        <f t="shared" si="4"/>
        <v>136</v>
      </c>
      <c r="G23" s="218">
        <f t="shared" si="4"/>
        <v>247</v>
      </c>
      <c r="H23" s="220">
        <f>G23/F23</f>
        <v>1.8161764705882353</v>
      </c>
      <c r="L23" s="417" t="s">
        <v>387</v>
      </c>
      <c r="M23" s="267" t="s">
        <v>314</v>
      </c>
      <c r="N23" s="268" t="s">
        <v>199</v>
      </c>
      <c r="O23" s="268" t="s">
        <v>383</v>
      </c>
      <c r="P23" s="268" t="s">
        <v>384</v>
      </c>
      <c r="Q23" s="269" t="s">
        <v>390</v>
      </c>
      <c r="R23" s="270" t="s">
        <v>391</v>
      </c>
      <c r="T23" s="267" t="s">
        <v>314</v>
      </c>
      <c r="U23" s="268" t="s">
        <v>199</v>
      </c>
      <c r="V23" s="268" t="s">
        <v>383</v>
      </c>
      <c r="W23" s="268" t="s">
        <v>384</v>
      </c>
      <c r="X23" s="269" t="s">
        <v>390</v>
      </c>
      <c r="Y23" s="270" t="s">
        <v>391</v>
      </c>
    </row>
    <row r="24" spans="1:25" ht="15" customHeight="1" thickBot="1" x14ac:dyDescent="0.35">
      <c r="A24" s="230"/>
      <c r="B24" s="231">
        <v>2007</v>
      </c>
      <c r="C24" s="88"/>
      <c r="D24" s="88"/>
      <c r="E24" s="232"/>
      <c r="F24" s="88"/>
      <c r="G24" s="88"/>
      <c r="H24" s="233"/>
      <c r="L24" s="418"/>
      <c r="M24" s="242">
        <v>2001</v>
      </c>
      <c r="N24" s="271"/>
      <c r="O24" s="243">
        <f t="shared" ref="O24:P29" si="5">IF(O6+O15&gt;0,O6+O15,"")</f>
        <v>283</v>
      </c>
      <c r="P24" s="243">
        <f t="shared" si="5"/>
        <v>20</v>
      </c>
      <c r="Q24" s="249">
        <f>P24/(O24+P24)</f>
        <v>6.6006600660066E-2</v>
      </c>
      <c r="R24" s="250">
        <f>P24/O24</f>
        <v>7.0671378091872794E-2</v>
      </c>
      <c r="T24" s="242">
        <v>2001</v>
      </c>
      <c r="U24" s="271"/>
      <c r="V24" s="243">
        <f t="shared" ref="V24:W29" si="6">IF(V6+V15&gt;0,V6+V15,"")</f>
        <v>399</v>
      </c>
      <c r="W24" s="243">
        <f t="shared" si="6"/>
        <v>11</v>
      </c>
      <c r="X24" s="249">
        <f t="shared" ref="X24:X29" si="7">W24/(V24+W24)</f>
        <v>2.6829268292682926E-2</v>
      </c>
      <c r="Y24" s="250">
        <f t="shared" ref="Y24:Y29" si="8">W24/V24</f>
        <v>2.7568922305764409E-2</v>
      </c>
    </row>
    <row r="25" spans="1:25" ht="15" customHeight="1" x14ac:dyDescent="0.3">
      <c r="A25" s="112"/>
      <c r="B25" s="112"/>
      <c r="C25" s="112"/>
      <c r="D25" s="112"/>
      <c r="E25" s="112"/>
      <c r="F25" s="112"/>
      <c r="G25" s="112"/>
      <c r="H25" s="112"/>
      <c r="L25" s="418"/>
      <c r="M25" s="246">
        <v>2002</v>
      </c>
      <c r="N25" s="272"/>
      <c r="O25" s="248">
        <f t="shared" si="5"/>
        <v>599</v>
      </c>
      <c r="P25" s="248">
        <f t="shared" si="5"/>
        <v>37</v>
      </c>
      <c r="Q25" s="249">
        <f>P25/(O25+P25)</f>
        <v>5.8176100628930819E-2</v>
      </c>
      <c r="R25" s="250">
        <f>P25/O25</f>
        <v>6.1769616026711188E-2</v>
      </c>
      <c r="T25" s="246">
        <v>2002</v>
      </c>
      <c r="U25" s="272"/>
      <c r="V25" s="248">
        <f t="shared" si="6"/>
        <v>410</v>
      </c>
      <c r="W25" s="248">
        <f t="shared" si="6"/>
        <v>51</v>
      </c>
      <c r="X25" s="249">
        <f t="shared" si="7"/>
        <v>0.11062906724511931</v>
      </c>
      <c r="Y25" s="250">
        <f t="shared" si="8"/>
        <v>0.12439024390243902</v>
      </c>
    </row>
    <row r="26" spans="1:25" ht="15" customHeight="1" x14ac:dyDescent="0.3">
      <c r="A26" t="s">
        <v>381</v>
      </c>
      <c r="D26" s="112"/>
      <c r="E26" s="112"/>
      <c r="F26" s="112"/>
      <c r="G26" s="112"/>
      <c r="H26" s="112"/>
      <c r="L26" s="418"/>
      <c r="M26" s="246">
        <v>2003</v>
      </c>
      <c r="N26" s="272"/>
      <c r="O26" s="248">
        <f t="shared" si="5"/>
        <v>364</v>
      </c>
      <c r="P26" s="248">
        <f t="shared" si="5"/>
        <v>142</v>
      </c>
      <c r="Q26" s="249">
        <f>P26/(O26+P26)</f>
        <v>0.28063241106719367</v>
      </c>
      <c r="R26" s="250">
        <f>P26/O26</f>
        <v>0.39010989010989011</v>
      </c>
      <c r="T26" s="246">
        <v>2003</v>
      </c>
      <c r="U26" s="272"/>
      <c r="V26" s="248">
        <f t="shared" si="6"/>
        <v>403</v>
      </c>
      <c r="W26" s="248">
        <f t="shared" si="6"/>
        <v>31</v>
      </c>
      <c r="X26" s="249">
        <f t="shared" si="7"/>
        <v>7.1428571428571425E-2</v>
      </c>
      <c r="Y26" s="250">
        <f t="shared" si="8"/>
        <v>7.6923076923076927E-2</v>
      </c>
    </row>
    <row r="27" spans="1:25" ht="15" customHeight="1" thickBot="1" x14ac:dyDescent="0.35">
      <c r="A27" s="234" t="s">
        <v>31</v>
      </c>
      <c r="B27" s="234" t="s">
        <v>376</v>
      </c>
      <c r="C27" s="234" t="s">
        <v>379</v>
      </c>
      <c r="D27" s="112"/>
      <c r="E27" s="112"/>
      <c r="F27" s="112"/>
      <c r="G27" s="112"/>
      <c r="H27" s="112"/>
      <c r="L27" s="418"/>
      <c r="M27" s="246">
        <v>2004</v>
      </c>
      <c r="N27" s="272"/>
      <c r="O27" s="248">
        <f t="shared" si="5"/>
        <v>81</v>
      </c>
      <c r="P27" s="248">
        <f t="shared" si="5"/>
        <v>16</v>
      </c>
      <c r="Q27" s="249">
        <f>P27/(O27+P27)</f>
        <v>0.16494845360824742</v>
      </c>
      <c r="R27" s="250">
        <f>P27/O27</f>
        <v>0.19753086419753085</v>
      </c>
      <c r="T27" s="246">
        <v>2004</v>
      </c>
      <c r="U27" s="272"/>
      <c r="V27" s="248">
        <f t="shared" si="6"/>
        <v>205</v>
      </c>
      <c r="W27" s="248">
        <f t="shared" si="6"/>
        <v>50</v>
      </c>
      <c r="X27" s="249">
        <f t="shared" si="7"/>
        <v>0.19607843137254902</v>
      </c>
      <c r="Y27" s="250">
        <f t="shared" si="8"/>
        <v>0.24390243902439024</v>
      </c>
    </row>
    <row r="28" spans="1:25" ht="15" customHeight="1" thickTop="1" x14ac:dyDescent="0.3">
      <c r="A28" s="112">
        <v>2</v>
      </c>
      <c r="B28" s="112">
        <v>2</v>
      </c>
      <c r="C28" s="265">
        <f>AVERAGE(E5:E9)</f>
        <v>1.0539072308689836</v>
      </c>
      <c r="D28" s="112"/>
      <c r="E28" s="112"/>
      <c r="F28" s="112"/>
      <c r="G28" s="112"/>
      <c r="H28" s="112"/>
      <c r="L28" s="418"/>
      <c r="M28" s="246">
        <v>2005</v>
      </c>
      <c r="N28" s="272"/>
      <c r="O28" s="248" t="str">
        <f t="shared" si="5"/>
        <v/>
      </c>
      <c r="P28" s="248" t="str">
        <f t="shared" si="5"/>
        <v/>
      </c>
      <c r="Q28" s="249"/>
      <c r="R28" s="250"/>
      <c r="T28" s="246">
        <v>2005</v>
      </c>
      <c r="U28" s="272"/>
      <c r="V28" s="248">
        <f t="shared" si="6"/>
        <v>195</v>
      </c>
      <c r="W28" s="248">
        <f t="shared" si="6"/>
        <v>30</v>
      </c>
      <c r="X28" s="249">
        <f t="shared" si="7"/>
        <v>0.13333333333333333</v>
      </c>
      <c r="Y28" s="250">
        <f t="shared" si="8"/>
        <v>0.15384615384615385</v>
      </c>
    </row>
    <row r="29" spans="1:25" x14ac:dyDescent="0.3">
      <c r="A29" s="112">
        <v>2</v>
      </c>
      <c r="B29" s="112">
        <v>3</v>
      </c>
      <c r="C29" s="265">
        <f>AVERAGE(H5:H9)</f>
        <v>1.1880722082413424</v>
      </c>
      <c r="D29" s="112"/>
      <c r="E29" s="112"/>
      <c r="F29" s="112"/>
      <c r="G29" s="112"/>
      <c r="H29" s="112"/>
      <c r="L29" s="418"/>
      <c r="M29" s="273">
        <v>2006</v>
      </c>
      <c r="N29" s="274"/>
      <c r="O29" s="275">
        <f t="shared" si="5"/>
        <v>47</v>
      </c>
      <c r="P29" s="275">
        <f t="shared" si="5"/>
        <v>7</v>
      </c>
      <c r="Q29" s="249">
        <f>P29/(O29+P29)</f>
        <v>0.12962962962962962</v>
      </c>
      <c r="R29" s="250">
        <f>P29/O29</f>
        <v>0.14893617021276595</v>
      </c>
      <c r="T29" s="273">
        <v>2006</v>
      </c>
      <c r="U29" s="274"/>
      <c r="V29" s="275">
        <f t="shared" si="6"/>
        <v>91</v>
      </c>
      <c r="W29" s="275">
        <f t="shared" si="6"/>
        <v>68</v>
      </c>
      <c r="X29" s="249">
        <f t="shared" si="7"/>
        <v>0.42767295597484278</v>
      </c>
      <c r="Y29" s="250">
        <f t="shared" si="8"/>
        <v>0.74725274725274726</v>
      </c>
    </row>
    <row r="30" spans="1:25" x14ac:dyDescent="0.3">
      <c r="A30" s="112">
        <v>3</v>
      </c>
      <c r="B30" s="112">
        <v>2</v>
      </c>
      <c r="C30" s="235">
        <f>AVERAGE(E10:E14)</f>
        <v>1.3524762400336565</v>
      </c>
      <c r="D30" s="112"/>
      <c r="E30" s="112"/>
      <c r="F30" s="112"/>
      <c r="G30" s="112"/>
      <c r="H30" s="112"/>
      <c r="L30" s="419"/>
      <c r="M30" s="252" t="s">
        <v>386</v>
      </c>
      <c r="N30" s="253"/>
      <c r="O30" s="254">
        <f>AVERAGE(O24:O29)</f>
        <v>274.8</v>
      </c>
      <c r="P30" s="254">
        <f>AVERAGE(P24:P29)</f>
        <v>44.4</v>
      </c>
      <c r="Q30" s="255">
        <f>AVERAGE(Q24:Q29)</f>
        <v>0.13987863911881351</v>
      </c>
      <c r="R30" s="256">
        <f>AVERAGE(R24:R29)</f>
        <v>0.17380358372775417</v>
      </c>
      <c r="T30" s="252" t="s">
        <v>386</v>
      </c>
      <c r="U30" s="253"/>
      <c r="V30" s="254">
        <f>AVERAGE(V24:V29)</f>
        <v>283.83333333333331</v>
      </c>
      <c r="W30" s="254">
        <f>AVERAGE(W24:W29)</f>
        <v>40.166666666666664</v>
      </c>
      <c r="X30" s="255">
        <f>AVERAGE(X24:X29)</f>
        <v>0.16099527127451646</v>
      </c>
      <c r="Y30" s="256">
        <f>AVERAGE(Y24:Y29)</f>
        <v>0.22898059720909528</v>
      </c>
    </row>
    <row r="31" spans="1:25" x14ac:dyDescent="0.3">
      <c r="A31" s="112">
        <v>3</v>
      </c>
      <c r="B31" s="112">
        <v>3</v>
      </c>
      <c r="C31" s="235">
        <f>AVERAGE(H10:H14)</f>
        <v>0.707144302772718</v>
      </c>
      <c r="D31" s="112"/>
      <c r="E31" s="112"/>
      <c r="F31" s="112"/>
      <c r="G31" s="112"/>
      <c r="H31" s="112"/>
      <c r="L31" s="263"/>
      <c r="R31" s="262"/>
      <c r="Y31" s="262"/>
    </row>
    <row r="32" spans="1:25" x14ac:dyDescent="0.3">
      <c r="A32" s="112">
        <v>4</v>
      </c>
      <c r="B32" s="112">
        <v>2</v>
      </c>
      <c r="C32" s="235">
        <f>AVERAGE(E15:E19)</f>
        <v>1.4449937553655301</v>
      </c>
      <c r="D32" s="112"/>
      <c r="E32" s="112"/>
      <c r="F32" s="112"/>
      <c r="G32" s="112"/>
      <c r="H32" s="112"/>
      <c r="L32" s="263"/>
    </row>
    <row r="33" spans="1:12" x14ac:dyDescent="0.3">
      <c r="A33" s="112">
        <v>4</v>
      </c>
      <c r="B33" s="112">
        <v>3</v>
      </c>
      <c r="C33" s="235">
        <f>AVERAGE(H15:H19)</f>
        <v>0.77996960526143411</v>
      </c>
      <c r="D33" s="112"/>
      <c r="E33" s="112"/>
      <c r="F33" s="112"/>
      <c r="G33" s="112"/>
      <c r="H33" s="112"/>
      <c r="L33" s="263"/>
    </row>
    <row r="34" spans="1:12" ht="15" customHeight="1" x14ac:dyDescent="0.3">
      <c r="A34" s="112">
        <v>34</v>
      </c>
      <c r="B34" s="112">
        <v>2</v>
      </c>
      <c r="C34" s="265">
        <f>AVERAGE(E20:E24)</f>
        <v>1.0642345522078578</v>
      </c>
      <c r="D34" s="112"/>
      <c r="E34" s="112"/>
      <c r="F34" s="112"/>
      <c r="G34" s="112"/>
      <c r="H34" s="112"/>
      <c r="L34" s="263"/>
    </row>
    <row r="35" spans="1:12" x14ac:dyDescent="0.3">
      <c r="A35" s="112">
        <v>34</v>
      </c>
      <c r="B35" s="112">
        <v>3</v>
      </c>
      <c r="C35" s="265">
        <f>AVERAGE(H20:H24)</f>
        <v>0.57226205993731771</v>
      </c>
    </row>
  </sheetData>
  <mergeCells count="10">
    <mergeCell ref="L23:L30"/>
    <mergeCell ref="T3:Y3"/>
    <mergeCell ref="M4:R4"/>
    <mergeCell ref="T4:Y4"/>
    <mergeCell ref="A1:H1"/>
    <mergeCell ref="C3:E3"/>
    <mergeCell ref="F3:H3"/>
    <mergeCell ref="M3:R3"/>
    <mergeCell ref="L14:L21"/>
    <mergeCell ref="L5:L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2:BE45"/>
  <sheetViews>
    <sheetView workbookViewId="0">
      <selection activeCell="O34" sqref="O34:S34"/>
    </sheetView>
  </sheetViews>
  <sheetFormatPr defaultColWidth="9.109375" defaultRowHeight="14.4" x14ac:dyDescent="0.3"/>
  <cols>
    <col min="1" max="1" width="6.5546875" style="112" bestFit="1" customWidth="1"/>
    <col min="2" max="2" width="5.33203125" style="112" bestFit="1" customWidth="1"/>
    <col min="3" max="3" width="8.44140625" style="112" bestFit="1" customWidth="1"/>
    <col min="4" max="4" width="9.109375" style="112" bestFit="1" customWidth="1"/>
    <col min="5" max="5" width="5.44140625" style="112" bestFit="1" customWidth="1"/>
    <col min="6" max="6" width="12" style="112" bestFit="1" customWidth="1"/>
    <col min="7" max="7" width="6.33203125" style="112" customWidth="1"/>
    <col min="8" max="8" width="9.109375" style="112" bestFit="1" customWidth="1"/>
    <col min="9" max="9" width="4.88671875" style="112" bestFit="1" customWidth="1"/>
    <col min="10" max="10" width="5.5546875" style="112" bestFit="1" customWidth="1"/>
    <col min="11" max="11" width="8.5546875" style="112" bestFit="1" customWidth="1"/>
    <col min="12" max="12" width="9.109375" style="112" bestFit="1" customWidth="1"/>
    <col min="13" max="13" width="8.44140625" style="112" bestFit="1" customWidth="1"/>
    <col min="14" max="14" width="5.33203125" style="112" bestFit="1" customWidth="1"/>
    <col min="15" max="15" width="8.44140625" style="112" bestFit="1" customWidth="1"/>
    <col min="16" max="16" width="9.109375" style="112" bestFit="1" customWidth="1"/>
    <col min="17" max="17" width="5.5546875" style="112" bestFit="1" customWidth="1"/>
    <col min="18" max="18" width="8.5546875" style="112" bestFit="1" customWidth="1"/>
    <col min="19" max="19" width="8.44140625" style="112" bestFit="1" customWidth="1"/>
    <col min="20" max="20" width="9.109375" style="112" bestFit="1" customWidth="1"/>
    <col min="21" max="21" width="1.44140625" style="112" customWidth="1"/>
    <col min="22" max="24" width="6.33203125" style="112" customWidth="1"/>
    <col min="25" max="25" width="1.88671875" style="112" customWidth="1"/>
    <col min="26" max="28" width="6.33203125" style="112" customWidth="1"/>
    <col min="29" max="29" width="1.88671875" style="112" customWidth="1"/>
    <col min="30" max="32" width="6.33203125" style="112" customWidth="1"/>
    <col min="33" max="33" width="1.88671875" style="112" customWidth="1"/>
    <col min="34" max="36" width="6.33203125" style="112" customWidth="1"/>
    <col min="37" max="37" width="1.88671875" style="112" customWidth="1"/>
    <col min="38" max="40" width="6.33203125" style="283" customWidth="1"/>
    <col min="41" max="41" width="1.88671875" style="283" customWidth="1"/>
    <col min="42" max="42" width="6.33203125" style="112" customWidth="1"/>
    <col min="43" max="43" width="5.109375" style="112" customWidth="1"/>
    <col min="44" max="16384" width="9.109375" style="112"/>
  </cols>
  <sheetData>
    <row r="2" spans="1:57" x14ac:dyDescent="0.3">
      <c r="A2" s="112" t="s">
        <v>336</v>
      </c>
      <c r="B2" s="416">
        <v>2005</v>
      </c>
      <c r="C2" s="416"/>
      <c r="D2" s="416"/>
      <c r="F2" s="416">
        <v>2006</v>
      </c>
      <c r="G2" s="416"/>
      <c r="H2" s="416"/>
      <c r="J2" s="416">
        <v>2007</v>
      </c>
      <c r="K2" s="416"/>
      <c r="L2" s="416"/>
      <c r="N2" s="416">
        <v>2008</v>
      </c>
      <c r="O2" s="416"/>
      <c r="P2" s="416"/>
      <c r="R2" s="416">
        <v>2009</v>
      </c>
      <c r="S2" s="416"/>
      <c r="T2" s="416"/>
      <c r="V2" s="416">
        <v>2010</v>
      </c>
      <c r="W2" s="416"/>
      <c r="X2" s="416"/>
      <c r="Z2" s="416">
        <v>2011</v>
      </c>
      <c r="AA2" s="416"/>
      <c r="AB2" s="416"/>
      <c r="AD2" s="416">
        <v>2012</v>
      </c>
      <c r="AE2" s="416"/>
      <c r="AF2" s="416"/>
      <c r="AH2" s="416">
        <v>2013</v>
      </c>
      <c r="AI2" s="416"/>
      <c r="AJ2" s="416"/>
      <c r="AL2" s="416">
        <v>2014</v>
      </c>
      <c r="AM2" s="416"/>
      <c r="AN2" s="416"/>
    </row>
    <row r="3" spans="1:57" x14ac:dyDescent="0.3">
      <c r="B3" s="158" t="s">
        <v>337</v>
      </c>
      <c r="C3" s="158" t="s">
        <v>338</v>
      </c>
      <c r="D3" s="158" t="s">
        <v>339</v>
      </c>
      <c r="F3" s="158" t="s">
        <v>337</v>
      </c>
      <c r="G3" s="158" t="s">
        <v>338</v>
      </c>
      <c r="H3" s="158" t="s">
        <v>339</v>
      </c>
      <c r="J3" s="158" t="s">
        <v>337</v>
      </c>
      <c r="K3" s="158" t="s">
        <v>338</v>
      </c>
      <c r="L3" s="158" t="s">
        <v>339</v>
      </c>
      <c r="N3" s="158" t="s">
        <v>337</v>
      </c>
      <c r="O3" s="158" t="s">
        <v>338</v>
      </c>
      <c r="P3" s="158" t="s">
        <v>339</v>
      </c>
      <c r="R3" s="158" t="s">
        <v>337</v>
      </c>
      <c r="S3" s="158" t="s">
        <v>338</v>
      </c>
      <c r="T3" s="158" t="s">
        <v>339</v>
      </c>
      <c r="V3" s="158" t="s">
        <v>337</v>
      </c>
      <c r="W3" s="158" t="s">
        <v>338</v>
      </c>
      <c r="X3" s="158" t="s">
        <v>339</v>
      </c>
      <c r="Z3" s="158" t="s">
        <v>337</v>
      </c>
      <c r="AA3" s="158" t="s">
        <v>338</v>
      </c>
      <c r="AB3" s="158" t="s">
        <v>339</v>
      </c>
      <c r="AD3" s="158" t="s">
        <v>337</v>
      </c>
      <c r="AE3" s="158" t="s">
        <v>338</v>
      </c>
      <c r="AF3" s="158" t="s">
        <v>339</v>
      </c>
      <c r="AH3" s="158" t="s">
        <v>337</v>
      </c>
      <c r="AI3" s="158" t="s">
        <v>338</v>
      </c>
      <c r="AJ3" s="158" t="s">
        <v>339</v>
      </c>
      <c r="AL3" s="278" t="s">
        <v>337</v>
      </c>
      <c r="AM3" s="278" t="s">
        <v>338</v>
      </c>
      <c r="AN3" s="278" t="s">
        <v>339</v>
      </c>
      <c r="AP3" s="158"/>
      <c r="AQ3" s="158"/>
      <c r="AR3" s="158" t="s">
        <v>33</v>
      </c>
      <c r="AS3" s="112" t="s">
        <v>340</v>
      </c>
    </row>
    <row r="4" spans="1:57" x14ac:dyDescent="0.3">
      <c r="A4" s="112" t="s">
        <v>330</v>
      </c>
      <c r="B4" s="160">
        <v>38</v>
      </c>
      <c r="C4" s="160">
        <v>6</v>
      </c>
      <c r="D4" s="159">
        <f>C4/B4</f>
        <v>0.15789473684210525</v>
      </c>
      <c r="F4" s="161">
        <v>17</v>
      </c>
      <c r="G4" s="161">
        <v>35</v>
      </c>
      <c r="H4" s="159">
        <f>G4/F4</f>
        <v>2.0588235294117645</v>
      </c>
      <c r="I4" s="18"/>
      <c r="J4" s="162">
        <v>11</v>
      </c>
      <c r="K4" s="162">
        <v>24</v>
      </c>
      <c r="L4" s="159">
        <f>K4/J4</f>
        <v>2.1818181818181817</v>
      </c>
      <c r="M4" s="18"/>
      <c r="N4" s="162">
        <v>3</v>
      </c>
      <c r="O4" s="162">
        <v>0</v>
      </c>
      <c r="P4" s="159">
        <f>O4/N4</f>
        <v>0</v>
      </c>
      <c r="Q4" s="18"/>
      <c r="R4" s="18"/>
      <c r="S4" s="18"/>
      <c r="T4" s="18"/>
      <c r="U4" s="18"/>
      <c r="V4" s="18">
        <v>7</v>
      </c>
      <c r="W4" s="18">
        <v>4</v>
      </c>
      <c r="X4" s="159">
        <f t="shared" ref="X4" si="0">W4/V4</f>
        <v>0.5714285714285714</v>
      </c>
      <c r="Y4" s="18"/>
      <c r="Z4" s="18">
        <v>19</v>
      </c>
      <c r="AA4" s="18">
        <v>1</v>
      </c>
      <c r="AB4" s="159">
        <f t="shared" ref="AB4" si="1">AA4/Z4</f>
        <v>5.2631578947368418E-2</v>
      </c>
      <c r="AC4" s="18"/>
      <c r="AD4" s="18">
        <f>SUM(AV24:AW25)</f>
        <v>102</v>
      </c>
      <c r="AE4" s="18">
        <f>SUM(AZ24:BA25)</f>
        <v>27</v>
      </c>
      <c r="AF4" s="159">
        <f t="shared" ref="AF4" si="2">AE4/AD4</f>
        <v>0.26470588235294118</v>
      </c>
      <c r="AG4" s="18"/>
      <c r="AH4" s="18">
        <f>SUM(AV19:AW20)</f>
        <v>88</v>
      </c>
      <c r="AI4" s="18">
        <f>SUM(AZ19:BA20)</f>
        <v>45</v>
      </c>
      <c r="AJ4" s="159">
        <f t="shared" ref="AJ4" si="3">AI4/AH4</f>
        <v>0.51136363636363635</v>
      </c>
      <c r="AK4" s="18"/>
      <c r="AL4" s="18">
        <v>45</v>
      </c>
      <c r="AM4" s="18">
        <v>67</v>
      </c>
      <c r="AN4" s="159">
        <f>AM4/AL4</f>
        <v>1.4888888888888889</v>
      </c>
      <c r="AO4" s="18"/>
      <c r="AP4" s="159"/>
      <c r="AQ4" s="163"/>
      <c r="AR4" s="164">
        <f>AVERAGE(AB4,AF4,AJ4,AN4)</f>
        <v>0.57939749663820872</v>
      </c>
    </row>
    <row r="5" spans="1:57" x14ac:dyDescent="0.3">
      <c r="A5" s="112" t="s">
        <v>331</v>
      </c>
      <c r="B5" s="165"/>
      <c r="C5" s="165"/>
      <c r="D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59"/>
      <c r="AQ5" s="166"/>
      <c r="AR5" s="164"/>
    </row>
    <row r="6" spans="1:57" x14ac:dyDescent="0.3">
      <c r="A6" s="112" t="s">
        <v>333</v>
      </c>
      <c r="B6" s="160">
        <v>247</v>
      </c>
      <c r="C6" s="160">
        <v>70</v>
      </c>
      <c r="D6" s="159">
        <f t="shared" ref="D6:D7" si="4">C6/B6</f>
        <v>0.2834008097165992</v>
      </c>
      <c r="F6" s="161">
        <v>101</v>
      </c>
      <c r="G6" s="161">
        <v>9</v>
      </c>
      <c r="H6" s="159">
        <f t="shared" ref="H6:H7" si="5">G6/F6</f>
        <v>8.9108910891089105E-2</v>
      </c>
      <c r="I6" s="18"/>
      <c r="J6" s="162">
        <v>85</v>
      </c>
      <c r="K6" s="162">
        <v>109</v>
      </c>
      <c r="L6" s="159">
        <f t="shared" ref="L6:L7" si="6">K6/J6</f>
        <v>1.2823529411764707</v>
      </c>
      <c r="M6" s="18"/>
      <c r="N6" s="162">
        <v>184</v>
      </c>
      <c r="O6" s="162">
        <v>32</v>
      </c>
      <c r="P6" s="159">
        <f t="shared" ref="P6:P7" si="7">O6/N6</f>
        <v>0.17391304347826086</v>
      </c>
      <c r="Q6" s="18"/>
      <c r="R6" s="18">
        <v>53</v>
      </c>
      <c r="S6" s="18">
        <v>106</v>
      </c>
      <c r="T6" s="159">
        <f t="shared" ref="T6:T7" si="8">S6/R6</f>
        <v>2</v>
      </c>
      <c r="U6" s="18"/>
      <c r="V6" s="18">
        <v>151</v>
      </c>
      <c r="W6" s="18">
        <v>50</v>
      </c>
      <c r="X6" s="159">
        <f t="shared" ref="X6:X7" si="9">W6/V6</f>
        <v>0.33112582781456956</v>
      </c>
      <c r="Y6" s="18"/>
      <c r="Z6" s="18">
        <v>25</v>
      </c>
      <c r="AA6" s="18">
        <v>12</v>
      </c>
      <c r="AB6" s="159">
        <f t="shared" ref="AB6:AB7" si="10">AA6/Z6</f>
        <v>0.48</v>
      </c>
      <c r="AC6" s="18"/>
      <c r="AD6" s="18">
        <f>SUM(AV26:AW26)</f>
        <v>516</v>
      </c>
      <c r="AE6" s="18">
        <f>SUM(AZ26:BA26)</f>
        <v>120</v>
      </c>
      <c r="AF6" s="159">
        <f t="shared" ref="AF6:AF7" si="11">AE6/AD6</f>
        <v>0.23255813953488372</v>
      </c>
      <c r="AG6" s="18"/>
      <c r="AH6" s="18">
        <f>SUM(AV23:AW23)</f>
        <v>176</v>
      </c>
      <c r="AI6" s="18">
        <f>SUM(AZ23:BA23)</f>
        <v>100</v>
      </c>
      <c r="AJ6" s="159">
        <f t="shared" ref="AJ6:AJ7" si="12">AI6/AH6</f>
        <v>0.56818181818181823</v>
      </c>
      <c r="AK6" s="18"/>
      <c r="AL6" s="18">
        <v>130</v>
      </c>
      <c r="AM6" s="18">
        <v>23</v>
      </c>
      <c r="AN6" s="159">
        <f t="shared" ref="AN6:AN7" si="13">AM6/AL6</f>
        <v>0.17692307692307693</v>
      </c>
      <c r="AO6" s="18"/>
      <c r="AP6" s="159"/>
      <c r="AQ6" s="163"/>
      <c r="AR6" s="164">
        <f>AVERAGE(H6,L6,P6,X6,AF6,T6,AB6,AJ6)</f>
        <v>0.64465508513463665</v>
      </c>
    </row>
    <row r="7" spans="1:57" x14ac:dyDescent="0.3">
      <c r="A7" s="112" t="s">
        <v>334</v>
      </c>
      <c r="B7" s="160">
        <v>130</v>
      </c>
      <c r="C7" s="160">
        <v>47</v>
      </c>
      <c r="D7" s="159">
        <f t="shared" si="4"/>
        <v>0.36153846153846153</v>
      </c>
      <c r="F7" s="161">
        <v>38</v>
      </c>
      <c r="G7" s="161">
        <v>56</v>
      </c>
      <c r="H7" s="159">
        <f t="shared" si="5"/>
        <v>1.4736842105263157</v>
      </c>
      <c r="I7" s="18"/>
      <c r="J7" s="162">
        <v>13</v>
      </c>
      <c r="K7" s="162">
        <v>37</v>
      </c>
      <c r="L7" s="159">
        <f t="shared" si="6"/>
        <v>2.8461538461538463</v>
      </c>
      <c r="M7" s="18"/>
      <c r="N7" s="162">
        <v>70</v>
      </c>
      <c r="O7" s="162">
        <v>57</v>
      </c>
      <c r="P7" s="159">
        <f t="shared" si="7"/>
        <v>0.81428571428571428</v>
      </c>
      <c r="Q7" s="18"/>
      <c r="R7" s="18">
        <v>25</v>
      </c>
      <c r="S7" s="18">
        <v>83</v>
      </c>
      <c r="T7" s="159">
        <f t="shared" si="8"/>
        <v>3.32</v>
      </c>
      <c r="U7" s="18"/>
      <c r="V7" s="18">
        <v>10</v>
      </c>
      <c r="W7" s="18">
        <v>3</v>
      </c>
      <c r="X7" s="159">
        <f t="shared" si="9"/>
        <v>0.3</v>
      </c>
      <c r="Y7" s="18"/>
      <c r="Z7" s="18">
        <v>27</v>
      </c>
      <c r="AA7" s="18">
        <v>181</v>
      </c>
      <c r="AB7" s="159">
        <f t="shared" si="10"/>
        <v>6.7037037037037033</v>
      </c>
      <c r="AC7" s="18"/>
      <c r="AD7" s="18">
        <f>SUM(AV27:AW27)</f>
        <v>101</v>
      </c>
      <c r="AE7" s="18">
        <f>SUM(AZ27:BA27)</f>
        <v>46</v>
      </c>
      <c r="AF7" s="159">
        <f t="shared" si="11"/>
        <v>0.45544554455445546</v>
      </c>
      <c r="AG7" s="18"/>
      <c r="AH7" s="18">
        <f>SUM(AV29:AW29)</f>
        <v>138</v>
      </c>
      <c r="AI7" s="18">
        <f>SUM(AZ29:BA29)</f>
        <v>107</v>
      </c>
      <c r="AJ7" s="159">
        <f t="shared" si="12"/>
        <v>0.77536231884057971</v>
      </c>
      <c r="AK7" s="18"/>
      <c r="AL7" s="18">
        <v>69</v>
      </c>
      <c r="AM7" s="18">
        <v>43</v>
      </c>
      <c r="AN7" s="159">
        <f t="shared" si="13"/>
        <v>0.62318840579710144</v>
      </c>
      <c r="AO7" s="18"/>
      <c r="AP7" s="159"/>
      <c r="AQ7" s="163"/>
      <c r="AR7" s="164">
        <f>AVERAGE(H7,L7,P7,AF7,T7,AB7,AJ7)</f>
        <v>2.3412336197235164</v>
      </c>
    </row>
    <row r="8" spans="1:57" ht="15" thickBo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R8" s="129"/>
      <c r="AU8" s="112">
        <v>2012</v>
      </c>
    </row>
    <row r="9" spans="1:57" ht="15" thickBot="1" x14ac:dyDescent="0.35">
      <c r="AU9" s="135"/>
      <c r="AV9" s="432" t="s">
        <v>324</v>
      </c>
      <c r="AW9" s="432"/>
      <c r="AX9" s="432"/>
      <c r="AY9" s="136"/>
      <c r="AZ9" s="432" t="s">
        <v>325</v>
      </c>
      <c r="BA9" s="432"/>
      <c r="BB9" s="432"/>
      <c r="BC9" s="136"/>
      <c r="BD9" s="442" t="s">
        <v>326</v>
      </c>
      <c r="BE9" s="443"/>
    </row>
    <row r="10" spans="1:57" ht="15" thickBot="1" x14ac:dyDescent="0.35">
      <c r="A10" s="415" t="s">
        <v>453</v>
      </c>
      <c r="B10" s="415"/>
      <c r="C10" s="415"/>
      <c r="D10" s="415"/>
      <c r="E10" s="415"/>
      <c r="F10" s="415"/>
      <c r="H10" s="415" t="s">
        <v>453</v>
      </c>
      <c r="I10" s="415"/>
      <c r="J10" s="415"/>
      <c r="K10" s="415"/>
      <c r="L10" s="415"/>
      <c r="M10" s="415"/>
      <c r="O10" s="415" t="s">
        <v>453</v>
      </c>
      <c r="P10" s="415"/>
      <c r="Q10" s="415"/>
      <c r="R10" s="415"/>
      <c r="S10" s="415"/>
      <c r="T10" s="415"/>
      <c r="AU10" s="137"/>
      <c r="AV10" s="448" t="s">
        <v>327</v>
      </c>
      <c r="AW10" s="448" t="s">
        <v>328</v>
      </c>
      <c r="AX10" s="442" t="s">
        <v>329</v>
      </c>
      <c r="AY10" s="138"/>
      <c r="AZ10" s="448" t="s">
        <v>327</v>
      </c>
      <c r="BA10" s="448" t="s">
        <v>328</v>
      </c>
      <c r="BB10" s="442" t="s">
        <v>329</v>
      </c>
      <c r="BC10" s="138"/>
      <c r="BD10" s="444"/>
      <c r="BE10" s="445"/>
    </row>
    <row r="11" spans="1:57" s="5" customFormat="1" ht="15" thickBot="1" x14ac:dyDescent="0.35">
      <c r="A11" s="361" t="s">
        <v>31</v>
      </c>
      <c r="B11" s="361" t="s">
        <v>314</v>
      </c>
      <c r="C11" s="361" t="s">
        <v>383</v>
      </c>
      <c r="D11" s="361" t="s">
        <v>384</v>
      </c>
      <c r="E11" s="361" t="s">
        <v>441</v>
      </c>
      <c r="F11" s="361" t="s">
        <v>448</v>
      </c>
      <c r="H11" s="361" t="s">
        <v>31</v>
      </c>
      <c r="I11" s="361" t="s">
        <v>314</v>
      </c>
      <c r="J11" s="361" t="s">
        <v>383</v>
      </c>
      <c r="K11" s="361" t="s">
        <v>384</v>
      </c>
      <c r="L11" s="361" t="s">
        <v>441</v>
      </c>
      <c r="M11" s="361" t="s">
        <v>448</v>
      </c>
      <c r="O11" s="361" t="s">
        <v>31</v>
      </c>
      <c r="P11" s="361" t="s">
        <v>314</v>
      </c>
      <c r="Q11" s="361" t="s">
        <v>383</v>
      </c>
      <c r="R11" s="361" t="s">
        <v>384</v>
      </c>
      <c r="S11" s="361" t="s">
        <v>441</v>
      </c>
      <c r="T11" s="361" t="s">
        <v>448</v>
      </c>
      <c r="AU11" s="153"/>
      <c r="AV11" s="449"/>
      <c r="AW11" s="449"/>
      <c r="AX11" s="450"/>
      <c r="AY11" s="156"/>
      <c r="AZ11" s="449"/>
      <c r="BA11" s="449"/>
      <c r="BB11" s="450"/>
      <c r="BC11" s="156"/>
      <c r="BD11" s="446"/>
      <c r="BE11" s="447"/>
    </row>
    <row r="12" spans="1:57" s="18" customFormat="1" x14ac:dyDescent="0.3">
      <c r="A12" s="359" t="s">
        <v>449</v>
      </c>
      <c r="B12" s="283">
        <v>2008</v>
      </c>
      <c r="C12" s="360">
        <v>0</v>
      </c>
      <c r="D12" s="360">
        <v>0</v>
      </c>
      <c r="E12" s="283">
        <f>SUM(C12:D12)</f>
        <v>0</v>
      </c>
      <c r="F12" s="120" t="e">
        <f>D12/C12</f>
        <v>#DIV/0!</v>
      </c>
      <c r="H12" s="165">
        <v>2</v>
      </c>
      <c r="I12" s="165">
        <v>2008</v>
      </c>
      <c r="J12" s="165">
        <v>61</v>
      </c>
      <c r="K12" s="386">
        <v>0</v>
      </c>
      <c r="L12" s="386">
        <v>61</v>
      </c>
      <c r="M12" s="387">
        <f>K12/J12</f>
        <v>0</v>
      </c>
      <c r="O12" s="283">
        <v>1</v>
      </c>
      <c r="P12" s="283">
        <v>2008</v>
      </c>
      <c r="Q12" s="283">
        <v>0</v>
      </c>
      <c r="R12" s="283">
        <v>0</v>
      </c>
      <c r="S12" s="283">
        <f t="shared" ref="S12:S13" si="14">SUM(Q12:R12)</f>
        <v>0</v>
      </c>
      <c r="T12" s="120" t="e">
        <f>R12/Q12</f>
        <v>#DIV/0!</v>
      </c>
      <c r="AU12" s="384"/>
      <c r="AV12" s="385"/>
      <c r="AW12" s="385"/>
      <c r="AX12" s="372"/>
      <c r="AY12" s="384"/>
      <c r="AZ12" s="385"/>
      <c r="BA12" s="385"/>
      <c r="BB12" s="372"/>
      <c r="BC12" s="384"/>
      <c r="BD12" s="372"/>
      <c r="BE12" s="372"/>
    </row>
    <row r="13" spans="1:57" s="18" customFormat="1" x14ac:dyDescent="0.3">
      <c r="A13" s="359" t="s">
        <v>449</v>
      </c>
      <c r="B13" s="283">
        <v>2009</v>
      </c>
      <c r="C13" s="360">
        <v>6</v>
      </c>
      <c r="D13" s="360">
        <v>8</v>
      </c>
      <c r="E13" s="283">
        <f>SUM(C13:D13)</f>
        <v>14</v>
      </c>
      <c r="F13" s="120">
        <f>D13/C13</f>
        <v>1.3333333333333333</v>
      </c>
      <c r="H13" s="165">
        <v>2</v>
      </c>
      <c r="I13" s="165">
        <v>2009</v>
      </c>
      <c r="J13" s="165">
        <v>3</v>
      </c>
      <c r="K13" s="386">
        <v>3</v>
      </c>
      <c r="L13" s="283">
        <f>SUM(J13:K13)</f>
        <v>6</v>
      </c>
      <c r="M13" s="120">
        <f>K13/J13</f>
        <v>1</v>
      </c>
      <c r="O13" s="283">
        <v>1</v>
      </c>
      <c r="P13" s="283">
        <v>2009</v>
      </c>
      <c r="Q13" s="283">
        <v>1</v>
      </c>
      <c r="R13" s="283">
        <v>0</v>
      </c>
      <c r="S13" s="283">
        <f t="shared" si="14"/>
        <v>1</v>
      </c>
      <c r="T13" s="120">
        <f t="shared" ref="T13" si="15">R13/Q13</f>
        <v>0</v>
      </c>
      <c r="AU13" s="384"/>
      <c r="AV13" s="385"/>
      <c r="AW13" s="385"/>
      <c r="AX13" s="372"/>
      <c r="AY13" s="384"/>
      <c r="AZ13" s="385"/>
      <c r="BA13" s="385"/>
      <c r="BB13" s="372"/>
      <c r="BC13" s="384"/>
      <c r="BD13" s="372"/>
      <c r="BE13" s="372"/>
    </row>
    <row r="14" spans="1:57" x14ac:dyDescent="0.3">
      <c r="A14" s="359" t="s">
        <v>449</v>
      </c>
      <c r="B14" s="283">
        <v>2010</v>
      </c>
      <c r="C14" s="360">
        <v>31</v>
      </c>
      <c r="D14" s="360">
        <v>13</v>
      </c>
      <c r="E14" s="283">
        <f>SUM(C14:D14)</f>
        <v>44</v>
      </c>
      <c r="F14" s="120">
        <f t="shared" ref="F14:F18" si="16">D14/C14</f>
        <v>0.41935483870967744</v>
      </c>
      <c r="H14" s="283">
        <v>2</v>
      </c>
      <c r="I14" s="283">
        <v>2010</v>
      </c>
      <c r="J14" s="112">
        <v>418</v>
      </c>
      <c r="K14" s="112">
        <v>146</v>
      </c>
      <c r="L14" s="283">
        <f t="shared" ref="L14:L18" si="17">SUM(J14:K14)</f>
        <v>564</v>
      </c>
      <c r="M14" s="120">
        <f t="shared" ref="M14:M17" si="18">K14/J14</f>
        <v>0.34928229665071769</v>
      </c>
      <c r="O14" s="283">
        <v>1</v>
      </c>
      <c r="P14" s="283">
        <v>2010</v>
      </c>
      <c r="Q14" s="112">
        <v>18</v>
      </c>
      <c r="R14" s="112">
        <v>6</v>
      </c>
      <c r="S14" s="283">
        <f t="shared" ref="S14:S18" si="19">SUM(Q14:R14)</f>
        <v>24</v>
      </c>
      <c r="T14" s="120">
        <f t="shared" ref="T14:T18" si="20">R14/Q14</f>
        <v>0.33333333333333331</v>
      </c>
    </row>
    <row r="15" spans="1:57" ht="15" thickBot="1" x14ac:dyDescent="0.35">
      <c r="A15" s="359" t="s">
        <v>449</v>
      </c>
      <c r="B15" s="283">
        <v>2011</v>
      </c>
      <c r="C15" s="360">
        <v>57</v>
      </c>
      <c r="D15" s="360">
        <v>5</v>
      </c>
      <c r="E15" s="283">
        <f t="shared" ref="E15:E18" si="21">SUM(C15:D15)</f>
        <v>62</v>
      </c>
      <c r="F15" s="120">
        <f t="shared" si="16"/>
        <v>8.771929824561403E-2</v>
      </c>
      <c r="H15" s="283">
        <v>2</v>
      </c>
      <c r="I15" s="283">
        <v>2011</v>
      </c>
      <c r="J15" s="112">
        <v>149</v>
      </c>
      <c r="K15" s="112">
        <v>64</v>
      </c>
      <c r="L15" s="283">
        <f t="shared" si="17"/>
        <v>213</v>
      </c>
      <c r="M15" s="120">
        <f t="shared" si="18"/>
        <v>0.42953020134228187</v>
      </c>
      <c r="O15" s="283">
        <v>1</v>
      </c>
      <c r="P15" s="283">
        <v>2011</v>
      </c>
      <c r="Q15" s="112">
        <v>33</v>
      </c>
      <c r="R15" s="112">
        <v>188</v>
      </c>
      <c r="S15" s="283">
        <f t="shared" si="19"/>
        <v>221</v>
      </c>
      <c r="T15" s="120">
        <f t="shared" si="20"/>
        <v>5.6969696969696972</v>
      </c>
      <c r="AU15" s="112">
        <v>2013</v>
      </c>
    </row>
    <row r="16" spans="1:57" ht="15" thickBot="1" x14ac:dyDescent="0.35">
      <c r="A16" s="359" t="s">
        <v>449</v>
      </c>
      <c r="B16" s="283">
        <v>2012</v>
      </c>
      <c r="C16" s="360">
        <v>102</v>
      </c>
      <c r="D16" s="360">
        <v>27</v>
      </c>
      <c r="E16" s="283">
        <f t="shared" si="21"/>
        <v>129</v>
      </c>
      <c r="F16" s="120">
        <f t="shared" si="16"/>
        <v>0.26470588235294118</v>
      </c>
      <c r="H16" s="283">
        <v>2</v>
      </c>
      <c r="I16" s="283">
        <v>2012</v>
      </c>
      <c r="J16" s="112">
        <v>516</v>
      </c>
      <c r="K16" s="112">
        <v>120</v>
      </c>
      <c r="L16" s="283">
        <f t="shared" si="17"/>
        <v>636</v>
      </c>
      <c r="M16" s="120">
        <f t="shared" si="18"/>
        <v>0.23255813953488372</v>
      </c>
      <c r="O16" s="283">
        <v>1</v>
      </c>
      <c r="P16" s="283">
        <v>2012</v>
      </c>
      <c r="Q16" s="112">
        <v>101</v>
      </c>
      <c r="R16" s="112">
        <v>46</v>
      </c>
      <c r="S16" s="283">
        <f t="shared" si="19"/>
        <v>147</v>
      </c>
      <c r="T16" s="120">
        <f t="shared" si="20"/>
        <v>0.45544554455445546</v>
      </c>
      <c r="AU16" s="135"/>
      <c r="AV16" s="432" t="s">
        <v>324</v>
      </c>
      <c r="AW16" s="432"/>
      <c r="AX16" s="432"/>
      <c r="AY16" s="136"/>
      <c r="AZ16" s="432" t="s">
        <v>325</v>
      </c>
      <c r="BA16" s="432"/>
      <c r="BB16" s="432"/>
      <c r="BC16" s="136"/>
      <c r="BD16" s="433" t="s">
        <v>326</v>
      </c>
      <c r="BE16" s="434"/>
    </row>
    <row r="17" spans="1:57" x14ac:dyDescent="0.3">
      <c r="A17" s="359" t="s">
        <v>449</v>
      </c>
      <c r="B17" s="283">
        <v>2013</v>
      </c>
      <c r="C17" s="360">
        <v>88</v>
      </c>
      <c r="D17" s="360">
        <v>45</v>
      </c>
      <c r="E17" s="283">
        <f t="shared" si="21"/>
        <v>133</v>
      </c>
      <c r="F17" s="120">
        <f t="shared" si="16"/>
        <v>0.51136363636363635</v>
      </c>
      <c r="H17" s="283">
        <v>2</v>
      </c>
      <c r="I17" s="283">
        <v>2013</v>
      </c>
      <c r="J17" s="112">
        <v>176</v>
      </c>
      <c r="K17" s="112">
        <v>100</v>
      </c>
      <c r="L17" s="283">
        <f t="shared" si="17"/>
        <v>276</v>
      </c>
      <c r="M17" s="120">
        <f t="shared" si="18"/>
        <v>0.56818181818181823</v>
      </c>
      <c r="O17" s="283">
        <v>1</v>
      </c>
      <c r="P17" s="283">
        <v>2013</v>
      </c>
      <c r="Q17" s="112">
        <v>138</v>
      </c>
      <c r="R17" s="112">
        <v>107</v>
      </c>
      <c r="S17" s="283">
        <f t="shared" si="19"/>
        <v>245</v>
      </c>
      <c r="T17" s="120">
        <f t="shared" si="20"/>
        <v>0.77536231884057971</v>
      </c>
      <c r="AU17" s="137"/>
      <c r="AV17" s="138"/>
      <c r="AW17" s="138"/>
      <c r="AX17" s="433" t="s">
        <v>329</v>
      </c>
      <c r="AY17" s="138"/>
      <c r="AZ17" s="138"/>
      <c r="BA17" s="138"/>
      <c r="BB17" s="433" t="s">
        <v>329</v>
      </c>
      <c r="BC17" s="138"/>
      <c r="BD17" s="435"/>
      <c r="BE17" s="436"/>
    </row>
    <row r="18" spans="1:57" ht="15" thickBot="1" x14ac:dyDescent="0.35">
      <c r="A18" s="362" t="s">
        <v>449</v>
      </c>
      <c r="B18" s="88">
        <v>2014</v>
      </c>
      <c r="C18" s="363">
        <v>45</v>
      </c>
      <c r="D18" s="363">
        <v>67</v>
      </c>
      <c r="E18" s="88">
        <f t="shared" si="21"/>
        <v>112</v>
      </c>
      <c r="F18" s="364">
        <f t="shared" si="16"/>
        <v>1.4888888888888889</v>
      </c>
      <c r="H18" s="88">
        <v>2</v>
      </c>
      <c r="I18" s="88">
        <v>2014</v>
      </c>
      <c r="J18" s="88">
        <v>130</v>
      </c>
      <c r="K18" s="88">
        <v>23</v>
      </c>
      <c r="L18" s="88">
        <f t="shared" si="17"/>
        <v>153</v>
      </c>
      <c r="M18" s="364">
        <f>K18/J18</f>
        <v>0.17692307692307693</v>
      </c>
      <c r="O18" s="88">
        <v>1</v>
      </c>
      <c r="P18" s="88">
        <v>2014</v>
      </c>
      <c r="Q18" s="88">
        <v>69</v>
      </c>
      <c r="R18" s="88">
        <v>43</v>
      </c>
      <c r="S18" s="88">
        <f t="shared" si="19"/>
        <v>112</v>
      </c>
      <c r="T18" s="364">
        <f t="shared" si="20"/>
        <v>0.62318840579710144</v>
      </c>
      <c r="AU18" s="139"/>
      <c r="AV18" s="167" t="s">
        <v>327</v>
      </c>
      <c r="AW18" s="167" t="s">
        <v>328</v>
      </c>
      <c r="AX18" s="439"/>
      <c r="AY18" s="140"/>
      <c r="AZ18" s="167" t="s">
        <v>327</v>
      </c>
      <c r="BA18" s="167" t="s">
        <v>328</v>
      </c>
      <c r="BB18" s="439"/>
      <c r="BC18" s="140"/>
      <c r="BD18" s="437"/>
      <c r="BE18" s="438"/>
    </row>
    <row r="19" spans="1:57" x14ac:dyDescent="0.3">
      <c r="A19" s="427" t="s">
        <v>450</v>
      </c>
      <c r="B19" s="427"/>
      <c r="C19" s="427"/>
      <c r="D19" s="427"/>
      <c r="E19" s="427"/>
      <c r="F19" s="282">
        <f>AVERAGE(F14:F17)</f>
        <v>0.32078591391796729</v>
      </c>
      <c r="H19" s="427" t="s">
        <v>450</v>
      </c>
      <c r="I19" s="427"/>
      <c r="J19" s="427"/>
      <c r="K19" s="427"/>
      <c r="L19" s="427"/>
      <c r="M19" s="282">
        <f>AVERAGE(M14:M17,M12)</f>
        <v>0.31591049114194031</v>
      </c>
      <c r="O19" s="427" t="s">
        <v>450</v>
      </c>
      <c r="P19" s="427"/>
      <c r="Q19" s="427"/>
      <c r="R19" s="427"/>
      <c r="S19" s="427"/>
      <c r="T19" s="282">
        <f>AVERAGE(T14:T17)</f>
        <v>1.8152777234245165</v>
      </c>
      <c r="AU19" s="141" t="s">
        <v>330</v>
      </c>
      <c r="AV19" s="145">
        <v>41</v>
      </c>
      <c r="AW19" s="145">
        <v>33</v>
      </c>
      <c r="AX19" s="146">
        <v>0.55000000000000004</v>
      </c>
      <c r="AY19" s="144"/>
      <c r="AZ19" s="145">
        <v>16</v>
      </c>
      <c r="BA19" s="145">
        <v>25</v>
      </c>
      <c r="BB19" s="146">
        <v>0.39</v>
      </c>
      <c r="BC19" s="144"/>
      <c r="BD19" s="440">
        <v>0.89</v>
      </c>
      <c r="BE19" s="441"/>
    </row>
    <row r="20" spans="1:57" x14ac:dyDescent="0.3">
      <c r="B20" s="283"/>
      <c r="AU20" s="141" t="s">
        <v>331</v>
      </c>
      <c r="AV20" s="145">
        <v>9</v>
      </c>
      <c r="AW20" s="145">
        <v>5</v>
      </c>
      <c r="AX20" s="146">
        <v>0.64</v>
      </c>
      <c r="AY20" s="134"/>
      <c r="AZ20" s="145">
        <v>3</v>
      </c>
      <c r="BA20" s="145">
        <v>1</v>
      </c>
      <c r="BB20" s="145" t="s">
        <v>332</v>
      </c>
      <c r="BC20" s="134"/>
      <c r="BD20" s="428">
        <v>0.89</v>
      </c>
      <c r="BE20" s="429"/>
    </row>
    <row r="21" spans="1:57" s="283" customFormat="1" x14ac:dyDescent="0.3">
      <c r="AU21" s="141"/>
      <c r="AV21" s="145"/>
      <c r="AW21" s="145"/>
      <c r="AX21" s="276"/>
      <c r="AY21" s="134"/>
      <c r="AZ21" s="145"/>
      <c r="BA21" s="145"/>
      <c r="BB21" s="145"/>
      <c r="BC21" s="134"/>
      <c r="BD21" s="276"/>
      <c r="BE21" s="277"/>
    </row>
    <row r="22" spans="1:57" s="283" customFormat="1" ht="15" thickBot="1" x14ac:dyDescent="0.35">
      <c r="A22" s="415" t="s">
        <v>454</v>
      </c>
      <c r="B22" s="415"/>
      <c r="C22" s="415"/>
      <c r="D22" s="415"/>
      <c r="E22" s="415"/>
      <c r="F22" s="415"/>
      <c r="H22" s="415" t="s">
        <v>454</v>
      </c>
      <c r="I22" s="415"/>
      <c r="J22" s="415"/>
      <c r="K22" s="415"/>
      <c r="L22" s="415"/>
      <c r="M22" s="415"/>
      <c r="O22" s="415" t="s">
        <v>454</v>
      </c>
      <c r="P22" s="415"/>
      <c r="Q22" s="415"/>
      <c r="R22" s="415"/>
      <c r="S22" s="415"/>
      <c r="T22" s="415"/>
      <c r="AU22" s="141"/>
      <c r="AV22" s="145"/>
      <c r="AW22" s="145"/>
      <c r="AX22" s="276"/>
      <c r="AY22" s="134"/>
      <c r="AZ22" s="145"/>
      <c r="BA22" s="145"/>
      <c r="BB22" s="145"/>
      <c r="BC22" s="134"/>
      <c r="BD22" s="276"/>
      <c r="BE22" s="277"/>
    </row>
    <row r="23" spans="1:57" ht="15" thickBot="1" x14ac:dyDescent="0.35">
      <c r="A23" s="361" t="s">
        <v>31</v>
      </c>
      <c r="B23" s="361" t="s">
        <v>314</v>
      </c>
      <c r="C23" s="361" t="s">
        <v>383</v>
      </c>
      <c r="D23" s="361" t="s">
        <v>384</v>
      </c>
      <c r="E23" s="361" t="s">
        <v>441</v>
      </c>
      <c r="F23" s="361" t="s">
        <v>448</v>
      </c>
      <c r="H23" s="361" t="s">
        <v>31</v>
      </c>
      <c r="I23" s="361" t="s">
        <v>314</v>
      </c>
      <c r="J23" s="361" t="s">
        <v>383</v>
      </c>
      <c r="K23" s="361" t="s">
        <v>384</v>
      </c>
      <c r="L23" s="361" t="s">
        <v>441</v>
      </c>
      <c r="M23" s="361" t="s">
        <v>448</v>
      </c>
      <c r="O23" s="361" t="s">
        <v>31</v>
      </c>
      <c r="P23" s="361" t="s">
        <v>314</v>
      </c>
      <c r="Q23" s="361" t="s">
        <v>383</v>
      </c>
      <c r="R23" s="361" t="s">
        <v>384</v>
      </c>
      <c r="S23" s="361" t="s">
        <v>441</v>
      </c>
      <c r="T23" s="361" t="s">
        <v>448</v>
      </c>
      <c r="AU23" s="141" t="s">
        <v>333</v>
      </c>
      <c r="AV23" s="145">
        <v>103</v>
      </c>
      <c r="AW23" s="145">
        <v>73</v>
      </c>
      <c r="AX23" s="146">
        <v>0.59</v>
      </c>
      <c r="AY23" s="134"/>
      <c r="AZ23" s="145">
        <v>68</v>
      </c>
      <c r="BA23" s="145">
        <v>32</v>
      </c>
      <c r="BB23" s="146">
        <v>0.68</v>
      </c>
      <c r="BC23" s="134"/>
      <c r="BD23" s="428">
        <v>0.55000000000000004</v>
      </c>
      <c r="BE23" s="429"/>
    </row>
    <row r="24" spans="1:57" x14ac:dyDescent="0.3">
      <c r="A24" s="359" t="s">
        <v>449</v>
      </c>
      <c r="B24" s="112">
        <v>2005</v>
      </c>
      <c r="C24" s="160">
        <v>38</v>
      </c>
      <c r="D24" s="160">
        <v>6</v>
      </c>
      <c r="E24" s="112">
        <f>SUM(C24:D24)</f>
        <v>44</v>
      </c>
      <c r="F24" s="120">
        <f>D24/C24</f>
        <v>0.15789473684210525</v>
      </c>
      <c r="H24" s="283">
        <v>2</v>
      </c>
      <c r="I24" s="283">
        <v>2005</v>
      </c>
      <c r="J24" s="371">
        <v>247</v>
      </c>
      <c r="K24" s="371">
        <v>70</v>
      </c>
      <c r="L24" s="112">
        <f>SUM(J24:K24)</f>
        <v>317</v>
      </c>
      <c r="M24" s="120">
        <f>K24/J24</f>
        <v>0.2834008097165992</v>
      </c>
      <c r="O24" s="283">
        <v>1</v>
      </c>
      <c r="P24" s="283">
        <v>2005</v>
      </c>
      <c r="Q24" s="371">
        <v>130</v>
      </c>
      <c r="R24" s="371">
        <v>47</v>
      </c>
      <c r="S24" s="112">
        <f>SUM(Q24:R24)</f>
        <v>177</v>
      </c>
      <c r="T24" s="120">
        <f>R24/Q24</f>
        <v>0.36153846153846153</v>
      </c>
      <c r="AU24" s="141" t="s">
        <v>330</v>
      </c>
      <c r="AV24" s="142">
        <v>75</v>
      </c>
      <c r="AW24" s="142">
        <v>25</v>
      </c>
      <c r="AX24" s="143">
        <v>0.75</v>
      </c>
      <c r="AY24" s="144"/>
      <c r="AZ24" s="145">
        <v>9</v>
      </c>
      <c r="BA24" s="145">
        <v>18</v>
      </c>
      <c r="BB24" s="143">
        <v>0.33</v>
      </c>
      <c r="BC24" s="144"/>
      <c r="BD24" s="440">
        <v>0.79</v>
      </c>
      <c r="BE24" s="441"/>
    </row>
    <row r="25" spans="1:57" x14ac:dyDescent="0.3">
      <c r="A25" s="359" t="s">
        <v>449</v>
      </c>
      <c r="B25" s="112">
        <v>2006</v>
      </c>
      <c r="C25" s="161">
        <v>17</v>
      </c>
      <c r="D25" s="161">
        <v>35</v>
      </c>
      <c r="E25" s="283">
        <f>SUM(C25:D25)</f>
        <v>52</v>
      </c>
      <c r="F25" s="120">
        <f>D25/C25</f>
        <v>2.0588235294117645</v>
      </c>
      <c r="H25" s="283">
        <v>2</v>
      </c>
      <c r="I25" s="283">
        <v>2006</v>
      </c>
      <c r="J25" s="371">
        <v>101</v>
      </c>
      <c r="K25" s="371">
        <v>9</v>
      </c>
      <c r="L25" s="283">
        <f>SUM(J25:K25)</f>
        <v>110</v>
      </c>
      <c r="M25" s="120">
        <f>K25/J25</f>
        <v>8.9108910891089105E-2</v>
      </c>
      <c r="O25" s="283">
        <v>1</v>
      </c>
      <c r="P25" s="283">
        <v>2006</v>
      </c>
      <c r="Q25" s="371">
        <v>38</v>
      </c>
      <c r="R25" s="371">
        <v>56</v>
      </c>
      <c r="S25" s="283">
        <f>SUM(Q25:R25)</f>
        <v>94</v>
      </c>
      <c r="T25" s="120">
        <f>R25/Q25</f>
        <v>1.4736842105263157</v>
      </c>
      <c r="AD25" s="18"/>
      <c r="AE25" s="18"/>
      <c r="AF25" s="159"/>
      <c r="AU25" s="141" t="s">
        <v>331</v>
      </c>
      <c r="AV25" s="142">
        <v>1</v>
      </c>
      <c r="AW25" s="142">
        <v>1</v>
      </c>
      <c r="AX25" s="143">
        <v>0.5</v>
      </c>
      <c r="AY25" s="134"/>
      <c r="AZ25" s="145">
        <v>0</v>
      </c>
      <c r="BA25" s="145">
        <v>0</v>
      </c>
      <c r="BB25" s="142" t="s">
        <v>332</v>
      </c>
      <c r="BC25" s="134"/>
      <c r="BD25" s="428">
        <v>0.79</v>
      </c>
      <c r="BE25" s="429"/>
    </row>
    <row r="26" spans="1:57" x14ac:dyDescent="0.3">
      <c r="A26" s="359" t="s">
        <v>449</v>
      </c>
      <c r="B26" s="283">
        <v>2007</v>
      </c>
      <c r="C26" s="161">
        <v>11</v>
      </c>
      <c r="D26" s="161">
        <v>24</v>
      </c>
      <c r="E26" s="283">
        <f>SUM(C26:D26)</f>
        <v>35</v>
      </c>
      <c r="F26" s="120">
        <f>D26/C26</f>
        <v>2.1818181818181817</v>
      </c>
      <c r="H26" s="283">
        <v>2</v>
      </c>
      <c r="I26" s="283">
        <v>2007</v>
      </c>
      <c r="J26" s="371">
        <v>85</v>
      </c>
      <c r="K26" s="371">
        <v>109</v>
      </c>
      <c r="L26" s="283">
        <f>SUM(J26:K26)</f>
        <v>194</v>
      </c>
      <c r="M26" s="120">
        <f>K26/J26</f>
        <v>1.2823529411764707</v>
      </c>
      <c r="O26" s="283">
        <v>1</v>
      </c>
      <c r="P26" s="283">
        <v>2007</v>
      </c>
      <c r="Q26" s="371">
        <v>13</v>
      </c>
      <c r="R26" s="371">
        <v>37</v>
      </c>
      <c r="S26" s="283">
        <f>SUM(Q26:R26)</f>
        <v>50</v>
      </c>
      <c r="T26" s="120">
        <f>R26/Q26</f>
        <v>2.8461538461538463</v>
      </c>
      <c r="AU26" s="141" t="s">
        <v>333</v>
      </c>
      <c r="AV26" s="142">
        <v>369</v>
      </c>
      <c r="AW26" s="142">
        <v>147</v>
      </c>
      <c r="AX26" s="143">
        <v>0.72</v>
      </c>
      <c r="AY26" s="134"/>
      <c r="AZ26" s="145">
        <v>73</v>
      </c>
      <c r="BA26" s="145">
        <v>47</v>
      </c>
      <c r="BB26" s="143">
        <v>0.61</v>
      </c>
      <c r="BC26" s="134"/>
      <c r="BD26" s="428">
        <v>0.64</v>
      </c>
      <c r="BE26" s="429"/>
    </row>
    <row r="27" spans="1:57" ht="15" thickBot="1" x14ac:dyDescent="0.35">
      <c r="A27" s="359" t="s">
        <v>449</v>
      </c>
      <c r="B27" s="283">
        <v>2008</v>
      </c>
      <c r="C27" s="161">
        <v>3</v>
      </c>
      <c r="D27" s="161">
        <v>0</v>
      </c>
      <c r="E27" s="283">
        <f>SUM(C27:D27)</f>
        <v>3</v>
      </c>
      <c r="F27" s="120">
        <f>D27/C27</f>
        <v>0</v>
      </c>
      <c r="H27" s="283">
        <v>2</v>
      </c>
      <c r="I27" s="283">
        <v>2008</v>
      </c>
      <c r="J27" s="371">
        <v>123</v>
      </c>
      <c r="K27" s="371">
        <v>32</v>
      </c>
      <c r="L27" s="283">
        <f>SUM(J27:K27)</f>
        <v>155</v>
      </c>
      <c r="M27" s="120">
        <f>K27/J27</f>
        <v>0.26016260162601629</v>
      </c>
      <c r="O27" s="283">
        <v>1</v>
      </c>
      <c r="P27" s="283">
        <v>2008</v>
      </c>
      <c r="Q27" s="371">
        <v>70</v>
      </c>
      <c r="R27" s="371">
        <v>57</v>
      </c>
      <c r="S27" s="283">
        <f>SUM(Q27:R27)</f>
        <v>127</v>
      </c>
      <c r="T27" s="120">
        <f>R27/Q27</f>
        <v>0.81428571428571428</v>
      </c>
      <c r="AU27" s="147" t="s">
        <v>334</v>
      </c>
      <c r="AV27" s="148">
        <v>60</v>
      </c>
      <c r="AW27" s="148">
        <v>41</v>
      </c>
      <c r="AX27" s="149">
        <v>0.59</v>
      </c>
      <c r="AY27" s="150"/>
      <c r="AZ27" s="151">
        <v>24</v>
      </c>
      <c r="BA27" s="151">
        <v>22</v>
      </c>
      <c r="BB27" s="149">
        <v>0.52</v>
      </c>
      <c r="BC27" s="150"/>
      <c r="BD27" s="430">
        <v>0.74</v>
      </c>
      <c r="BE27" s="431"/>
    </row>
    <row r="28" spans="1:57" ht="15" thickBot="1" x14ac:dyDescent="0.35">
      <c r="A28" s="359" t="s">
        <v>449</v>
      </c>
      <c r="B28" s="283">
        <v>2009</v>
      </c>
      <c r="C28" s="280">
        <v>181</v>
      </c>
      <c r="D28" s="280">
        <v>443</v>
      </c>
      <c r="E28" s="283">
        <f>SUM(C28:D28)</f>
        <v>624</v>
      </c>
      <c r="F28" s="120">
        <f>D28/C28</f>
        <v>2.4475138121546962</v>
      </c>
      <c r="H28" s="283">
        <v>2</v>
      </c>
      <c r="I28" s="283">
        <v>2009</v>
      </c>
      <c r="J28" s="371">
        <v>85</v>
      </c>
      <c r="K28" s="371">
        <v>133</v>
      </c>
      <c r="L28" s="283">
        <f>SUM(J28:K28)</f>
        <v>218</v>
      </c>
      <c r="M28" s="120">
        <f>K28/J28</f>
        <v>1.5647058823529412</v>
      </c>
      <c r="O28" s="283">
        <v>1</v>
      </c>
      <c r="P28" s="283">
        <v>2009</v>
      </c>
      <c r="Q28" s="371">
        <v>34</v>
      </c>
      <c r="R28" s="371">
        <v>116</v>
      </c>
      <c r="S28" s="283">
        <f>SUM(Q28:R28)</f>
        <v>150</v>
      </c>
      <c r="T28" s="120">
        <f>R28/Q28</f>
        <v>3.4117647058823528</v>
      </c>
      <c r="AU28" s="153" t="s">
        <v>335</v>
      </c>
      <c r="AV28" s="154">
        <v>505</v>
      </c>
      <c r="AW28" s="154">
        <v>214</v>
      </c>
      <c r="AX28" s="155">
        <v>0.7</v>
      </c>
      <c r="AY28" s="156"/>
      <c r="AZ28" s="154">
        <v>106</v>
      </c>
      <c r="BA28" s="154">
        <v>87</v>
      </c>
      <c r="BB28" s="155">
        <v>0.55000000000000004</v>
      </c>
      <c r="BC28" s="140"/>
      <c r="BD28" s="140"/>
      <c r="BE28" s="157"/>
    </row>
    <row r="29" spans="1:57" ht="15" thickBot="1" x14ac:dyDescent="0.35">
      <c r="A29" s="359" t="s">
        <v>449</v>
      </c>
      <c r="B29" s="283">
        <v>2010</v>
      </c>
      <c r="C29" s="360">
        <v>76</v>
      </c>
      <c r="D29" s="360">
        <v>78</v>
      </c>
      <c r="E29" s="283">
        <f t="shared" ref="E29" si="22">SUM(C29:D29)</f>
        <v>154</v>
      </c>
      <c r="F29" s="120">
        <f t="shared" ref="F29" si="23">D29/C29</f>
        <v>1.0263157894736843</v>
      </c>
      <c r="H29" s="359">
        <v>2</v>
      </c>
      <c r="I29" s="283">
        <v>2010</v>
      </c>
      <c r="J29" s="360">
        <v>456</v>
      </c>
      <c r="K29" s="360">
        <v>269</v>
      </c>
      <c r="L29" s="283">
        <f t="shared" ref="L29:L31" si="24">SUM(J29:K29)</f>
        <v>725</v>
      </c>
      <c r="M29" s="120">
        <f t="shared" ref="M29:M31" si="25">K29/J29</f>
        <v>0.58991228070175439</v>
      </c>
      <c r="O29" s="359">
        <v>1</v>
      </c>
      <c r="P29" s="283">
        <v>2010</v>
      </c>
      <c r="Q29" s="360">
        <v>126</v>
      </c>
      <c r="R29" s="360">
        <v>143</v>
      </c>
      <c r="S29" s="283">
        <f t="shared" ref="S29:S32" si="26">SUM(Q29:R29)</f>
        <v>269</v>
      </c>
      <c r="T29" s="120">
        <f t="shared" ref="T29:T32" si="27">R29/Q29</f>
        <v>1.1349206349206349</v>
      </c>
      <c r="AU29" s="147" t="s">
        <v>334</v>
      </c>
      <c r="AV29" s="151">
        <v>59</v>
      </c>
      <c r="AW29" s="151">
        <v>79</v>
      </c>
      <c r="AX29" s="152">
        <v>0.43</v>
      </c>
      <c r="AY29" s="150"/>
      <c r="AZ29" s="151">
        <v>63</v>
      </c>
      <c r="BA29" s="151">
        <v>44</v>
      </c>
      <c r="BB29" s="152">
        <v>0.59</v>
      </c>
      <c r="BC29" s="150"/>
      <c r="BD29" s="430">
        <v>0.79</v>
      </c>
      <c r="BE29" s="431"/>
    </row>
    <row r="30" spans="1:57" ht="15" thickBot="1" x14ac:dyDescent="0.35">
      <c r="A30" s="359" t="s">
        <v>449</v>
      </c>
      <c r="B30" s="283">
        <v>2011</v>
      </c>
      <c r="C30" s="360">
        <v>191</v>
      </c>
      <c r="D30" s="360">
        <v>72</v>
      </c>
      <c r="E30" s="283">
        <f t="shared" ref="E30:E31" si="28">SUM(C30:D30)</f>
        <v>263</v>
      </c>
      <c r="F30" s="120">
        <f t="shared" ref="F30:F31" si="29">D30/C30</f>
        <v>0.37696335078534032</v>
      </c>
      <c r="H30" s="359">
        <v>2</v>
      </c>
      <c r="I30" s="283">
        <v>2011</v>
      </c>
      <c r="J30" s="360">
        <v>337</v>
      </c>
      <c r="K30" s="360">
        <v>183</v>
      </c>
      <c r="L30" s="283">
        <f>SUM(J30:K30)</f>
        <v>520</v>
      </c>
      <c r="M30" s="120">
        <f t="shared" si="25"/>
        <v>0.54302670623145399</v>
      </c>
      <c r="O30" s="359">
        <v>1</v>
      </c>
      <c r="P30" s="283">
        <v>2011</v>
      </c>
      <c r="Q30" s="360">
        <v>142</v>
      </c>
      <c r="R30" s="360">
        <v>595</v>
      </c>
      <c r="S30" s="283">
        <f t="shared" si="26"/>
        <v>737</v>
      </c>
      <c r="T30" s="120">
        <f t="shared" si="27"/>
        <v>4.1901408450704229</v>
      </c>
      <c r="AU30" s="153" t="s">
        <v>335</v>
      </c>
      <c r="AV30" s="168">
        <v>212</v>
      </c>
      <c r="AW30" s="168">
        <v>190</v>
      </c>
      <c r="AX30" s="169">
        <v>0.53</v>
      </c>
      <c r="AY30" s="156"/>
      <c r="AZ30" s="168">
        <v>150</v>
      </c>
      <c r="BA30" s="168">
        <v>102</v>
      </c>
      <c r="BB30" s="169">
        <v>0.6</v>
      </c>
      <c r="BC30" s="140"/>
      <c r="BD30" s="140"/>
      <c r="BE30" s="157"/>
    </row>
    <row r="31" spans="1:57" x14ac:dyDescent="0.3">
      <c r="A31" s="359" t="s">
        <v>449</v>
      </c>
      <c r="B31" s="283">
        <v>2012</v>
      </c>
      <c r="C31" s="360">
        <v>143</v>
      </c>
      <c r="D31" s="360">
        <v>48</v>
      </c>
      <c r="E31" s="283">
        <f t="shared" si="28"/>
        <v>191</v>
      </c>
      <c r="F31" s="120">
        <f t="shared" si="29"/>
        <v>0.33566433566433568</v>
      </c>
      <c r="H31" s="359">
        <v>2</v>
      </c>
      <c r="I31" s="283">
        <v>2012</v>
      </c>
      <c r="J31" s="360">
        <v>312</v>
      </c>
      <c r="K31" s="360">
        <v>147</v>
      </c>
      <c r="L31" s="283">
        <f t="shared" si="24"/>
        <v>459</v>
      </c>
      <c r="M31" s="120">
        <f t="shared" si="25"/>
        <v>0.47115384615384615</v>
      </c>
      <c r="O31" s="359">
        <v>1</v>
      </c>
      <c r="P31" s="283">
        <v>2012</v>
      </c>
      <c r="Q31" s="360">
        <v>124</v>
      </c>
      <c r="R31" s="360">
        <v>141</v>
      </c>
      <c r="S31" s="283">
        <f t="shared" si="26"/>
        <v>265</v>
      </c>
      <c r="T31" s="120">
        <f t="shared" si="27"/>
        <v>1.1370967741935485</v>
      </c>
    </row>
    <row r="32" spans="1:57" x14ac:dyDescent="0.3">
      <c r="A32" s="359" t="s">
        <v>449</v>
      </c>
      <c r="B32" s="283">
        <v>2013</v>
      </c>
      <c r="C32" s="360">
        <v>809</v>
      </c>
      <c r="D32" s="360">
        <v>511</v>
      </c>
      <c r="E32" s="283">
        <f t="shared" ref="E32" si="30">SUM(C32:D32)</f>
        <v>1320</v>
      </c>
      <c r="F32" s="120">
        <f t="shared" ref="F32" si="31">D32/C32</f>
        <v>0.63164400494437578</v>
      </c>
      <c r="H32" s="359">
        <v>2</v>
      </c>
      <c r="I32" s="283">
        <v>2013</v>
      </c>
      <c r="J32" s="280">
        <v>296</v>
      </c>
      <c r="K32" s="280">
        <v>139</v>
      </c>
      <c r="L32" s="283">
        <f t="shared" ref="L32" si="32">SUM(J32:K32)</f>
        <v>435</v>
      </c>
      <c r="M32" s="120">
        <f t="shared" ref="M32" si="33">K32/J32</f>
        <v>0.46959459459459457</v>
      </c>
      <c r="O32" s="359">
        <v>1</v>
      </c>
      <c r="P32" s="283">
        <v>2013</v>
      </c>
      <c r="Q32" s="280">
        <v>196</v>
      </c>
      <c r="R32" s="280">
        <v>579</v>
      </c>
      <c r="S32" s="283">
        <f t="shared" si="26"/>
        <v>775</v>
      </c>
      <c r="T32" s="120">
        <f t="shared" si="27"/>
        <v>2.954081632653061</v>
      </c>
    </row>
    <row r="33" spans="1:20" ht="15" thickBot="1" x14ac:dyDescent="0.35">
      <c r="A33" s="362" t="s">
        <v>449</v>
      </c>
      <c r="B33" s="88">
        <v>2014</v>
      </c>
      <c r="C33" s="367">
        <v>597</v>
      </c>
      <c r="D33" s="367">
        <v>210</v>
      </c>
      <c r="E33" s="88">
        <f t="shared" ref="E33" si="34">SUM(C33:D33)</f>
        <v>807</v>
      </c>
      <c r="F33" s="364">
        <f t="shared" ref="F33" si="35">D33/C33</f>
        <v>0.35175879396984927</v>
      </c>
      <c r="H33" s="88">
        <v>2</v>
      </c>
      <c r="I33" s="88">
        <v>2014</v>
      </c>
      <c r="J33" s="363">
        <v>572</v>
      </c>
      <c r="K33" s="363">
        <v>239</v>
      </c>
      <c r="L33" s="88">
        <f t="shared" ref="L33" si="36">SUM(J33:K33)</f>
        <v>811</v>
      </c>
      <c r="M33" s="364">
        <f t="shared" ref="M33" si="37">K33/J33</f>
        <v>0.41783216783216781</v>
      </c>
      <c r="O33" s="362">
        <v>1</v>
      </c>
      <c r="P33" s="88">
        <v>2014</v>
      </c>
      <c r="Q33" s="363">
        <v>282</v>
      </c>
      <c r="R33" s="363">
        <v>314</v>
      </c>
      <c r="S33" s="88">
        <f t="shared" ref="S33" si="38">SUM(Q33:R33)</f>
        <v>596</v>
      </c>
      <c r="T33" s="364">
        <f t="shared" ref="T33" si="39">R33/Q33</f>
        <v>1.1134751773049645</v>
      </c>
    </row>
    <row r="34" spans="1:20" x14ac:dyDescent="0.3">
      <c r="A34" s="427" t="s">
        <v>450</v>
      </c>
      <c r="B34" s="427"/>
      <c r="C34" s="427"/>
      <c r="D34" s="427"/>
      <c r="E34" s="427"/>
      <c r="F34" s="282">
        <f>AVERAGE(F28:F32,F26)</f>
        <v>1.1666532458067691</v>
      </c>
      <c r="H34" s="427" t="s">
        <v>450</v>
      </c>
      <c r="I34" s="427"/>
      <c r="J34" s="427"/>
      <c r="K34" s="427"/>
      <c r="L34" s="427"/>
      <c r="M34" s="282">
        <f>AVERAGE(M26:M32)</f>
        <v>0.74012983611958238</v>
      </c>
      <c r="O34" s="427" t="s">
        <v>450</v>
      </c>
      <c r="P34" s="427"/>
      <c r="Q34" s="427"/>
      <c r="R34" s="427"/>
      <c r="S34" s="427"/>
      <c r="T34" s="282">
        <f>AVERAGE(T26:T32)</f>
        <v>2.35549202187994</v>
      </c>
    </row>
    <row r="35" spans="1:20" x14ac:dyDescent="0.3">
      <c r="B35" s="283"/>
    </row>
    <row r="36" spans="1:20" x14ac:dyDescent="0.3">
      <c r="B36" s="283"/>
    </row>
    <row r="37" spans="1:20" x14ac:dyDescent="0.3">
      <c r="B37" s="283"/>
    </row>
    <row r="38" spans="1:20" x14ac:dyDescent="0.3">
      <c r="B38" s="283"/>
    </row>
    <row r="39" spans="1:20" x14ac:dyDescent="0.3">
      <c r="B39" s="283"/>
    </row>
    <row r="40" spans="1:20" x14ac:dyDescent="0.3">
      <c r="B40" s="283"/>
    </row>
    <row r="41" spans="1:20" x14ac:dyDescent="0.3">
      <c r="B41" s="283"/>
    </row>
    <row r="42" spans="1:20" x14ac:dyDescent="0.3">
      <c r="B42" s="283"/>
    </row>
    <row r="43" spans="1:20" x14ac:dyDescent="0.3">
      <c r="B43" s="283"/>
    </row>
    <row r="44" spans="1:20" x14ac:dyDescent="0.3">
      <c r="B44" s="283"/>
    </row>
    <row r="45" spans="1:20" x14ac:dyDescent="0.3">
      <c r="B45" s="283"/>
    </row>
  </sheetData>
  <mergeCells count="44">
    <mergeCell ref="AV9:AX9"/>
    <mergeCell ref="AZ9:BB9"/>
    <mergeCell ref="BD9:BE11"/>
    <mergeCell ref="AV10:AV11"/>
    <mergeCell ref="AW10:AW11"/>
    <mergeCell ref="AX10:AX11"/>
    <mergeCell ref="AZ10:AZ11"/>
    <mergeCell ref="BA10:BA11"/>
    <mergeCell ref="BB10:BB11"/>
    <mergeCell ref="BD20:BE20"/>
    <mergeCell ref="BD23:BE23"/>
    <mergeCell ref="BD29:BE29"/>
    <mergeCell ref="AV16:AX16"/>
    <mergeCell ref="AZ16:BB16"/>
    <mergeCell ref="BD16:BE18"/>
    <mergeCell ref="AX17:AX18"/>
    <mergeCell ref="BB17:BB18"/>
    <mergeCell ref="BD19:BE19"/>
    <mergeCell ref="BD27:BE27"/>
    <mergeCell ref="BD24:BE24"/>
    <mergeCell ref="BD25:BE25"/>
    <mergeCell ref="BD26:BE26"/>
    <mergeCell ref="AL2:AN2"/>
    <mergeCell ref="A19:E19"/>
    <mergeCell ref="H19:L19"/>
    <mergeCell ref="O19:S19"/>
    <mergeCell ref="A10:F10"/>
    <mergeCell ref="H10:M10"/>
    <mergeCell ref="O10:T10"/>
    <mergeCell ref="V2:X2"/>
    <mergeCell ref="B2:D2"/>
    <mergeCell ref="F2:H2"/>
    <mergeCell ref="J2:L2"/>
    <mergeCell ref="N2:P2"/>
    <mergeCell ref="R2:T2"/>
    <mergeCell ref="Z2:AB2"/>
    <mergeCell ref="AD2:AF2"/>
    <mergeCell ref="AH2:AJ2"/>
    <mergeCell ref="A22:F22"/>
    <mergeCell ref="H22:M22"/>
    <mergeCell ref="O22:T22"/>
    <mergeCell ref="A34:E34"/>
    <mergeCell ref="H34:L34"/>
    <mergeCell ref="O34:S34"/>
  </mergeCells>
  <conditionalFormatting sqref="A24:F33 A12:F18">
    <cfRule type="expression" dxfId="24" priority="26">
      <formula>$E12&lt;20</formula>
    </cfRule>
  </conditionalFormatting>
  <conditionalFormatting sqref="H24:M33 H12:M18">
    <cfRule type="expression" dxfId="23" priority="25">
      <formula>$L12&lt;20</formula>
    </cfRule>
  </conditionalFormatting>
  <conditionalFormatting sqref="O24:T33 O12:T18">
    <cfRule type="expression" dxfId="22" priority="24">
      <formula>$S12&lt;20</formula>
    </cfRule>
  </conditionalFormatting>
  <conditionalFormatting sqref="O29:T33">
    <cfRule type="expression" dxfId="21" priority="7">
      <formula>$S29&lt;20</formula>
    </cfRule>
  </conditionalFormatting>
  <conditionalFormatting sqref="H29:M33">
    <cfRule type="expression" dxfId="20" priority="5">
      <formula>$L29&lt;20</formula>
    </cfRule>
  </conditionalFormatting>
  <conditionalFormatting sqref="A29:F33">
    <cfRule type="expression" dxfId="19" priority="2">
      <formula>$E29&lt;20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120"/>
  <sheetViews>
    <sheetView topLeftCell="A13" workbookViewId="0">
      <selection activeCell="M32" sqref="M32"/>
    </sheetView>
  </sheetViews>
  <sheetFormatPr defaultRowHeight="14.4" x14ac:dyDescent="0.3"/>
  <cols>
    <col min="3" max="3" width="9.109375" style="112"/>
    <col min="8" max="8" width="16.33203125" style="283" bestFit="1" customWidth="1"/>
    <col min="10" max="10" width="9.109375" style="283"/>
    <col min="11" max="11" width="11.5546875" customWidth="1"/>
    <col min="12" max="12" width="6.88671875" bestFit="1" customWidth="1"/>
    <col min="13" max="13" width="16.109375" bestFit="1" customWidth="1"/>
    <col min="14" max="14" width="12.33203125" bestFit="1" customWidth="1"/>
    <col min="15" max="15" width="12.6640625" bestFit="1" customWidth="1"/>
    <col min="16" max="16" width="14.21875" bestFit="1" customWidth="1"/>
    <col min="33" max="33" width="9.88671875" customWidth="1"/>
  </cols>
  <sheetData>
    <row r="1" spans="1:34" s="283" customFormat="1" x14ac:dyDescent="0.3">
      <c r="A1" s="283" t="s">
        <v>395</v>
      </c>
    </row>
    <row r="2" spans="1:34" x14ac:dyDescent="0.3">
      <c r="K2" s="12" t="s">
        <v>198</v>
      </c>
      <c r="L2" s="283" t="s">
        <v>307</v>
      </c>
      <c r="M2" s="129" t="s">
        <v>308</v>
      </c>
    </row>
    <row r="3" spans="1:34" x14ac:dyDescent="0.3">
      <c r="A3" s="284" t="s">
        <v>282</v>
      </c>
      <c r="B3" s="284" t="s">
        <v>283</v>
      </c>
      <c r="C3" s="284" t="s">
        <v>309</v>
      </c>
      <c r="D3" s="284" t="s">
        <v>198</v>
      </c>
      <c r="E3" s="284" t="s">
        <v>278</v>
      </c>
      <c r="F3" s="284" t="s">
        <v>279</v>
      </c>
      <c r="G3" s="284" t="s">
        <v>284</v>
      </c>
      <c r="H3" s="284" t="s">
        <v>199</v>
      </c>
    </row>
    <row r="4" spans="1:34" ht="15.75" customHeight="1" x14ac:dyDescent="0.3">
      <c r="A4" s="5" t="s">
        <v>280</v>
      </c>
      <c r="B4" s="5">
        <v>5</v>
      </c>
      <c r="C4" s="5" t="s">
        <v>310</v>
      </c>
      <c r="D4">
        <v>2003</v>
      </c>
      <c r="E4" s="2">
        <v>7055.6</v>
      </c>
      <c r="F4" s="2">
        <v>6075.6</v>
      </c>
      <c r="G4" s="120">
        <f>E4/F4</f>
        <v>1.1613009414708013</v>
      </c>
      <c r="H4" s="120" t="s">
        <v>396</v>
      </c>
      <c r="M4" s="12" t="s">
        <v>286</v>
      </c>
    </row>
    <row r="5" spans="1:34" ht="15.75" customHeight="1" x14ac:dyDescent="0.3">
      <c r="A5" s="281" t="s">
        <v>280</v>
      </c>
      <c r="B5" s="281">
        <v>5</v>
      </c>
      <c r="C5" s="5" t="s">
        <v>310</v>
      </c>
      <c r="D5" s="218">
        <v>2004</v>
      </c>
      <c r="E5" s="285">
        <v>3822.9</v>
      </c>
      <c r="F5" s="285">
        <v>7127.4</v>
      </c>
      <c r="G5" s="286">
        <f t="shared" ref="G5:G16" si="0">E5/F5</f>
        <v>0.53636669753346244</v>
      </c>
      <c r="H5" s="286" t="s">
        <v>396</v>
      </c>
      <c r="K5" s="12" t="s">
        <v>282</v>
      </c>
      <c r="L5" s="12" t="s">
        <v>283</v>
      </c>
      <c r="M5" s="283" t="s">
        <v>285</v>
      </c>
      <c r="N5" s="283" t="s">
        <v>287</v>
      </c>
      <c r="O5" s="283" t="s">
        <v>288</v>
      </c>
      <c r="P5" s="283" t="s">
        <v>289</v>
      </c>
    </row>
    <row r="6" spans="1:34" ht="15" thickBot="1" x14ac:dyDescent="0.35">
      <c r="A6" s="281" t="s">
        <v>280</v>
      </c>
      <c r="B6" s="281">
        <v>5</v>
      </c>
      <c r="C6" s="5" t="s">
        <v>310</v>
      </c>
      <c r="D6" s="218">
        <v>2005</v>
      </c>
      <c r="E6" s="285">
        <v>2795.5</v>
      </c>
      <c r="F6" s="285">
        <v>3188.6</v>
      </c>
      <c r="G6" s="286">
        <f t="shared" si="0"/>
        <v>0.87671705450668003</v>
      </c>
      <c r="H6" s="286" t="s">
        <v>396</v>
      </c>
      <c r="K6" s="283" t="s">
        <v>280</v>
      </c>
      <c r="L6" s="283">
        <v>5</v>
      </c>
      <c r="M6" s="113">
        <v>0.92654660597690253</v>
      </c>
      <c r="N6" s="113">
        <v>8.6955661907210366E-2</v>
      </c>
      <c r="O6" s="113">
        <v>2.1602184497960257</v>
      </c>
      <c r="P6" s="4">
        <v>13</v>
      </c>
    </row>
    <row r="7" spans="1:34" ht="15.75" customHeight="1" thickBot="1" x14ac:dyDescent="0.35">
      <c r="A7" s="281" t="s">
        <v>280</v>
      </c>
      <c r="B7" s="281">
        <v>5</v>
      </c>
      <c r="C7" s="5" t="s">
        <v>310</v>
      </c>
      <c r="D7" s="218">
        <v>2006</v>
      </c>
      <c r="E7" s="285">
        <v>3424.7</v>
      </c>
      <c r="F7" s="285">
        <v>6704.6</v>
      </c>
      <c r="G7" s="286">
        <f t="shared" si="0"/>
        <v>0.51079855621513581</v>
      </c>
      <c r="H7" s="286" t="s">
        <v>396</v>
      </c>
      <c r="L7" s="283">
        <v>6</v>
      </c>
      <c r="M7" s="113">
        <v>0.18084814192060625</v>
      </c>
      <c r="N7" s="113">
        <v>0</v>
      </c>
      <c r="O7" s="113">
        <v>0.73287671232876717</v>
      </c>
      <c r="P7" s="4">
        <v>13</v>
      </c>
      <c r="R7" s="455" t="s">
        <v>31</v>
      </c>
      <c r="S7" s="455" t="s">
        <v>313</v>
      </c>
      <c r="T7" s="455" t="s">
        <v>314</v>
      </c>
      <c r="U7" s="452" t="s">
        <v>315</v>
      </c>
      <c r="V7" s="453"/>
      <c r="W7" s="453"/>
      <c r="X7" s="454"/>
      <c r="Y7" s="452" t="s">
        <v>316</v>
      </c>
      <c r="Z7" s="453"/>
      <c r="AA7" s="453"/>
      <c r="AB7" s="454"/>
      <c r="AC7" s="452" t="s">
        <v>317</v>
      </c>
      <c r="AD7" s="453"/>
      <c r="AE7" s="453"/>
      <c r="AF7" s="454"/>
      <c r="AG7" s="455" t="s">
        <v>318</v>
      </c>
      <c r="AH7" s="455" t="s">
        <v>319</v>
      </c>
    </row>
    <row r="8" spans="1:34" ht="15" thickBot="1" x14ac:dyDescent="0.35">
      <c r="A8" s="281" t="s">
        <v>280</v>
      </c>
      <c r="B8" s="281">
        <v>5</v>
      </c>
      <c r="C8" s="5" t="s">
        <v>311</v>
      </c>
      <c r="D8" s="218">
        <v>2007</v>
      </c>
      <c r="E8" s="285">
        <v>2862.7</v>
      </c>
      <c r="F8" s="285">
        <v>5945.6</v>
      </c>
      <c r="G8" s="286">
        <f t="shared" si="0"/>
        <v>0.4814821044133476</v>
      </c>
      <c r="H8" s="286" t="s">
        <v>396</v>
      </c>
      <c r="L8" s="283">
        <v>9</v>
      </c>
      <c r="M8" s="113">
        <v>0.8413743346447129</v>
      </c>
      <c r="N8" s="113">
        <v>0.12393016507766208</v>
      </c>
      <c r="O8" s="113">
        <v>2.3333126871064311</v>
      </c>
      <c r="P8" s="4">
        <v>9</v>
      </c>
      <c r="R8" s="456"/>
      <c r="S8" s="456"/>
      <c r="T8" s="456"/>
      <c r="U8" s="133" t="s">
        <v>320</v>
      </c>
      <c r="V8" s="133" t="s">
        <v>321</v>
      </c>
      <c r="W8" s="133" t="s">
        <v>322</v>
      </c>
      <c r="X8" s="133" t="s">
        <v>323</v>
      </c>
      <c r="Y8" s="133" t="s">
        <v>320</v>
      </c>
      <c r="Z8" s="133" t="s">
        <v>321</v>
      </c>
      <c r="AA8" s="133" t="s">
        <v>322</v>
      </c>
      <c r="AB8" s="133" t="s">
        <v>323</v>
      </c>
      <c r="AC8" s="133" t="s">
        <v>320</v>
      </c>
      <c r="AD8" s="133" t="s">
        <v>321</v>
      </c>
      <c r="AE8" s="133" t="s">
        <v>322</v>
      </c>
      <c r="AF8" s="133" t="s">
        <v>323</v>
      </c>
      <c r="AG8" s="456"/>
      <c r="AH8" s="456"/>
    </row>
    <row r="9" spans="1:34" ht="15" thickBot="1" x14ac:dyDescent="0.35">
      <c r="A9" s="281" t="s">
        <v>280</v>
      </c>
      <c r="B9" s="281">
        <v>5</v>
      </c>
      <c r="C9" s="5" t="s">
        <v>311</v>
      </c>
      <c r="D9" s="218">
        <v>2008</v>
      </c>
      <c r="E9" s="285">
        <v>439.7</v>
      </c>
      <c r="F9" s="285">
        <v>5056.6000000000004</v>
      </c>
      <c r="G9" s="286">
        <f t="shared" si="0"/>
        <v>8.6955661907210366E-2</v>
      </c>
      <c r="H9" s="286" t="s">
        <v>396</v>
      </c>
      <c r="L9" s="283">
        <v>10</v>
      </c>
      <c r="M9" s="113">
        <v>1.1718088727371123</v>
      </c>
      <c r="N9" s="113">
        <v>0.34624610218277763</v>
      </c>
      <c r="O9" s="113">
        <v>2.20262260687123</v>
      </c>
      <c r="P9" s="4">
        <v>9</v>
      </c>
      <c r="R9" s="130">
        <v>6</v>
      </c>
      <c r="S9" s="131" t="s">
        <v>312</v>
      </c>
      <c r="T9" s="131">
        <v>2008</v>
      </c>
      <c r="U9" s="131">
        <v>535</v>
      </c>
      <c r="V9" s="131">
        <v>2</v>
      </c>
      <c r="W9" s="131">
        <v>0</v>
      </c>
      <c r="X9" s="131">
        <v>0</v>
      </c>
      <c r="Y9" s="131">
        <v>80</v>
      </c>
      <c r="Z9" s="131">
        <v>378</v>
      </c>
      <c r="AA9" s="131">
        <v>0</v>
      </c>
      <c r="AB9" s="131">
        <v>15</v>
      </c>
      <c r="AC9" s="131">
        <v>547</v>
      </c>
      <c r="AD9" s="131">
        <v>58</v>
      </c>
      <c r="AE9" s="131">
        <v>0</v>
      </c>
      <c r="AF9" s="131">
        <v>3</v>
      </c>
      <c r="AG9" s="132">
        <v>1011</v>
      </c>
      <c r="AH9" s="131">
        <v>609</v>
      </c>
    </row>
    <row r="10" spans="1:34" ht="15" thickBot="1" x14ac:dyDescent="0.35">
      <c r="A10" s="281" t="s">
        <v>280</v>
      </c>
      <c r="B10" s="281">
        <v>5</v>
      </c>
      <c r="C10" s="5" t="s">
        <v>311</v>
      </c>
      <c r="D10" s="218">
        <v>2009</v>
      </c>
      <c r="E10" s="285">
        <v>26264.799999999999</v>
      </c>
      <c r="F10" s="285">
        <v>12158.4</v>
      </c>
      <c r="G10" s="286">
        <f t="shared" si="0"/>
        <v>2.1602184497960257</v>
      </c>
      <c r="H10" s="286" t="s">
        <v>396</v>
      </c>
      <c r="L10" s="283">
        <v>11</v>
      </c>
      <c r="M10" s="113">
        <v>0.72876440968160194</v>
      </c>
      <c r="N10" s="113">
        <v>0.22360068966181529</v>
      </c>
      <c r="O10" s="113">
        <v>1.7075588599752169</v>
      </c>
      <c r="P10" s="4">
        <v>9</v>
      </c>
      <c r="R10" s="130">
        <v>6</v>
      </c>
      <c r="S10" s="131" t="s">
        <v>312</v>
      </c>
      <c r="T10" s="131">
        <v>2009</v>
      </c>
      <c r="U10" s="132">
        <v>2336</v>
      </c>
      <c r="V10" s="131">
        <v>0</v>
      </c>
      <c r="W10" s="131">
        <v>36</v>
      </c>
      <c r="X10" s="131">
        <v>0</v>
      </c>
      <c r="Y10" s="131">
        <v>349</v>
      </c>
      <c r="Z10" s="132">
        <v>1216</v>
      </c>
      <c r="AA10" s="131">
        <v>193</v>
      </c>
      <c r="AB10" s="131">
        <v>275</v>
      </c>
      <c r="AC10" s="132">
        <v>2388</v>
      </c>
      <c r="AD10" s="131">
        <v>182</v>
      </c>
      <c r="AE10" s="131">
        <v>75</v>
      </c>
      <c r="AF10" s="131">
        <v>55</v>
      </c>
      <c r="AG10" s="132">
        <v>4406</v>
      </c>
      <c r="AH10" s="132">
        <v>2700</v>
      </c>
    </row>
    <row r="11" spans="1:34" ht="15" thickBot="1" x14ac:dyDescent="0.35">
      <c r="A11" s="281" t="s">
        <v>280</v>
      </c>
      <c r="B11" s="281">
        <v>5</v>
      </c>
      <c r="C11" s="5" t="s">
        <v>311</v>
      </c>
      <c r="D11" s="218">
        <v>2010</v>
      </c>
      <c r="E11" s="285">
        <v>7727.3</v>
      </c>
      <c r="F11" s="285">
        <v>11522.6</v>
      </c>
      <c r="G11" s="286">
        <f t="shared" si="0"/>
        <v>0.67062121396212659</v>
      </c>
      <c r="H11" s="286" t="s">
        <v>396</v>
      </c>
      <c r="L11" s="283">
        <v>13</v>
      </c>
      <c r="M11" s="113">
        <v>0.32791960949122423</v>
      </c>
      <c r="N11" s="113">
        <v>6.25E-2</v>
      </c>
      <c r="O11" s="113">
        <v>0.64604948124501194</v>
      </c>
      <c r="P11" s="4">
        <v>9</v>
      </c>
      <c r="R11" s="130">
        <v>6</v>
      </c>
      <c r="S11" s="131" t="s">
        <v>312</v>
      </c>
      <c r="T11" s="131">
        <v>2010</v>
      </c>
      <c r="U11" s="132">
        <v>1394</v>
      </c>
      <c r="V11" s="131">
        <v>2</v>
      </c>
      <c r="W11" s="131">
        <v>4</v>
      </c>
      <c r="X11" s="131">
        <v>0</v>
      </c>
      <c r="Y11" s="131">
        <v>208</v>
      </c>
      <c r="Z11" s="131">
        <v>544</v>
      </c>
      <c r="AA11" s="131">
        <v>41</v>
      </c>
      <c r="AB11" s="131">
        <v>27</v>
      </c>
      <c r="AC11" s="132">
        <v>1425</v>
      </c>
      <c r="AD11" s="131">
        <v>84</v>
      </c>
      <c r="AE11" s="131">
        <v>12</v>
      </c>
      <c r="AF11" s="131">
        <v>5</v>
      </c>
      <c r="AG11" s="132">
        <v>2220</v>
      </c>
      <c r="AH11" s="132">
        <v>1526</v>
      </c>
    </row>
    <row r="12" spans="1:34" ht="15" thickBot="1" x14ac:dyDescent="0.35">
      <c r="A12" s="281" t="s">
        <v>280</v>
      </c>
      <c r="B12" s="281">
        <v>5</v>
      </c>
      <c r="C12" s="281" t="s">
        <v>311</v>
      </c>
      <c r="D12" s="218">
        <v>2011</v>
      </c>
      <c r="E12" s="285">
        <v>7249.8</v>
      </c>
      <c r="F12" s="285">
        <v>14320.6</v>
      </c>
      <c r="G12" s="286">
        <f t="shared" si="0"/>
        <v>0.50624973813946339</v>
      </c>
      <c r="H12" s="286" t="s">
        <v>396</v>
      </c>
      <c r="K12" s="283" t="s">
        <v>281</v>
      </c>
      <c r="L12" s="283">
        <v>6</v>
      </c>
      <c r="M12" s="113">
        <v>1.3618894728725106</v>
      </c>
      <c r="N12" s="113">
        <v>0.23095676401811033</v>
      </c>
      <c r="O12" s="113">
        <v>4.4000000000000004</v>
      </c>
      <c r="P12" s="4">
        <v>4</v>
      </c>
      <c r="R12" s="130">
        <v>6</v>
      </c>
      <c r="S12" s="131" t="s">
        <v>312</v>
      </c>
      <c r="T12" s="131">
        <v>2011</v>
      </c>
      <c r="U12" s="132">
        <v>3202</v>
      </c>
      <c r="V12" s="131">
        <v>7</v>
      </c>
      <c r="W12" s="131">
        <v>97</v>
      </c>
      <c r="X12" s="131">
        <v>14</v>
      </c>
      <c r="Y12" s="131">
        <v>479</v>
      </c>
      <c r="Z12" s="132">
        <v>1746</v>
      </c>
      <c r="AA12" s="131">
        <v>634</v>
      </c>
      <c r="AB12" s="131">
        <v>512</v>
      </c>
      <c r="AC12" s="132">
        <v>3274</v>
      </c>
      <c r="AD12" s="131">
        <v>269</v>
      </c>
      <c r="AE12" s="131">
        <v>224</v>
      </c>
      <c r="AF12" s="131">
        <v>116</v>
      </c>
      <c r="AG12" s="132">
        <v>6690</v>
      </c>
      <c r="AH12" s="132">
        <v>3883</v>
      </c>
    </row>
    <row r="13" spans="1:34" x14ac:dyDescent="0.3">
      <c r="A13" s="281" t="s">
        <v>280</v>
      </c>
      <c r="B13" s="281">
        <v>5</v>
      </c>
      <c r="C13" s="281" t="s">
        <v>311</v>
      </c>
      <c r="D13" s="218">
        <v>2012</v>
      </c>
      <c r="E13" s="285">
        <v>8119.9</v>
      </c>
      <c r="F13" s="285">
        <v>10875.8</v>
      </c>
      <c r="G13" s="286">
        <f t="shared" si="0"/>
        <v>0.7466025487780209</v>
      </c>
      <c r="H13" s="286" t="s">
        <v>396</v>
      </c>
      <c r="L13" s="283">
        <v>7</v>
      </c>
      <c r="M13" s="113">
        <v>0.54541647606043775</v>
      </c>
      <c r="N13" s="113">
        <v>7.3007858626165559E-2</v>
      </c>
      <c r="O13" s="113">
        <v>2.1904761904761907</v>
      </c>
      <c r="P13" s="4">
        <v>9</v>
      </c>
    </row>
    <row r="14" spans="1:34" x14ac:dyDescent="0.3">
      <c r="A14" s="281" t="s">
        <v>280</v>
      </c>
      <c r="B14" s="281">
        <v>5</v>
      </c>
      <c r="C14" s="281" t="s">
        <v>311</v>
      </c>
      <c r="D14" s="218">
        <v>2013</v>
      </c>
      <c r="E14" s="285">
        <v>17888.8</v>
      </c>
      <c r="F14" s="285">
        <v>15854.5</v>
      </c>
      <c r="G14" s="286">
        <f t="shared" si="0"/>
        <v>1.1283105742849033</v>
      </c>
      <c r="H14" s="286" t="s">
        <v>396</v>
      </c>
      <c r="L14" s="283">
        <v>8</v>
      </c>
      <c r="M14" s="113">
        <v>4.0417583289409107</v>
      </c>
      <c r="N14" s="113">
        <v>0.75824964131994266</v>
      </c>
      <c r="O14" s="113">
        <v>12.016589076126156</v>
      </c>
      <c r="P14" s="4">
        <v>11</v>
      </c>
    </row>
    <row r="15" spans="1:34" x14ac:dyDescent="0.3">
      <c r="A15" s="287" t="s">
        <v>280</v>
      </c>
      <c r="B15" s="287">
        <v>5</v>
      </c>
      <c r="C15" s="287" t="s">
        <v>310</v>
      </c>
      <c r="D15" s="288">
        <v>2014</v>
      </c>
      <c r="E15" s="289">
        <v>11475.3</v>
      </c>
      <c r="F15" s="289">
        <v>8429.4</v>
      </c>
      <c r="G15" s="286">
        <f t="shared" si="0"/>
        <v>1.3613424443020856</v>
      </c>
      <c r="H15" s="286" t="s">
        <v>396</v>
      </c>
      <c r="I15" s="112"/>
      <c r="L15" s="283">
        <v>9</v>
      </c>
      <c r="M15" s="113">
        <v>2.8297484379269711</v>
      </c>
      <c r="N15" s="113">
        <v>0.94580019609979304</v>
      </c>
      <c r="O15" s="113">
        <v>8.6666666666666661</v>
      </c>
      <c r="P15" s="4">
        <v>9</v>
      </c>
    </row>
    <row r="16" spans="1:34" x14ac:dyDescent="0.3">
      <c r="A16" s="295" t="s">
        <v>280</v>
      </c>
      <c r="B16" s="295">
        <v>5</v>
      </c>
      <c r="C16" s="302" t="s">
        <v>310</v>
      </c>
      <c r="D16" s="297">
        <v>2015</v>
      </c>
      <c r="E16" s="299">
        <f>14981+8673</f>
        <v>23654</v>
      </c>
      <c r="F16" s="299">
        <f>5224+7786</f>
        <v>13010</v>
      </c>
      <c r="G16" s="303">
        <f t="shared" si="0"/>
        <v>1.8181398923904688</v>
      </c>
      <c r="H16" s="296" t="s">
        <v>475</v>
      </c>
      <c r="I16" s="218" t="s">
        <v>401</v>
      </c>
      <c r="L16" s="283">
        <v>10</v>
      </c>
      <c r="M16" s="113">
        <v>7.2825584769984131</v>
      </c>
      <c r="N16" s="113">
        <v>2.8159999999999998</v>
      </c>
      <c r="O16" s="113">
        <v>16.833333333333332</v>
      </c>
      <c r="P16" s="4">
        <v>9</v>
      </c>
    </row>
    <row r="17" spans="1:16" x14ac:dyDescent="0.3">
      <c r="A17" s="281" t="s">
        <v>280</v>
      </c>
      <c r="B17" s="281">
        <v>6</v>
      </c>
      <c r="C17" s="281" t="s">
        <v>310</v>
      </c>
      <c r="D17" s="218">
        <v>2003</v>
      </c>
      <c r="E17" s="285">
        <v>154.56486000000001</v>
      </c>
      <c r="F17" s="285">
        <v>2387.1683969999999</v>
      </c>
      <c r="G17" s="286">
        <f>E17/F17</f>
        <v>6.4748201339396336E-2</v>
      </c>
      <c r="H17" s="286" t="s">
        <v>396</v>
      </c>
      <c r="I17" s="112"/>
      <c r="L17" s="283">
        <v>11</v>
      </c>
      <c r="M17" s="113">
        <v>2.6331454880990313</v>
      </c>
      <c r="N17" s="113">
        <v>0.30239651416122004</v>
      </c>
      <c r="O17" s="113">
        <v>8.8571428571428577</v>
      </c>
      <c r="P17" s="4">
        <v>7</v>
      </c>
    </row>
    <row r="18" spans="1:16" x14ac:dyDescent="0.3">
      <c r="A18" s="281" t="s">
        <v>280</v>
      </c>
      <c r="B18" s="281">
        <v>6</v>
      </c>
      <c r="C18" s="281" t="s">
        <v>310</v>
      </c>
      <c r="D18" s="218">
        <v>2004</v>
      </c>
      <c r="E18" s="285">
        <v>55.697553999999997</v>
      </c>
      <c r="F18" s="285">
        <v>1592.9500379999999</v>
      </c>
      <c r="G18" s="286">
        <f>E18/F18</f>
        <v>3.4965035105514089E-2</v>
      </c>
      <c r="H18" s="286" t="s">
        <v>396</v>
      </c>
      <c r="I18" s="112"/>
      <c r="L18" s="283">
        <v>12</v>
      </c>
      <c r="M18" s="113">
        <v>0.78524716401580874</v>
      </c>
      <c r="N18" s="113">
        <v>0.16279069767441862</v>
      </c>
      <c r="O18" s="113">
        <v>1.4410377358490567</v>
      </c>
      <c r="P18" s="4">
        <v>5</v>
      </c>
    </row>
    <row r="19" spans="1:16" x14ac:dyDescent="0.3">
      <c r="A19" s="281" t="s">
        <v>280</v>
      </c>
      <c r="B19" s="281">
        <v>6</v>
      </c>
      <c r="C19" s="281" t="s">
        <v>310</v>
      </c>
      <c r="D19" s="218">
        <v>2005</v>
      </c>
      <c r="E19" s="285">
        <v>69.677045000000007</v>
      </c>
      <c r="F19" s="285">
        <v>1254.1868019999999</v>
      </c>
      <c r="G19" s="286">
        <f>E19/F19</f>
        <v>5.5555555909924184E-2</v>
      </c>
      <c r="H19" s="286" t="s">
        <v>396</v>
      </c>
      <c r="K19" s="283" t="s">
        <v>12</v>
      </c>
      <c r="M19" s="4">
        <v>1.8121517329926229</v>
      </c>
      <c r="N19" s="4">
        <v>0</v>
      </c>
      <c r="O19" s="4">
        <v>16.833333333333332</v>
      </c>
      <c r="P19" s="4">
        <v>116</v>
      </c>
    </row>
    <row r="20" spans="1:16" x14ac:dyDescent="0.3">
      <c r="A20" s="281" t="s">
        <v>280</v>
      </c>
      <c r="B20" s="281">
        <v>6</v>
      </c>
      <c r="C20" s="281" t="s">
        <v>310</v>
      </c>
      <c r="D20" s="218">
        <v>2006</v>
      </c>
      <c r="E20" s="285">
        <v>0</v>
      </c>
      <c r="F20" s="285">
        <v>882.31599400000005</v>
      </c>
      <c r="G20" s="286">
        <f>E20/F20</f>
        <v>0</v>
      </c>
      <c r="H20" s="286" t="s">
        <v>396</v>
      </c>
    </row>
    <row r="21" spans="1:16" x14ac:dyDescent="0.3">
      <c r="A21" s="281" t="s">
        <v>280</v>
      </c>
      <c r="B21" s="281">
        <v>6</v>
      </c>
      <c r="C21" s="281" t="s">
        <v>311</v>
      </c>
      <c r="D21" s="218">
        <v>2007</v>
      </c>
      <c r="E21" s="285">
        <v>16.435693000000001</v>
      </c>
      <c r="F21" s="285">
        <v>1232.6770059999999</v>
      </c>
      <c r="G21" s="286">
        <f>E21/F21</f>
        <v>1.333333299801976E-2</v>
      </c>
      <c r="H21" s="286" t="s">
        <v>396</v>
      </c>
    </row>
    <row r="22" spans="1:16" x14ac:dyDescent="0.3">
      <c r="A22" s="281" t="s">
        <v>280</v>
      </c>
      <c r="B22" s="281">
        <v>6</v>
      </c>
      <c r="C22" s="281" t="s">
        <v>311</v>
      </c>
      <c r="D22" s="291">
        <v>2008</v>
      </c>
      <c r="E22" s="293">
        <v>15.195702802193701</v>
      </c>
      <c r="F22" s="293">
        <v>995.31853354368604</v>
      </c>
      <c r="G22" s="294">
        <f t="shared" ref="G22:G26" si="1">E22/F22</f>
        <v>1.5267175572519104E-2</v>
      </c>
      <c r="H22" s="294" t="s">
        <v>397</v>
      </c>
      <c r="K22" s="12" t="s">
        <v>309</v>
      </c>
      <c r="L22" s="283" t="s">
        <v>311</v>
      </c>
      <c r="M22" s="129" t="s">
        <v>478</v>
      </c>
      <c r="N22" s="129"/>
      <c r="O22" s="129"/>
      <c r="P22" s="129"/>
    </row>
    <row r="23" spans="1:16" x14ac:dyDescent="0.3">
      <c r="A23" s="281" t="s">
        <v>280</v>
      </c>
      <c r="B23" s="281">
        <v>6</v>
      </c>
      <c r="C23" s="281" t="s">
        <v>311</v>
      </c>
      <c r="D23" s="291">
        <v>2009</v>
      </c>
      <c r="E23" s="293">
        <v>504.80641723870599</v>
      </c>
      <c r="F23" s="293">
        <v>3900.7768604809198</v>
      </c>
      <c r="G23" s="294">
        <f t="shared" si="1"/>
        <v>0.12941176470588203</v>
      </c>
      <c r="H23" s="294" t="s">
        <v>397</v>
      </c>
      <c r="K23" s="112"/>
      <c r="L23" s="112"/>
      <c r="M23" s="112"/>
      <c r="N23" s="112"/>
      <c r="O23" s="112"/>
      <c r="P23" s="112"/>
    </row>
    <row r="24" spans="1:16" x14ac:dyDescent="0.3">
      <c r="A24" s="281" t="s">
        <v>280</v>
      </c>
      <c r="B24" s="281">
        <v>6</v>
      </c>
      <c r="C24" s="281" t="s">
        <v>311</v>
      </c>
      <c r="D24" s="291">
        <v>2010</v>
      </c>
      <c r="E24" s="293">
        <v>71.622160202044995</v>
      </c>
      <c r="F24" s="293">
        <v>2148.6648060613529</v>
      </c>
      <c r="G24" s="294">
        <f t="shared" si="1"/>
        <v>3.3333333333333284E-2</v>
      </c>
      <c r="H24" s="294" t="s">
        <v>397</v>
      </c>
      <c r="M24" s="12" t="s">
        <v>286</v>
      </c>
    </row>
    <row r="25" spans="1:16" x14ac:dyDescent="0.3">
      <c r="A25" s="281" t="s">
        <v>280</v>
      </c>
      <c r="B25" s="281">
        <v>6</v>
      </c>
      <c r="C25" s="281" t="s">
        <v>311</v>
      </c>
      <c r="D25" s="291">
        <v>2011</v>
      </c>
      <c r="E25" s="293">
        <v>1256.1933649577329</v>
      </c>
      <c r="F25" s="293">
        <v>5433.7666484218198</v>
      </c>
      <c r="G25" s="294">
        <f t="shared" si="1"/>
        <v>0.2311827956989248</v>
      </c>
      <c r="H25" s="294" t="s">
        <v>397</v>
      </c>
      <c r="K25" s="12" t="s">
        <v>282</v>
      </c>
      <c r="L25" s="12" t="s">
        <v>283</v>
      </c>
      <c r="M25" s="283" t="s">
        <v>285</v>
      </c>
      <c r="N25" s="283" t="s">
        <v>287</v>
      </c>
      <c r="O25" s="283" t="s">
        <v>288</v>
      </c>
      <c r="P25" s="283" t="s">
        <v>289</v>
      </c>
    </row>
    <row r="26" spans="1:16" x14ac:dyDescent="0.3">
      <c r="A26" s="287" t="s">
        <v>280</v>
      </c>
      <c r="B26" s="287">
        <v>6</v>
      </c>
      <c r="C26" s="301" t="s">
        <v>311</v>
      </c>
      <c r="D26" s="291">
        <v>2012</v>
      </c>
      <c r="E26" s="293">
        <v>2249.2536103688399</v>
      </c>
      <c r="F26" s="293">
        <v>8113.3790945447299</v>
      </c>
      <c r="G26" s="294">
        <f t="shared" si="1"/>
        <v>0.2772277227722777</v>
      </c>
      <c r="H26" s="294" t="s">
        <v>397</v>
      </c>
      <c r="I26" s="218" t="s">
        <v>401</v>
      </c>
      <c r="K26" s="283" t="s">
        <v>280</v>
      </c>
      <c r="L26" s="283">
        <v>5</v>
      </c>
      <c r="M26" s="120">
        <v>0.82577718446872816</v>
      </c>
      <c r="N26" s="113">
        <v>8.6955661907210366E-2</v>
      </c>
      <c r="O26" s="113">
        <v>2.1602184497960257</v>
      </c>
      <c r="P26" s="4">
        <v>7</v>
      </c>
    </row>
    <row r="27" spans="1:16" x14ac:dyDescent="0.3">
      <c r="A27" s="287" t="s">
        <v>280</v>
      </c>
      <c r="B27" s="287">
        <v>6</v>
      </c>
      <c r="C27" s="322" t="s">
        <v>311</v>
      </c>
      <c r="D27" s="288">
        <v>2013</v>
      </c>
      <c r="E27" s="451" t="s">
        <v>400</v>
      </c>
      <c r="F27" s="451"/>
      <c r="G27" s="305">
        <f>(147+92)/(311+97)</f>
        <v>0.58578431372549022</v>
      </c>
      <c r="H27" s="304" t="s">
        <v>399</v>
      </c>
      <c r="I27" s="218" t="s">
        <v>401</v>
      </c>
      <c r="L27" s="283">
        <v>6</v>
      </c>
      <c r="M27" s="120">
        <v>0.18364863411520668</v>
      </c>
      <c r="N27" s="113">
        <v>1.333333299801976E-2</v>
      </c>
      <c r="O27" s="113">
        <v>0.58578431372549022</v>
      </c>
      <c r="P27" s="4">
        <v>7</v>
      </c>
    </row>
    <row r="28" spans="1:16" x14ac:dyDescent="0.3">
      <c r="A28" s="287" t="s">
        <v>280</v>
      </c>
      <c r="B28" s="287">
        <v>6</v>
      </c>
      <c r="C28" s="322" t="s">
        <v>310</v>
      </c>
      <c r="D28" s="288">
        <v>2014</v>
      </c>
      <c r="E28" s="451" t="s">
        <v>400</v>
      </c>
      <c r="F28" s="451"/>
      <c r="G28" s="305">
        <f>(28+8)/(149+54)</f>
        <v>0.17733990147783252</v>
      </c>
      <c r="H28" s="304" t="s">
        <v>399</v>
      </c>
      <c r="I28" s="218" t="s">
        <v>401</v>
      </c>
      <c r="L28" s="283">
        <v>9</v>
      </c>
      <c r="M28" s="120">
        <v>0.85870154039931701</v>
      </c>
      <c r="N28" s="113">
        <v>0.12393016507766208</v>
      </c>
      <c r="O28" s="113">
        <v>2.3333126871064311</v>
      </c>
      <c r="P28" s="4">
        <v>7</v>
      </c>
    </row>
    <row r="29" spans="1:16" x14ac:dyDescent="0.3">
      <c r="A29" s="295" t="s">
        <v>280</v>
      </c>
      <c r="B29" s="295">
        <v>6</v>
      </c>
      <c r="C29" s="302" t="s">
        <v>310</v>
      </c>
      <c r="D29" s="297">
        <v>2015</v>
      </c>
      <c r="E29" s="299" t="s">
        <v>394</v>
      </c>
      <c r="F29" s="299"/>
      <c r="G29" s="303">
        <f>(118+96)/(218+74)</f>
        <v>0.73287671232876717</v>
      </c>
      <c r="H29" s="296" t="s">
        <v>476</v>
      </c>
      <c r="I29" s="218" t="s">
        <v>401</v>
      </c>
      <c r="L29" s="283">
        <v>10</v>
      </c>
      <c r="M29" s="120">
        <v>1.1723087829795902</v>
      </c>
      <c r="N29" s="113">
        <v>0.34624610218277763</v>
      </c>
      <c r="O29" s="113">
        <v>2.20262260687123</v>
      </c>
      <c r="P29" s="4">
        <v>7</v>
      </c>
    </row>
    <row r="30" spans="1:16" x14ac:dyDescent="0.3">
      <c r="A30" s="281" t="s">
        <v>280</v>
      </c>
      <c r="B30" s="281">
        <v>9</v>
      </c>
      <c r="C30" s="281" t="s">
        <v>311</v>
      </c>
      <c r="D30" s="218">
        <v>2007</v>
      </c>
      <c r="E30" s="285">
        <v>1767.9</v>
      </c>
      <c r="F30" s="285">
        <v>6929.2</v>
      </c>
      <c r="G30" s="286">
        <f t="shared" ref="G30:G36" si="2">E30/F30</f>
        <v>0.25513767823125327</v>
      </c>
      <c r="H30" s="286" t="s">
        <v>396</v>
      </c>
      <c r="L30" s="283">
        <v>11</v>
      </c>
      <c r="M30" s="120">
        <v>0.60609106670010271</v>
      </c>
      <c r="N30" s="113">
        <v>0.22360068966181529</v>
      </c>
      <c r="O30" s="113">
        <v>1.4784201208717416</v>
      </c>
      <c r="P30" s="4">
        <v>7</v>
      </c>
    </row>
    <row r="31" spans="1:16" x14ac:dyDescent="0.3">
      <c r="A31" s="281" t="s">
        <v>280</v>
      </c>
      <c r="B31" s="281">
        <v>9</v>
      </c>
      <c r="C31" s="281" t="s">
        <v>311</v>
      </c>
      <c r="D31" s="218">
        <v>2008</v>
      </c>
      <c r="E31" s="285">
        <v>7047.4</v>
      </c>
      <c r="F31" s="285">
        <v>6241.7</v>
      </c>
      <c r="G31" s="286">
        <f t="shared" si="2"/>
        <v>1.1290834227854591</v>
      </c>
      <c r="H31" s="286" t="s">
        <v>396</v>
      </c>
      <c r="L31" s="283">
        <v>13</v>
      </c>
      <c r="M31" s="120">
        <v>0.36756957310525823</v>
      </c>
      <c r="N31" s="113">
        <v>0.16607773851590105</v>
      </c>
      <c r="O31" s="113">
        <v>0.64604948124501194</v>
      </c>
      <c r="P31" s="4">
        <v>7</v>
      </c>
    </row>
    <row r="32" spans="1:16" x14ac:dyDescent="0.3">
      <c r="A32" s="281" t="s">
        <v>280</v>
      </c>
      <c r="B32" s="281">
        <v>9</v>
      </c>
      <c r="C32" s="281" t="s">
        <v>311</v>
      </c>
      <c r="D32" s="218">
        <v>2009</v>
      </c>
      <c r="E32" s="285">
        <v>11301.4</v>
      </c>
      <c r="F32" s="285">
        <v>4843.5</v>
      </c>
      <c r="G32" s="286">
        <f t="shared" si="2"/>
        <v>2.3333126871064311</v>
      </c>
      <c r="H32" s="286" t="s">
        <v>396</v>
      </c>
      <c r="K32" s="283" t="s">
        <v>281</v>
      </c>
      <c r="L32" s="283">
        <v>6</v>
      </c>
      <c r="M32" s="120">
        <v>1.3618894728725106</v>
      </c>
      <c r="N32" s="113">
        <v>0.23095676401811033</v>
      </c>
      <c r="O32" s="113">
        <v>4.4000000000000004</v>
      </c>
      <c r="P32" s="4">
        <v>4</v>
      </c>
    </row>
    <row r="33" spans="1:16" x14ac:dyDescent="0.3">
      <c r="A33" s="281" t="s">
        <v>280</v>
      </c>
      <c r="B33" s="281">
        <v>9</v>
      </c>
      <c r="C33" s="281" t="s">
        <v>311</v>
      </c>
      <c r="D33" s="218">
        <v>2010</v>
      </c>
      <c r="E33" s="285">
        <v>1016.5</v>
      </c>
      <c r="F33" s="285">
        <v>8202.2000000000007</v>
      </c>
      <c r="G33" s="286">
        <f t="shared" si="2"/>
        <v>0.12393016507766208</v>
      </c>
      <c r="H33" s="286" t="s">
        <v>396</v>
      </c>
      <c r="L33" s="283">
        <v>7</v>
      </c>
      <c r="M33" s="120">
        <v>0.24636245473653143</v>
      </c>
      <c r="N33" s="113">
        <v>7.3007858626165559E-2</v>
      </c>
      <c r="O33" s="113">
        <v>0.64130434782608703</v>
      </c>
      <c r="P33" s="4">
        <v>7</v>
      </c>
    </row>
    <row r="34" spans="1:16" x14ac:dyDescent="0.3">
      <c r="A34" s="281" t="s">
        <v>280</v>
      </c>
      <c r="B34" s="281">
        <v>9</v>
      </c>
      <c r="C34" s="281" t="s">
        <v>311</v>
      </c>
      <c r="D34" s="218">
        <v>2011</v>
      </c>
      <c r="E34" s="285">
        <v>3318.6</v>
      </c>
      <c r="F34" s="285">
        <v>3802.1</v>
      </c>
      <c r="G34" s="286">
        <f t="shared" si="2"/>
        <v>0.87283343415480918</v>
      </c>
      <c r="H34" s="286" t="s">
        <v>396</v>
      </c>
      <c r="L34" s="283">
        <v>8</v>
      </c>
      <c r="M34" s="120">
        <v>2.3938508496643425</v>
      </c>
      <c r="N34" s="113">
        <v>0.75824964131994266</v>
      </c>
      <c r="O34" s="113">
        <v>4.4444563931605545</v>
      </c>
      <c r="P34" s="4">
        <v>7</v>
      </c>
    </row>
    <row r="35" spans="1:16" x14ac:dyDescent="0.3">
      <c r="A35" s="281" t="s">
        <v>280</v>
      </c>
      <c r="B35" s="281">
        <v>9</v>
      </c>
      <c r="C35" s="281" t="s">
        <v>311</v>
      </c>
      <c r="D35" s="218">
        <v>2012</v>
      </c>
      <c r="E35" s="285">
        <v>9992.4</v>
      </c>
      <c r="F35" s="285">
        <v>10373.799999999999</v>
      </c>
      <c r="G35" s="286">
        <f t="shared" si="2"/>
        <v>0.96323430179876235</v>
      </c>
      <c r="H35" s="286" t="s">
        <v>396</v>
      </c>
      <c r="L35" s="283">
        <v>9</v>
      </c>
      <c r="M35" s="120">
        <v>2.1821097407702887</v>
      </c>
      <c r="N35" s="113">
        <v>0.94580019609979304</v>
      </c>
      <c r="O35" s="113">
        <v>5.3568094682447081</v>
      </c>
      <c r="P35" s="4">
        <v>7</v>
      </c>
    </row>
    <row r="36" spans="1:16" x14ac:dyDescent="0.3">
      <c r="A36" s="281" t="s">
        <v>280</v>
      </c>
      <c r="B36" s="281">
        <v>9</v>
      </c>
      <c r="C36" s="281" t="s">
        <v>311</v>
      </c>
      <c r="D36" s="218">
        <v>2013</v>
      </c>
      <c r="E36" s="285">
        <v>2185.6</v>
      </c>
      <c r="F36" s="285">
        <v>6555.9</v>
      </c>
      <c r="G36" s="286">
        <f t="shared" si="2"/>
        <v>0.33337909364084262</v>
      </c>
      <c r="H36" s="286" t="s">
        <v>396</v>
      </c>
      <c r="L36" s="283">
        <v>10</v>
      </c>
      <c r="M36" s="120">
        <v>6.5562418513789131</v>
      </c>
      <c r="N36" s="113">
        <v>2.8838452928740206</v>
      </c>
      <c r="O36" s="113">
        <v>10.483050847457628</v>
      </c>
      <c r="P36" s="4">
        <v>7</v>
      </c>
    </row>
    <row r="37" spans="1:16" x14ac:dyDescent="0.3">
      <c r="A37" s="287" t="s">
        <v>280</v>
      </c>
      <c r="B37" s="287">
        <v>9</v>
      </c>
      <c r="C37" s="287" t="s">
        <v>310</v>
      </c>
      <c r="D37" s="288">
        <v>2014</v>
      </c>
      <c r="E37" s="289">
        <v>1047.9000000000001</v>
      </c>
      <c r="F37" s="289">
        <v>3966.9</v>
      </c>
      <c r="G37" s="286">
        <f t="shared" ref="G37" si="3">E37/F37</f>
        <v>0.26416093170989946</v>
      </c>
      <c r="H37" s="286" t="s">
        <v>396</v>
      </c>
      <c r="L37" s="283">
        <v>11</v>
      </c>
      <c r="M37" s="120">
        <v>1.5309751119100723</v>
      </c>
      <c r="N37" s="113">
        <v>0.30239651416122004</v>
      </c>
      <c r="O37" s="113">
        <v>3.1674057649667402</v>
      </c>
      <c r="P37" s="4">
        <v>5</v>
      </c>
    </row>
    <row r="38" spans="1:16" x14ac:dyDescent="0.3">
      <c r="A38" s="295" t="s">
        <v>280</v>
      </c>
      <c r="B38" s="295">
        <v>9</v>
      </c>
      <c r="C38" s="302" t="s">
        <v>310</v>
      </c>
      <c r="D38" s="300">
        <v>2015</v>
      </c>
      <c r="E38" s="296" t="s">
        <v>394</v>
      </c>
      <c r="F38" s="296"/>
      <c r="G38" s="303">
        <f>48/37</f>
        <v>1.2972972972972974</v>
      </c>
      <c r="H38" s="296" t="s">
        <v>439</v>
      </c>
      <c r="I38" s="218" t="s">
        <v>401</v>
      </c>
      <c r="L38" s="283">
        <v>12</v>
      </c>
      <c r="M38" s="120">
        <v>0.78524716401580874</v>
      </c>
      <c r="N38" s="113">
        <v>0.16279069767441862</v>
      </c>
      <c r="O38" s="113">
        <v>1.4410377358490567</v>
      </c>
      <c r="P38" s="4">
        <v>5</v>
      </c>
    </row>
    <row r="39" spans="1:16" x14ac:dyDescent="0.3">
      <c r="A39" s="281" t="s">
        <v>280</v>
      </c>
      <c r="B39" s="281">
        <v>10</v>
      </c>
      <c r="C39" s="281" t="s">
        <v>311</v>
      </c>
      <c r="D39" s="218">
        <v>2007</v>
      </c>
      <c r="E39" s="285">
        <v>3901.6</v>
      </c>
      <c r="F39" s="285">
        <v>2205.8000000000002</v>
      </c>
      <c r="G39" s="286">
        <f t="shared" ref="G39:G45" si="4">E39/F39</f>
        <v>1.7687913682110796</v>
      </c>
      <c r="H39" s="286" t="s">
        <v>396</v>
      </c>
      <c r="K39" s="283" t="s">
        <v>12</v>
      </c>
      <c r="M39" s="4">
        <v>1.4854440597541354</v>
      </c>
      <c r="N39" s="4">
        <v>1.333333299801976E-2</v>
      </c>
      <c r="O39" s="4">
        <v>10.483050847457628</v>
      </c>
      <c r="P39" s="4">
        <v>84</v>
      </c>
    </row>
    <row r="40" spans="1:16" x14ac:dyDescent="0.3">
      <c r="A40" s="281" t="s">
        <v>280</v>
      </c>
      <c r="B40" s="281">
        <v>10</v>
      </c>
      <c r="C40" s="281" t="s">
        <v>311</v>
      </c>
      <c r="D40" s="218">
        <v>2008</v>
      </c>
      <c r="E40" s="285">
        <v>577.4</v>
      </c>
      <c r="F40" s="285">
        <v>1667.6</v>
      </c>
      <c r="G40" s="286">
        <f t="shared" si="4"/>
        <v>0.34624610218277763</v>
      </c>
      <c r="H40" s="286" t="s">
        <v>396</v>
      </c>
      <c r="O40" s="283"/>
    </row>
    <row r="41" spans="1:16" x14ac:dyDescent="0.3">
      <c r="A41" s="281" t="s">
        <v>280</v>
      </c>
      <c r="B41" s="281">
        <v>10</v>
      </c>
      <c r="C41" s="281" t="s">
        <v>311</v>
      </c>
      <c r="D41" s="218">
        <v>2009</v>
      </c>
      <c r="E41" s="285">
        <v>3659.1</v>
      </c>
      <c r="F41" s="285">
        <v>1829.6</v>
      </c>
      <c r="G41" s="286">
        <f t="shared" si="4"/>
        <v>1.999945343244425</v>
      </c>
      <c r="H41" s="286" t="s">
        <v>396</v>
      </c>
    </row>
    <row r="42" spans="1:16" x14ac:dyDescent="0.3">
      <c r="A42" s="281" t="s">
        <v>280</v>
      </c>
      <c r="B42" s="281">
        <v>10</v>
      </c>
      <c r="C42" s="281" t="s">
        <v>311</v>
      </c>
      <c r="D42" s="218">
        <v>2010</v>
      </c>
      <c r="E42" s="285">
        <v>2736.5</v>
      </c>
      <c r="F42" s="285">
        <v>4440.3</v>
      </c>
      <c r="G42" s="286">
        <f t="shared" si="4"/>
        <v>0.61628718780262592</v>
      </c>
      <c r="H42" s="286" t="s">
        <v>396</v>
      </c>
    </row>
    <row r="43" spans="1:16" x14ac:dyDescent="0.3">
      <c r="A43" s="281" t="s">
        <v>280</v>
      </c>
      <c r="B43" s="281">
        <v>10</v>
      </c>
      <c r="C43" s="281" t="s">
        <v>311</v>
      </c>
      <c r="D43" s="218">
        <v>2011</v>
      </c>
      <c r="E43" s="285">
        <v>1766.3</v>
      </c>
      <c r="F43" s="285">
        <v>4806.8999999999996</v>
      </c>
      <c r="G43" s="286">
        <f t="shared" si="4"/>
        <v>0.36745095591753524</v>
      </c>
      <c r="H43" s="286" t="s">
        <v>396</v>
      </c>
    </row>
    <row r="44" spans="1:16" s="283" customFormat="1" x14ac:dyDescent="0.3">
      <c r="A44" s="281" t="s">
        <v>280</v>
      </c>
      <c r="B44" s="281">
        <v>10</v>
      </c>
      <c r="C44" s="281" t="s">
        <v>311</v>
      </c>
      <c r="D44" s="218">
        <v>2012</v>
      </c>
      <c r="E44" s="285">
        <v>8398.6</v>
      </c>
      <c r="F44" s="285">
        <v>3813</v>
      </c>
      <c r="G44" s="286">
        <f t="shared" si="4"/>
        <v>2.20262260687123</v>
      </c>
      <c r="H44" s="286" t="s">
        <v>396</v>
      </c>
      <c r="I44"/>
    </row>
    <row r="45" spans="1:16" x14ac:dyDescent="0.3">
      <c r="A45" s="281" t="s">
        <v>280</v>
      </c>
      <c r="B45" s="281">
        <v>10</v>
      </c>
      <c r="C45" s="281" t="s">
        <v>311</v>
      </c>
      <c r="D45" s="218">
        <v>2013</v>
      </c>
      <c r="E45" s="285">
        <v>3846.2</v>
      </c>
      <c r="F45" s="285">
        <v>4250.8</v>
      </c>
      <c r="G45" s="286">
        <f t="shared" si="4"/>
        <v>0.90481791662745825</v>
      </c>
      <c r="H45" s="286" t="s">
        <v>396</v>
      </c>
    </row>
    <row r="46" spans="1:16" x14ac:dyDescent="0.3">
      <c r="A46" s="287" t="s">
        <v>280</v>
      </c>
      <c r="B46" s="287">
        <v>10</v>
      </c>
      <c r="C46" s="287" t="s">
        <v>310</v>
      </c>
      <c r="D46" s="288">
        <v>2014</v>
      </c>
      <c r="E46" s="289">
        <v>1955.3</v>
      </c>
      <c r="F46" s="289">
        <v>1547.9</v>
      </c>
      <c r="G46" s="286">
        <f t="shared" ref="G46" si="5">E46/F46</f>
        <v>1.2631952968538018</v>
      </c>
      <c r="H46" s="286" t="s">
        <v>396</v>
      </c>
    </row>
    <row r="47" spans="1:16" x14ac:dyDescent="0.3">
      <c r="A47" s="295" t="s">
        <v>280</v>
      </c>
      <c r="B47" s="295">
        <v>10</v>
      </c>
      <c r="C47" s="302" t="s">
        <v>310</v>
      </c>
      <c r="D47" s="297">
        <v>2015</v>
      </c>
      <c r="E47" s="296" t="s">
        <v>398</v>
      </c>
      <c r="F47" s="296"/>
      <c r="G47" s="303">
        <f>14/13</f>
        <v>1.0769230769230769</v>
      </c>
      <c r="H47" s="296" t="s">
        <v>439</v>
      </c>
      <c r="I47" s="218" t="s">
        <v>401</v>
      </c>
    </row>
    <row r="48" spans="1:16" x14ac:dyDescent="0.3">
      <c r="A48" s="281" t="s">
        <v>280</v>
      </c>
      <c r="B48" s="281">
        <v>11</v>
      </c>
      <c r="C48" s="281" t="s">
        <v>311</v>
      </c>
      <c r="D48" s="218">
        <v>2007</v>
      </c>
      <c r="E48" s="285">
        <v>10765.3</v>
      </c>
      <c r="F48" s="285">
        <v>14793.1</v>
      </c>
      <c r="G48" s="286">
        <f t="shared" ref="G48:G54" si="6">E48/F48</f>
        <v>0.72772441205697247</v>
      </c>
      <c r="H48" s="286" t="s">
        <v>396</v>
      </c>
    </row>
    <row r="49" spans="1:16" x14ac:dyDescent="0.3">
      <c r="A49" s="281" t="s">
        <v>280</v>
      </c>
      <c r="B49" s="281">
        <v>11</v>
      </c>
      <c r="C49" s="281" t="s">
        <v>311</v>
      </c>
      <c r="D49" s="218">
        <v>2008</v>
      </c>
      <c r="E49" s="285">
        <v>2321.4</v>
      </c>
      <c r="F49" s="285">
        <v>10381.9</v>
      </c>
      <c r="G49" s="286">
        <f t="shared" si="6"/>
        <v>0.22360068966181529</v>
      </c>
      <c r="H49" s="286" t="s">
        <v>396</v>
      </c>
    </row>
    <row r="50" spans="1:16" x14ac:dyDescent="0.3">
      <c r="A50" s="281" t="s">
        <v>280</v>
      </c>
      <c r="B50" s="281">
        <v>11</v>
      </c>
      <c r="C50" s="281" t="s">
        <v>311</v>
      </c>
      <c r="D50" s="218">
        <v>2009</v>
      </c>
      <c r="E50" s="285">
        <v>7265.4</v>
      </c>
      <c r="F50" s="285">
        <v>4914.3</v>
      </c>
      <c r="G50" s="286">
        <f t="shared" si="6"/>
        <v>1.4784201208717416</v>
      </c>
      <c r="H50" s="286" t="s">
        <v>396</v>
      </c>
    </row>
    <row r="51" spans="1:16" x14ac:dyDescent="0.3">
      <c r="A51" s="281" t="s">
        <v>280</v>
      </c>
      <c r="B51" s="281">
        <v>11</v>
      </c>
      <c r="C51" s="281" t="s">
        <v>311</v>
      </c>
      <c r="D51" s="218">
        <v>2010</v>
      </c>
      <c r="E51" s="285">
        <v>1332.2</v>
      </c>
      <c r="F51" s="285">
        <v>5634.8</v>
      </c>
      <c r="G51" s="286">
        <f t="shared" si="6"/>
        <v>0.23642365301341661</v>
      </c>
      <c r="H51" s="286" t="s">
        <v>396</v>
      </c>
    </row>
    <row r="52" spans="1:16" x14ac:dyDescent="0.3">
      <c r="A52" s="281" t="s">
        <v>280</v>
      </c>
      <c r="B52" s="281">
        <v>11</v>
      </c>
      <c r="C52" s="281" t="s">
        <v>311</v>
      </c>
      <c r="D52" s="218">
        <v>2011</v>
      </c>
      <c r="E52" s="285">
        <v>3710.3</v>
      </c>
      <c r="F52" s="285">
        <v>5229.5</v>
      </c>
      <c r="G52" s="286">
        <f t="shared" si="6"/>
        <v>0.70949421550817482</v>
      </c>
      <c r="H52" s="286" t="s">
        <v>396</v>
      </c>
    </row>
    <row r="53" spans="1:16" s="283" customFormat="1" x14ac:dyDescent="0.3">
      <c r="A53" s="281" t="s">
        <v>280</v>
      </c>
      <c r="B53" s="281">
        <v>11</v>
      </c>
      <c r="C53" s="281" t="s">
        <v>311</v>
      </c>
      <c r="D53" s="218">
        <v>2012</v>
      </c>
      <c r="E53" s="285">
        <v>3893.2</v>
      </c>
      <c r="F53" s="285">
        <v>8347.2000000000007</v>
      </c>
      <c r="G53" s="286">
        <f t="shared" si="6"/>
        <v>0.46640789725896104</v>
      </c>
      <c r="H53" s="286" t="s">
        <v>396</v>
      </c>
      <c r="I53"/>
    </row>
    <row r="54" spans="1:16" x14ac:dyDescent="0.3">
      <c r="A54" s="281" t="s">
        <v>280</v>
      </c>
      <c r="B54" s="281">
        <v>11</v>
      </c>
      <c r="C54" s="281" t="s">
        <v>311</v>
      </c>
      <c r="D54" s="218">
        <v>2013</v>
      </c>
      <c r="E54" s="285">
        <v>1937.5</v>
      </c>
      <c r="F54" s="285">
        <v>4836.8999999999996</v>
      </c>
      <c r="G54" s="286">
        <f t="shared" si="6"/>
        <v>0.40056647852963678</v>
      </c>
      <c r="H54" s="286" t="s">
        <v>396</v>
      </c>
    </row>
    <row r="55" spans="1:16" x14ac:dyDescent="0.3">
      <c r="A55" s="287" t="s">
        <v>280</v>
      </c>
      <c r="B55" s="287">
        <v>11</v>
      </c>
      <c r="C55" s="287" t="s">
        <v>310</v>
      </c>
      <c r="D55" s="288">
        <v>2014</v>
      </c>
      <c r="E55" s="289">
        <v>3014.2</v>
      </c>
      <c r="F55" s="289">
        <v>4952</v>
      </c>
      <c r="G55" s="286">
        <f t="shared" ref="G55:G65" si="7">E55/F55</f>
        <v>0.60868336025848135</v>
      </c>
      <c r="H55" s="286" t="s">
        <v>396</v>
      </c>
    </row>
    <row r="56" spans="1:16" s="283" customFormat="1" x14ac:dyDescent="0.3">
      <c r="A56" s="295" t="s">
        <v>280</v>
      </c>
      <c r="B56" s="295">
        <v>11</v>
      </c>
      <c r="C56" s="302" t="s">
        <v>310</v>
      </c>
      <c r="D56" s="297">
        <v>2015</v>
      </c>
      <c r="E56" s="299">
        <f>2532+1602</f>
        <v>4134</v>
      </c>
      <c r="F56" s="299">
        <f>1663+758</f>
        <v>2421</v>
      </c>
      <c r="G56" s="303">
        <f t="shared" si="7"/>
        <v>1.7075588599752169</v>
      </c>
      <c r="H56" s="296" t="s">
        <v>475</v>
      </c>
      <c r="I56" s="218" t="s">
        <v>401</v>
      </c>
    </row>
    <row r="57" spans="1:16" s="283" customFormat="1" x14ac:dyDescent="0.3">
      <c r="A57" s="287" t="s">
        <v>280</v>
      </c>
      <c r="B57" s="287">
        <v>13</v>
      </c>
      <c r="C57" s="287" t="s">
        <v>311</v>
      </c>
      <c r="D57" s="288">
        <v>2007</v>
      </c>
      <c r="E57" s="283">
        <v>3104</v>
      </c>
      <c r="F57" s="283">
        <v>5518</v>
      </c>
      <c r="G57" s="286">
        <f t="shared" si="7"/>
        <v>0.5625226531351939</v>
      </c>
      <c r="H57" s="330" t="s">
        <v>397</v>
      </c>
    </row>
    <row r="58" spans="1:16" s="112" customFormat="1" x14ac:dyDescent="0.3">
      <c r="A58" s="287" t="s">
        <v>280</v>
      </c>
      <c r="B58" s="287">
        <v>13</v>
      </c>
      <c r="C58" s="287" t="s">
        <v>311</v>
      </c>
      <c r="D58" s="288">
        <v>2008</v>
      </c>
      <c r="E58" s="112">
        <v>344</v>
      </c>
      <c r="F58" s="112">
        <v>1722</v>
      </c>
      <c r="G58" s="286">
        <f t="shared" si="7"/>
        <v>0.19976771196283391</v>
      </c>
      <c r="H58" s="330" t="s">
        <v>397</v>
      </c>
      <c r="J58" s="283"/>
      <c r="N58" s="283"/>
      <c r="O58" s="283"/>
      <c r="P58" s="283"/>
    </row>
    <row r="59" spans="1:16" x14ac:dyDescent="0.3">
      <c r="A59" s="287" t="s">
        <v>280</v>
      </c>
      <c r="B59" s="287">
        <v>13</v>
      </c>
      <c r="C59" s="287" t="s">
        <v>311</v>
      </c>
      <c r="D59" s="288">
        <v>2009</v>
      </c>
      <c r="E59">
        <v>1619</v>
      </c>
      <c r="F59">
        <v>2506</v>
      </c>
      <c r="G59" s="286">
        <f t="shared" si="7"/>
        <v>0.64604948124501194</v>
      </c>
      <c r="H59" s="330" t="s">
        <v>397</v>
      </c>
      <c r="N59" s="283"/>
      <c r="O59" s="283"/>
      <c r="P59" s="283"/>
    </row>
    <row r="60" spans="1:16" x14ac:dyDescent="0.3">
      <c r="A60" s="287" t="s">
        <v>280</v>
      </c>
      <c r="B60" s="287">
        <v>13</v>
      </c>
      <c r="C60" s="287" t="s">
        <v>311</v>
      </c>
      <c r="D60" s="288">
        <v>2010</v>
      </c>
      <c r="E60">
        <v>141</v>
      </c>
      <c r="F60">
        <v>849</v>
      </c>
      <c r="G60" s="286">
        <f t="shared" si="7"/>
        <v>0.16607773851590105</v>
      </c>
      <c r="H60" s="330" t="s">
        <v>397</v>
      </c>
      <c r="N60" s="283"/>
      <c r="O60" s="283"/>
      <c r="P60" s="283"/>
    </row>
    <row r="61" spans="1:16" x14ac:dyDescent="0.3">
      <c r="A61" s="287" t="s">
        <v>280</v>
      </c>
      <c r="B61" s="287">
        <v>13</v>
      </c>
      <c r="C61" s="287" t="s">
        <v>311</v>
      </c>
      <c r="D61" s="288">
        <v>2011</v>
      </c>
      <c r="E61">
        <v>314</v>
      </c>
      <c r="F61">
        <v>1547</v>
      </c>
      <c r="G61" s="286">
        <f t="shared" si="7"/>
        <v>0.20297349709114415</v>
      </c>
      <c r="H61" s="330" t="s">
        <v>397</v>
      </c>
      <c r="N61" s="283"/>
      <c r="O61" s="283"/>
      <c r="P61" s="283"/>
    </row>
    <row r="62" spans="1:16" x14ac:dyDescent="0.3">
      <c r="A62" s="287" t="s">
        <v>280</v>
      </c>
      <c r="B62" s="287">
        <v>13</v>
      </c>
      <c r="C62" s="5" t="s">
        <v>311</v>
      </c>
      <c r="D62" s="283">
        <v>2012</v>
      </c>
      <c r="E62" s="283">
        <v>962</v>
      </c>
      <c r="F62" s="283">
        <v>1565</v>
      </c>
      <c r="G62" s="120">
        <f t="shared" si="7"/>
        <v>0.61469648562300316</v>
      </c>
      <c r="H62" s="330" t="s">
        <v>397</v>
      </c>
      <c r="N62" s="283"/>
      <c r="O62" s="283"/>
      <c r="P62" s="283"/>
    </row>
    <row r="63" spans="1:16" x14ac:dyDescent="0.3">
      <c r="A63" s="287" t="s">
        <v>280</v>
      </c>
      <c r="B63" s="287">
        <v>13</v>
      </c>
      <c r="C63" s="287" t="s">
        <v>311</v>
      </c>
      <c r="D63" s="288">
        <v>2013</v>
      </c>
      <c r="E63">
        <v>358</v>
      </c>
      <c r="F63">
        <v>1979</v>
      </c>
      <c r="G63" s="286">
        <v>0.18089944416371906</v>
      </c>
      <c r="H63" s="330" t="s">
        <v>397</v>
      </c>
    </row>
    <row r="64" spans="1:16" x14ac:dyDescent="0.3">
      <c r="A64" s="287" t="s">
        <v>280</v>
      </c>
      <c r="B64" s="287">
        <v>13</v>
      </c>
      <c r="C64" s="287" t="s">
        <v>310</v>
      </c>
      <c r="D64" s="337">
        <v>2014</v>
      </c>
      <c r="E64" s="335">
        <v>1</v>
      </c>
      <c r="F64" s="335">
        <v>16</v>
      </c>
      <c r="G64" s="336">
        <f t="shared" si="7"/>
        <v>6.25E-2</v>
      </c>
      <c r="H64" s="330" t="s">
        <v>440</v>
      </c>
    </row>
    <row r="65" spans="1:10" x14ac:dyDescent="0.3">
      <c r="A65" s="331" t="s">
        <v>280</v>
      </c>
      <c r="B65" s="331">
        <v>13</v>
      </c>
      <c r="C65" s="331" t="s">
        <v>310</v>
      </c>
      <c r="D65" s="333">
        <v>2015</v>
      </c>
      <c r="E65" s="332">
        <v>6</v>
      </c>
      <c r="F65" s="332">
        <v>19</v>
      </c>
      <c r="G65" s="334">
        <f t="shared" si="7"/>
        <v>0.31578947368421051</v>
      </c>
      <c r="H65" s="332" t="s">
        <v>476</v>
      </c>
    </row>
    <row r="66" spans="1:10" s="283" customFormat="1" x14ac:dyDescent="0.3">
      <c r="A66" s="281" t="s">
        <v>281</v>
      </c>
      <c r="B66" s="281">
        <v>6</v>
      </c>
      <c r="C66" s="281" t="s">
        <v>311</v>
      </c>
      <c r="D66" s="218" t="s">
        <v>414</v>
      </c>
      <c r="E66" s="285">
        <v>464.2</v>
      </c>
      <c r="F66" s="285">
        <v>2009.9</v>
      </c>
      <c r="G66" s="286">
        <f>E66/F66</f>
        <v>0.23095676401811033</v>
      </c>
      <c r="H66" s="286" t="s">
        <v>396</v>
      </c>
      <c r="I66"/>
    </row>
    <row r="67" spans="1:10" x14ac:dyDescent="0.3">
      <c r="A67" s="287" t="s">
        <v>281</v>
      </c>
      <c r="B67" s="287">
        <v>6</v>
      </c>
      <c r="C67" s="287" t="s">
        <v>311</v>
      </c>
      <c r="D67" s="288" t="s">
        <v>415</v>
      </c>
      <c r="E67" s="289">
        <v>978.4</v>
      </c>
      <c r="F67" s="289">
        <v>2818.4</v>
      </c>
      <c r="G67" s="286">
        <f>E67/F67</f>
        <v>0.34714731762702239</v>
      </c>
      <c r="H67" s="286" t="s">
        <v>396</v>
      </c>
    </row>
    <row r="68" spans="1:10" x14ac:dyDescent="0.3">
      <c r="A68" s="287" t="s">
        <v>281</v>
      </c>
      <c r="B68" s="287">
        <v>6</v>
      </c>
      <c r="C68" s="287" t="s">
        <v>311</v>
      </c>
      <c r="D68" s="288" t="s">
        <v>426</v>
      </c>
      <c r="E68" s="289">
        <v>1392.4</v>
      </c>
      <c r="F68" s="289">
        <v>2966</v>
      </c>
      <c r="G68" s="286">
        <f>E68/F68</f>
        <v>0.46945380984490898</v>
      </c>
      <c r="H68" s="286" t="s">
        <v>396</v>
      </c>
      <c r="I68" s="218" t="s">
        <v>401</v>
      </c>
    </row>
    <row r="69" spans="1:10" s="112" customFormat="1" x14ac:dyDescent="0.3">
      <c r="A69" s="295" t="s">
        <v>281</v>
      </c>
      <c r="B69" s="295">
        <v>6</v>
      </c>
      <c r="C69" s="302" t="s">
        <v>311</v>
      </c>
      <c r="D69" s="297" t="s">
        <v>427</v>
      </c>
      <c r="E69" s="296" t="s">
        <v>394</v>
      </c>
      <c r="F69" s="296"/>
      <c r="G69" s="323">
        <f>88/20</f>
        <v>4.4000000000000004</v>
      </c>
      <c r="H69" s="303"/>
      <c r="I69" s="218" t="s">
        <v>402</v>
      </c>
      <c r="J69" s="283"/>
    </row>
    <row r="70" spans="1:10" x14ac:dyDescent="0.3">
      <c r="A70" s="281" t="s">
        <v>281</v>
      </c>
      <c r="B70" s="281">
        <v>7</v>
      </c>
      <c r="C70" s="281" t="s">
        <v>311</v>
      </c>
      <c r="D70" s="218" t="s">
        <v>409</v>
      </c>
      <c r="E70" s="285">
        <v>422.8</v>
      </c>
      <c r="F70" s="285">
        <v>2544.1999999999998</v>
      </c>
      <c r="G70" s="286">
        <f t="shared" ref="G70:G75" si="8">E70/F70</f>
        <v>0.16618190393836965</v>
      </c>
      <c r="H70" s="286" t="s">
        <v>396</v>
      </c>
      <c r="I70" s="112"/>
    </row>
    <row r="71" spans="1:10" x14ac:dyDescent="0.3">
      <c r="A71" s="281" t="s">
        <v>281</v>
      </c>
      <c r="B71" s="281">
        <v>7</v>
      </c>
      <c r="C71" s="281" t="s">
        <v>311</v>
      </c>
      <c r="D71" s="218" t="s">
        <v>410</v>
      </c>
      <c r="E71" s="285">
        <v>179.3</v>
      </c>
      <c r="F71" s="285">
        <v>2455.9</v>
      </c>
      <c r="G71" s="286">
        <f t="shared" si="8"/>
        <v>7.3007858626165559E-2</v>
      </c>
      <c r="H71" s="286" t="s">
        <v>396</v>
      </c>
    </row>
    <row r="72" spans="1:10" x14ac:dyDescent="0.3">
      <c r="A72" s="281" t="s">
        <v>281</v>
      </c>
      <c r="B72" s="281">
        <v>7</v>
      </c>
      <c r="C72" s="281" t="s">
        <v>311</v>
      </c>
      <c r="D72" s="218" t="s">
        <v>411</v>
      </c>
      <c r="E72" s="285">
        <v>243.5</v>
      </c>
      <c r="F72" s="285">
        <v>2296.9</v>
      </c>
      <c r="G72" s="286">
        <f t="shared" si="8"/>
        <v>0.10601245156515303</v>
      </c>
      <c r="H72" s="286" t="s">
        <v>396</v>
      </c>
    </row>
    <row r="73" spans="1:10" x14ac:dyDescent="0.3">
      <c r="A73" s="281" t="s">
        <v>281</v>
      </c>
      <c r="B73" s="281">
        <v>7</v>
      </c>
      <c r="C73" s="281" t="s">
        <v>311</v>
      </c>
      <c r="D73" s="218" t="s">
        <v>412</v>
      </c>
      <c r="E73" s="285">
        <v>1066.5999999999999</v>
      </c>
      <c r="F73" s="285">
        <v>4733</v>
      </c>
      <c r="G73" s="286">
        <f t="shared" si="8"/>
        <v>0.22535389816184237</v>
      </c>
      <c r="H73" s="286" t="s">
        <v>396</v>
      </c>
    </row>
    <row r="74" spans="1:10" x14ac:dyDescent="0.3">
      <c r="A74" s="281" t="s">
        <v>281</v>
      </c>
      <c r="B74" s="281">
        <v>7</v>
      </c>
      <c r="C74" s="281" t="s">
        <v>311</v>
      </c>
      <c r="D74" s="218" t="s">
        <v>413</v>
      </c>
      <c r="E74" s="285">
        <v>2666.8</v>
      </c>
      <c r="F74" s="285">
        <v>4158.3999999999996</v>
      </c>
      <c r="G74" s="286">
        <f t="shared" si="8"/>
        <v>0.64130434782608703</v>
      </c>
      <c r="H74" s="286" t="s">
        <v>396</v>
      </c>
      <c r="I74" s="112"/>
    </row>
    <row r="75" spans="1:10" x14ac:dyDescent="0.3">
      <c r="A75" s="281" t="s">
        <v>281</v>
      </c>
      <c r="B75" s="281">
        <v>7</v>
      </c>
      <c r="C75" s="281" t="s">
        <v>311</v>
      </c>
      <c r="D75" s="218" t="s">
        <v>414</v>
      </c>
      <c r="E75" s="285">
        <v>1255.4000000000001</v>
      </c>
      <c r="F75" s="285">
        <v>5354</v>
      </c>
      <c r="G75" s="286">
        <f t="shared" si="8"/>
        <v>0.23447889428464702</v>
      </c>
      <c r="H75" s="286" t="s">
        <v>396</v>
      </c>
      <c r="I75" s="283"/>
    </row>
    <row r="76" spans="1:10" x14ac:dyDescent="0.3">
      <c r="A76" s="287" t="s">
        <v>281</v>
      </c>
      <c r="B76" s="287">
        <v>7</v>
      </c>
      <c r="C76" s="287" t="s">
        <v>311</v>
      </c>
      <c r="D76" s="288" t="s">
        <v>415</v>
      </c>
      <c r="E76" s="289">
        <v>1519.6</v>
      </c>
      <c r="F76" s="289">
        <v>5462.3</v>
      </c>
      <c r="G76" s="286">
        <f t="shared" ref="G76:G77" si="9">E76/F76</f>
        <v>0.2781978287534555</v>
      </c>
      <c r="H76" s="286" t="s">
        <v>396</v>
      </c>
      <c r="I76" s="286"/>
    </row>
    <row r="77" spans="1:10" s="101" customFormat="1" x14ac:dyDescent="0.3">
      <c r="A77" s="287" t="s">
        <v>281</v>
      </c>
      <c r="B77" s="287">
        <v>7</v>
      </c>
      <c r="C77" s="287" t="s">
        <v>310</v>
      </c>
      <c r="D77" s="288" t="s">
        <v>426</v>
      </c>
      <c r="E77" s="289">
        <v>4980.5</v>
      </c>
      <c r="F77" s="289">
        <v>5011.8999999999996</v>
      </c>
      <c r="G77" s="286">
        <f t="shared" si="9"/>
        <v>0.99373491091202948</v>
      </c>
      <c r="H77" s="286" t="s">
        <v>396</v>
      </c>
      <c r="I77" s="218" t="s">
        <v>401</v>
      </c>
      <c r="J77" s="283"/>
    </row>
    <row r="78" spans="1:10" s="112" customFormat="1" x14ac:dyDescent="0.3">
      <c r="A78" s="295" t="s">
        <v>281</v>
      </c>
      <c r="B78" s="295">
        <v>7</v>
      </c>
      <c r="C78" s="302" t="s">
        <v>310</v>
      </c>
      <c r="D78" s="297" t="s">
        <v>427</v>
      </c>
      <c r="E78" s="296" t="s">
        <v>394</v>
      </c>
      <c r="F78" s="296"/>
      <c r="G78" s="323">
        <f>46/21</f>
        <v>2.1904761904761907</v>
      </c>
      <c r="H78" s="303"/>
      <c r="I78" s="218" t="s">
        <v>402</v>
      </c>
      <c r="J78" s="283"/>
    </row>
    <row r="79" spans="1:10" x14ac:dyDescent="0.3">
      <c r="A79" s="281" t="s">
        <v>281</v>
      </c>
      <c r="B79" s="281">
        <v>8</v>
      </c>
      <c r="C79" s="281" t="s">
        <v>310</v>
      </c>
      <c r="D79" s="218" t="s">
        <v>407</v>
      </c>
      <c r="E79" s="285">
        <v>3994.8</v>
      </c>
      <c r="F79" s="285">
        <v>2034.9</v>
      </c>
      <c r="G79" s="286">
        <f t="shared" ref="G79:G86" si="10">E79/F79</f>
        <v>1.9631431519976412</v>
      </c>
      <c r="H79" s="286" t="s">
        <v>396</v>
      </c>
      <c r="I79" s="283"/>
    </row>
    <row r="80" spans="1:10" x14ac:dyDescent="0.3">
      <c r="A80" s="281" t="s">
        <v>281</v>
      </c>
      <c r="B80" s="281">
        <v>8</v>
      </c>
      <c r="C80" s="281" t="s">
        <v>310</v>
      </c>
      <c r="D80" s="218" t="s">
        <v>408</v>
      </c>
      <c r="E80" s="285">
        <v>18326.5</v>
      </c>
      <c r="F80" s="285">
        <v>1525.1</v>
      </c>
      <c r="G80" s="286">
        <f t="shared" si="10"/>
        <v>12.016589076126156</v>
      </c>
      <c r="H80" s="286" t="s">
        <v>396</v>
      </c>
      <c r="I80" s="283"/>
      <c r="J80" s="101"/>
    </row>
    <row r="81" spans="1:10" x14ac:dyDescent="0.3">
      <c r="A81" s="281" t="s">
        <v>281</v>
      </c>
      <c r="B81" s="281">
        <v>8</v>
      </c>
      <c r="C81" s="281" t="s">
        <v>311</v>
      </c>
      <c r="D81" s="218" t="s">
        <v>409</v>
      </c>
      <c r="E81" s="285">
        <v>3281</v>
      </c>
      <c r="F81" s="285">
        <v>2146.8000000000002</v>
      </c>
      <c r="G81" s="286">
        <f t="shared" si="10"/>
        <v>1.5283212222843301</v>
      </c>
      <c r="H81" s="286" t="s">
        <v>396</v>
      </c>
      <c r="I81" s="283"/>
    </row>
    <row r="82" spans="1:10" x14ac:dyDescent="0.3">
      <c r="A82" s="281" t="s">
        <v>281</v>
      </c>
      <c r="B82" s="281">
        <v>8</v>
      </c>
      <c r="C82" s="281" t="s">
        <v>311</v>
      </c>
      <c r="D82" s="218" t="s">
        <v>410</v>
      </c>
      <c r="E82" s="285">
        <v>4412.2</v>
      </c>
      <c r="F82" s="285">
        <v>1117.5</v>
      </c>
      <c r="G82" s="286">
        <f t="shared" si="10"/>
        <v>3.9482774049217002</v>
      </c>
      <c r="H82" s="286" t="s">
        <v>396</v>
      </c>
      <c r="I82" s="283"/>
    </row>
    <row r="83" spans="1:10" x14ac:dyDescent="0.3">
      <c r="A83" s="281" t="s">
        <v>281</v>
      </c>
      <c r="B83" s="281">
        <v>8</v>
      </c>
      <c r="C83" s="281" t="s">
        <v>311</v>
      </c>
      <c r="D83" s="218" t="s">
        <v>411</v>
      </c>
      <c r="E83" s="285">
        <v>2615.3000000000002</v>
      </c>
      <c r="F83" s="285">
        <v>1452.9</v>
      </c>
      <c r="G83" s="286">
        <f t="shared" si="10"/>
        <v>1.8000550622892146</v>
      </c>
      <c r="H83" s="286" t="s">
        <v>396</v>
      </c>
      <c r="I83" s="283"/>
    </row>
    <row r="84" spans="1:10" x14ac:dyDescent="0.3">
      <c r="A84" s="281" t="s">
        <v>281</v>
      </c>
      <c r="B84" s="281">
        <v>8</v>
      </c>
      <c r="C84" s="281" t="s">
        <v>311</v>
      </c>
      <c r="D84" s="218" t="s">
        <v>412</v>
      </c>
      <c r="E84" s="285">
        <v>385.6</v>
      </c>
      <c r="F84" s="285">
        <v>265.2</v>
      </c>
      <c r="G84" s="286">
        <f t="shared" si="10"/>
        <v>1.4539969834087483</v>
      </c>
      <c r="H84" s="286" t="s">
        <v>396</v>
      </c>
      <c r="I84" s="283"/>
    </row>
    <row r="85" spans="1:10" x14ac:dyDescent="0.3">
      <c r="A85" s="281" t="s">
        <v>281</v>
      </c>
      <c r="B85" s="281">
        <v>8</v>
      </c>
      <c r="C85" s="281" t="s">
        <v>311</v>
      </c>
      <c r="D85" s="218" t="s">
        <v>413</v>
      </c>
      <c r="E85" s="285">
        <v>3567.9</v>
      </c>
      <c r="F85" s="285">
        <v>1263.5999999999999</v>
      </c>
      <c r="G85" s="286">
        <f t="shared" si="10"/>
        <v>2.8235992402659074</v>
      </c>
      <c r="H85" s="286" t="s">
        <v>396</v>
      </c>
      <c r="I85" s="283"/>
    </row>
    <row r="86" spans="1:10" s="101" customFormat="1" x14ac:dyDescent="0.3">
      <c r="A86" s="281" t="s">
        <v>281</v>
      </c>
      <c r="B86" s="281">
        <v>8</v>
      </c>
      <c r="C86" s="281" t="s">
        <v>311</v>
      </c>
      <c r="D86" s="218" t="s">
        <v>414</v>
      </c>
      <c r="E86" s="285">
        <v>4132.8999999999996</v>
      </c>
      <c r="F86" s="285">
        <v>929.9</v>
      </c>
      <c r="G86" s="286">
        <f t="shared" si="10"/>
        <v>4.4444563931605545</v>
      </c>
      <c r="H86" s="286" t="s">
        <v>396</v>
      </c>
      <c r="I86" s="283"/>
      <c r="J86" s="283"/>
    </row>
    <row r="87" spans="1:10" s="112" customFormat="1" x14ac:dyDescent="0.3">
      <c r="A87" s="287" t="s">
        <v>281</v>
      </c>
      <c r="B87" s="287">
        <v>8</v>
      </c>
      <c r="C87" s="287" t="s">
        <v>311</v>
      </c>
      <c r="D87" s="288" t="s">
        <v>415</v>
      </c>
      <c r="E87" s="289">
        <v>528.5</v>
      </c>
      <c r="F87" s="289">
        <v>697</v>
      </c>
      <c r="G87" s="286">
        <f t="shared" ref="G87:G88" si="11">E87/F87</f>
        <v>0.75824964131994266</v>
      </c>
      <c r="H87" s="286" t="s">
        <v>396</v>
      </c>
      <c r="I87" s="283"/>
      <c r="J87" s="283"/>
    </row>
    <row r="88" spans="1:10" x14ac:dyDescent="0.3">
      <c r="A88" s="287" t="s">
        <v>281</v>
      </c>
      <c r="B88" s="287">
        <v>8</v>
      </c>
      <c r="C88" s="287" t="s">
        <v>310</v>
      </c>
      <c r="D88" s="288" t="s">
        <v>426</v>
      </c>
      <c r="E88" s="289">
        <v>2396.5</v>
      </c>
      <c r="F88" s="289">
        <v>463.8</v>
      </c>
      <c r="G88" s="286">
        <f t="shared" si="11"/>
        <v>5.1670978870202671</v>
      </c>
      <c r="H88" s="218" t="s">
        <v>396</v>
      </c>
      <c r="I88" s="283"/>
    </row>
    <row r="89" spans="1:10" x14ac:dyDescent="0.3">
      <c r="A89" s="295" t="s">
        <v>281</v>
      </c>
      <c r="B89" s="295">
        <v>8</v>
      </c>
      <c r="C89" s="302" t="s">
        <v>310</v>
      </c>
      <c r="D89" s="297" t="s">
        <v>427</v>
      </c>
      <c r="E89" s="296" t="s">
        <v>394</v>
      </c>
      <c r="F89" s="296"/>
      <c r="G89" s="323">
        <f>77/9</f>
        <v>8.5555555555555554</v>
      </c>
      <c r="H89" s="303"/>
      <c r="I89" s="218" t="s">
        <v>402</v>
      </c>
      <c r="J89" s="101"/>
    </row>
    <row r="90" spans="1:10" x14ac:dyDescent="0.3">
      <c r="A90" s="281" t="s">
        <v>281</v>
      </c>
      <c r="B90" s="281">
        <v>9</v>
      </c>
      <c r="C90" s="281" t="s">
        <v>311</v>
      </c>
      <c r="D90" s="218" t="s">
        <v>409</v>
      </c>
      <c r="E90" s="285">
        <v>1736.3</v>
      </c>
      <c r="F90" s="285">
        <v>1835.8</v>
      </c>
      <c r="G90" s="286">
        <f t="shared" ref="G90:G95" si="12">E90/F90</f>
        <v>0.94580019609979304</v>
      </c>
      <c r="H90" s="218" t="s">
        <v>396</v>
      </c>
      <c r="I90" s="283"/>
    </row>
    <row r="91" spans="1:10" x14ac:dyDescent="0.3">
      <c r="A91" s="281" t="s">
        <v>281</v>
      </c>
      <c r="B91" s="281">
        <v>9</v>
      </c>
      <c r="C91" s="281" t="s">
        <v>311</v>
      </c>
      <c r="D91" s="218" t="s">
        <v>410</v>
      </c>
      <c r="E91" s="285">
        <v>6427.1</v>
      </c>
      <c r="F91" s="285">
        <v>1199.8</v>
      </c>
      <c r="G91" s="286">
        <f t="shared" si="12"/>
        <v>5.3568094682447081</v>
      </c>
      <c r="H91" s="218" t="s">
        <v>396</v>
      </c>
      <c r="I91" s="283"/>
    </row>
    <row r="92" spans="1:10" x14ac:dyDescent="0.3">
      <c r="A92" s="281" t="s">
        <v>281</v>
      </c>
      <c r="B92" s="281">
        <v>9</v>
      </c>
      <c r="C92" s="281" t="s">
        <v>311</v>
      </c>
      <c r="D92" s="218" t="s">
        <v>411</v>
      </c>
      <c r="E92" s="285">
        <v>2906.1</v>
      </c>
      <c r="F92" s="285">
        <v>2050.1</v>
      </c>
      <c r="G92" s="286">
        <f t="shared" si="12"/>
        <v>1.4175406077752304</v>
      </c>
      <c r="H92" s="218" t="s">
        <v>396</v>
      </c>
      <c r="I92" s="283"/>
    </row>
    <row r="93" spans="1:10" x14ac:dyDescent="0.3">
      <c r="A93" s="281" t="s">
        <v>281</v>
      </c>
      <c r="B93" s="281">
        <v>9</v>
      </c>
      <c r="C93" s="281" t="s">
        <v>311</v>
      </c>
      <c r="D93" s="218" t="s">
        <v>412</v>
      </c>
      <c r="E93" s="285">
        <v>1019.2</v>
      </c>
      <c r="F93" s="285">
        <v>624</v>
      </c>
      <c r="G93" s="286">
        <f t="shared" si="12"/>
        <v>1.6333333333333333</v>
      </c>
      <c r="H93" s="218" t="s">
        <v>396</v>
      </c>
      <c r="I93" s="283"/>
    </row>
    <row r="94" spans="1:10" x14ac:dyDescent="0.3">
      <c r="A94" s="281" t="s">
        <v>281</v>
      </c>
      <c r="B94" s="281">
        <v>9</v>
      </c>
      <c r="C94" s="281" t="s">
        <v>311</v>
      </c>
      <c r="D94" s="218" t="s">
        <v>413</v>
      </c>
      <c r="E94" s="285">
        <v>2017.8</v>
      </c>
      <c r="F94" s="285">
        <v>624.29999999999995</v>
      </c>
      <c r="G94" s="286">
        <f t="shared" si="12"/>
        <v>3.2320999519461799</v>
      </c>
      <c r="H94" s="218" t="s">
        <v>396</v>
      </c>
      <c r="I94" s="283"/>
    </row>
    <row r="95" spans="1:10" s="101" customFormat="1" x14ac:dyDescent="0.3">
      <c r="A95" s="281" t="s">
        <v>281</v>
      </c>
      <c r="B95" s="281">
        <v>9</v>
      </c>
      <c r="C95" s="281" t="s">
        <v>311</v>
      </c>
      <c r="D95" s="218" t="s">
        <v>414</v>
      </c>
      <c r="E95" s="285">
        <v>3652.3</v>
      </c>
      <c r="F95" s="285">
        <v>2197</v>
      </c>
      <c r="G95" s="286">
        <f t="shared" si="12"/>
        <v>1.6624032771961768</v>
      </c>
      <c r="H95" s="218" t="s">
        <v>396</v>
      </c>
      <c r="I95" s="283"/>
      <c r="J95" s="283"/>
    </row>
    <row r="96" spans="1:10" x14ac:dyDescent="0.3">
      <c r="A96" s="287" t="s">
        <v>281</v>
      </c>
      <c r="B96" s="287">
        <v>9</v>
      </c>
      <c r="C96" s="287" t="s">
        <v>311</v>
      </c>
      <c r="D96" s="288" t="s">
        <v>415</v>
      </c>
      <c r="E96" s="289">
        <v>3151.5</v>
      </c>
      <c r="F96" s="289">
        <v>3069.3</v>
      </c>
      <c r="G96" s="286">
        <f t="shared" ref="G96:G97" si="13">E96/F96</f>
        <v>1.0267813507965986</v>
      </c>
      <c r="H96" s="218" t="s">
        <v>396</v>
      </c>
      <c r="I96" s="283"/>
    </row>
    <row r="97" spans="1:10" x14ac:dyDescent="0.3">
      <c r="A97" s="287" t="s">
        <v>281</v>
      </c>
      <c r="B97" s="287">
        <v>9</v>
      </c>
      <c r="C97" s="287" t="s">
        <v>310</v>
      </c>
      <c r="D97" s="288" t="s">
        <v>426</v>
      </c>
      <c r="E97" s="289">
        <v>3278.8</v>
      </c>
      <c r="F97" s="289">
        <v>2148.1999999999998</v>
      </c>
      <c r="G97" s="286">
        <f t="shared" si="13"/>
        <v>1.5263010892840521</v>
      </c>
      <c r="H97" s="218" t="s">
        <v>396</v>
      </c>
      <c r="I97" s="283"/>
    </row>
    <row r="98" spans="1:10" x14ac:dyDescent="0.3">
      <c r="A98" s="295" t="s">
        <v>281</v>
      </c>
      <c r="B98" s="295">
        <v>9</v>
      </c>
      <c r="C98" s="302" t="s">
        <v>310</v>
      </c>
      <c r="D98" s="297" t="s">
        <v>427</v>
      </c>
      <c r="E98" s="296" t="s">
        <v>394</v>
      </c>
      <c r="F98" s="296"/>
      <c r="G98" s="323">
        <f>130/15</f>
        <v>8.6666666666666661</v>
      </c>
      <c r="H98" s="303"/>
      <c r="I98" s="218" t="s">
        <v>402</v>
      </c>
      <c r="J98" s="101"/>
    </row>
    <row r="99" spans="1:10" x14ac:dyDescent="0.3">
      <c r="A99" s="281" t="s">
        <v>281</v>
      </c>
      <c r="B99" s="281">
        <v>10</v>
      </c>
      <c r="C99" s="281" t="s">
        <v>311</v>
      </c>
      <c r="D99" s="218" t="s">
        <v>409</v>
      </c>
      <c r="E99" s="285">
        <v>2318.9</v>
      </c>
      <c r="F99" s="285">
        <v>804.1</v>
      </c>
      <c r="G99" s="286">
        <f t="shared" ref="G99:G104" si="14">E99/F99</f>
        <v>2.8838452928740206</v>
      </c>
      <c r="H99" s="218" t="s">
        <v>396</v>
      </c>
      <c r="I99" s="283"/>
    </row>
    <row r="100" spans="1:10" x14ac:dyDescent="0.3">
      <c r="A100" s="281" t="s">
        <v>281</v>
      </c>
      <c r="B100" s="281">
        <v>10</v>
      </c>
      <c r="C100" s="281" t="s">
        <v>311</v>
      </c>
      <c r="D100" s="218" t="s">
        <v>410</v>
      </c>
      <c r="E100" s="285">
        <v>1496.2</v>
      </c>
      <c r="F100" s="285">
        <v>324.5</v>
      </c>
      <c r="G100" s="286">
        <f t="shared" si="14"/>
        <v>4.6107858243451467</v>
      </c>
      <c r="H100" s="218" t="s">
        <v>396</v>
      </c>
      <c r="I100" s="283"/>
    </row>
    <row r="101" spans="1:10" x14ac:dyDescent="0.3">
      <c r="A101" s="281" t="s">
        <v>281</v>
      </c>
      <c r="B101" s="281">
        <v>10</v>
      </c>
      <c r="C101" s="281" t="s">
        <v>311</v>
      </c>
      <c r="D101" s="218" t="s">
        <v>411</v>
      </c>
      <c r="E101" s="285">
        <v>3473.1</v>
      </c>
      <c r="F101" s="285">
        <v>492.1</v>
      </c>
      <c r="G101" s="286">
        <f t="shared" si="14"/>
        <v>7.0577118471855309</v>
      </c>
      <c r="H101" s="218" t="s">
        <v>396</v>
      </c>
      <c r="I101" s="283"/>
      <c r="J101" s="101"/>
    </row>
    <row r="102" spans="1:10" x14ac:dyDescent="0.3">
      <c r="A102" s="281" t="s">
        <v>281</v>
      </c>
      <c r="B102" s="281">
        <v>10</v>
      </c>
      <c r="C102" s="281" t="s">
        <v>311</v>
      </c>
      <c r="D102" s="218" t="s">
        <v>412</v>
      </c>
      <c r="E102" s="285">
        <v>1593.9</v>
      </c>
      <c r="F102" s="285">
        <v>235.8</v>
      </c>
      <c r="G102" s="286">
        <f t="shared" si="14"/>
        <v>6.7595419847328246</v>
      </c>
      <c r="H102" s="218" t="s">
        <v>396</v>
      </c>
      <c r="I102" s="283"/>
    </row>
    <row r="103" spans="1:10" x14ac:dyDescent="0.3">
      <c r="A103" s="281" t="s">
        <v>281</v>
      </c>
      <c r="B103" s="281">
        <v>10</v>
      </c>
      <c r="C103" s="281" t="s">
        <v>311</v>
      </c>
      <c r="D103" s="218" t="s">
        <v>413</v>
      </c>
      <c r="E103" s="285">
        <v>4125.1000000000004</v>
      </c>
      <c r="F103" s="285">
        <v>447.9</v>
      </c>
      <c r="G103" s="286">
        <f t="shared" si="14"/>
        <v>9.2098682741683433</v>
      </c>
      <c r="H103" s="218" t="s">
        <v>396</v>
      </c>
      <c r="I103" s="283"/>
    </row>
    <row r="104" spans="1:10" x14ac:dyDescent="0.3">
      <c r="A104" s="281" t="s">
        <v>281</v>
      </c>
      <c r="B104" s="281">
        <v>10</v>
      </c>
      <c r="C104" s="281" t="s">
        <v>311</v>
      </c>
      <c r="D104" s="218" t="s">
        <v>414</v>
      </c>
      <c r="E104" s="285">
        <v>1731.8</v>
      </c>
      <c r="F104" s="285">
        <v>165.2</v>
      </c>
      <c r="G104" s="286">
        <f t="shared" si="14"/>
        <v>10.483050847457628</v>
      </c>
      <c r="H104" s="218" t="s">
        <v>396</v>
      </c>
      <c r="I104" s="283"/>
    </row>
    <row r="105" spans="1:10" x14ac:dyDescent="0.3">
      <c r="A105" s="287" t="s">
        <v>281</v>
      </c>
      <c r="B105" s="287">
        <v>10</v>
      </c>
      <c r="C105" s="287" t="s">
        <v>311</v>
      </c>
      <c r="D105" s="288" t="s">
        <v>415</v>
      </c>
      <c r="E105" s="289">
        <v>2460.8000000000002</v>
      </c>
      <c r="F105" s="289">
        <v>503.3</v>
      </c>
      <c r="G105" s="286">
        <v>4.8888888888888928</v>
      </c>
      <c r="H105" s="218" t="s">
        <v>396</v>
      </c>
      <c r="I105" s="283"/>
    </row>
    <row r="106" spans="1:10" x14ac:dyDescent="0.3">
      <c r="A106" s="287" t="s">
        <v>281</v>
      </c>
      <c r="B106" s="287">
        <v>10</v>
      </c>
      <c r="C106" s="287" t="s">
        <v>310</v>
      </c>
      <c r="D106" s="288" t="s">
        <v>426</v>
      </c>
      <c r="E106" s="290">
        <v>1914.3</v>
      </c>
      <c r="F106" s="290">
        <v>683.7</v>
      </c>
      <c r="G106" s="286">
        <v>2.8159999999999998</v>
      </c>
      <c r="H106" s="218" t="s">
        <v>396</v>
      </c>
      <c r="I106" s="283"/>
    </row>
    <row r="107" spans="1:10" x14ac:dyDescent="0.3">
      <c r="A107" s="295" t="s">
        <v>281</v>
      </c>
      <c r="B107" s="295">
        <v>10</v>
      </c>
      <c r="C107" s="302" t="s">
        <v>310</v>
      </c>
      <c r="D107" s="297" t="s">
        <v>427</v>
      </c>
      <c r="E107" s="296" t="s">
        <v>394</v>
      </c>
      <c r="F107" s="296"/>
      <c r="G107" s="323">
        <f>101/6</f>
        <v>16.833333333333332</v>
      </c>
      <c r="H107" s="303"/>
      <c r="I107" s="218" t="s">
        <v>402</v>
      </c>
    </row>
    <row r="108" spans="1:10" x14ac:dyDescent="0.3">
      <c r="A108" s="281" t="s">
        <v>281</v>
      </c>
      <c r="B108" s="281">
        <v>11</v>
      </c>
      <c r="C108" s="281" t="s">
        <v>311</v>
      </c>
      <c r="D108" s="218" t="s">
        <v>411</v>
      </c>
      <c r="E108" s="285">
        <v>138.80000000000001</v>
      </c>
      <c r="F108" s="285">
        <v>459</v>
      </c>
      <c r="G108" s="286">
        <f>E108/F108</f>
        <v>0.30239651416122004</v>
      </c>
      <c r="H108" s="218" t="s">
        <v>396</v>
      </c>
      <c r="I108" s="283"/>
    </row>
    <row r="109" spans="1:10" x14ac:dyDescent="0.3">
      <c r="A109" s="281" t="s">
        <v>281</v>
      </c>
      <c r="B109" s="281">
        <v>11</v>
      </c>
      <c r="C109" s="281" t="s">
        <v>311</v>
      </c>
      <c r="D109" s="218" t="s">
        <v>412</v>
      </c>
      <c r="E109" s="285">
        <v>571.4</v>
      </c>
      <c r="F109" s="285">
        <v>180.4</v>
      </c>
      <c r="G109" s="286">
        <f t="shared" ref="G109:G110" si="15">E109/F109</f>
        <v>3.1674057649667402</v>
      </c>
      <c r="H109" s="218" t="s">
        <v>396</v>
      </c>
      <c r="I109" s="283"/>
    </row>
    <row r="110" spans="1:10" x14ac:dyDescent="0.3">
      <c r="A110" s="281" t="s">
        <v>281</v>
      </c>
      <c r="B110" s="281">
        <v>11</v>
      </c>
      <c r="C110" s="281" t="s">
        <v>311</v>
      </c>
      <c r="D110" s="218" t="s">
        <v>413</v>
      </c>
      <c r="E110" s="285">
        <v>816</v>
      </c>
      <c r="F110" s="285">
        <v>337.2</v>
      </c>
      <c r="G110" s="286">
        <f t="shared" si="15"/>
        <v>2.419928825622776</v>
      </c>
      <c r="H110" s="218" t="s">
        <v>396</v>
      </c>
      <c r="I110" s="283"/>
    </row>
    <row r="111" spans="1:10" x14ac:dyDescent="0.3">
      <c r="A111" s="281" t="s">
        <v>281</v>
      </c>
      <c r="B111" s="281">
        <v>11</v>
      </c>
      <c r="C111" s="281" t="s">
        <v>311</v>
      </c>
      <c r="D111" s="218" t="s">
        <v>414</v>
      </c>
      <c r="E111" s="285">
        <v>295</v>
      </c>
      <c r="F111" s="285">
        <v>218.3</v>
      </c>
      <c r="G111" s="286">
        <v>1.3513513513513518</v>
      </c>
      <c r="H111" s="218" t="s">
        <v>396</v>
      </c>
      <c r="I111" s="283"/>
    </row>
    <row r="112" spans="1:10" x14ac:dyDescent="0.3">
      <c r="A112" s="287" t="s">
        <v>281</v>
      </c>
      <c r="B112" s="287">
        <v>11</v>
      </c>
      <c r="C112" s="287" t="s">
        <v>311</v>
      </c>
      <c r="D112" s="288" t="s">
        <v>415</v>
      </c>
      <c r="E112" s="289">
        <v>70.099999999999994</v>
      </c>
      <c r="F112" s="289">
        <v>169.4</v>
      </c>
      <c r="G112" s="286">
        <v>0.41379310344827264</v>
      </c>
      <c r="H112" s="218" t="s">
        <v>396</v>
      </c>
      <c r="I112" s="283"/>
    </row>
    <row r="113" spans="1:9" x14ac:dyDescent="0.3">
      <c r="A113" s="287" t="s">
        <v>281</v>
      </c>
      <c r="B113" s="287">
        <v>11</v>
      </c>
      <c r="C113" s="287" t="s">
        <v>310</v>
      </c>
      <c r="D113" s="288" t="s">
        <v>426</v>
      </c>
      <c r="E113" s="451" t="s">
        <v>400</v>
      </c>
      <c r="F113" s="451"/>
      <c r="G113" s="120">
        <f>(28+20)/(16+9)</f>
        <v>1.92</v>
      </c>
      <c r="H113" s="288" t="s">
        <v>399</v>
      </c>
      <c r="I113" s="283"/>
    </row>
    <row r="114" spans="1:9" x14ac:dyDescent="0.3">
      <c r="A114" s="295" t="s">
        <v>281</v>
      </c>
      <c r="B114" s="295">
        <v>11</v>
      </c>
      <c r="C114" s="302" t="s">
        <v>310</v>
      </c>
      <c r="D114" s="297" t="s">
        <v>427</v>
      </c>
      <c r="E114" s="296" t="s">
        <v>394</v>
      </c>
      <c r="F114" s="296"/>
      <c r="G114" s="323">
        <f>(46+16)/(6+1)</f>
        <v>8.8571428571428577</v>
      </c>
      <c r="H114" s="303"/>
      <c r="I114" s="283" t="s">
        <v>402</v>
      </c>
    </row>
    <row r="115" spans="1:9" x14ac:dyDescent="0.3">
      <c r="A115" s="287" t="s">
        <v>281</v>
      </c>
      <c r="B115" s="287">
        <v>12</v>
      </c>
      <c r="C115" s="287" t="s">
        <v>311</v>
      </c>
      <c r="D115" s="288" t="s">
        <v>411</v>
      </c>
      <c r="E115" s="298">
        <v>321</v>
      </c>
      <c r="F115" s="298">
        <v>498</v>
      </c>
      <c r="G115" s="120">
        <f>E115/F115</f>
        <v>0.64457831325301207</v>
      </c>
      <c r="H115" s="288" t="s">
        <v>397</v>
      </c>
      <c r="I115" s="283"/>
    </row>
    <row r="116" spans="1:9" s="283" customFormat="1" x14ac:dyDescent="0.3">
      <c r="A116" s="287" t="s">
        <v>281</v>
      </c>
      <c r="B116" s="287">
        <v>12</v>
      </c>
      <c r="C116" s="287" t="s">
        <v>311</v>
      </c>
      <c r="D116" s="288" t="s">
        <v>412</v>
      </c>
      <c r="E116" s="283">
        <v>454</v>
      </c>
      <c r="F116" s="283">
        <v>830</v>
      </c>
      <c r="G116" s="120">
        <f t="shared" ref="G116:G119" si="16">E116/F116</f>
        <v>0.54698795180722892</v>
      </c>
      <c r="H116" s="288" t="s">
        <v>397</v>
      </c>
    </row>
    <row r="117" spans="1:9" s="283" customFormat="1" x14ac:dyDescent="0.3">
      <c r="A117" s="287" t="s">
        <v>281</v>
      </c>
      <c r="B117" s="287">
        <v>12</v>
      </c>
      <c r="C117" s="287" t="s">
        <v>311</v>
      </c>
      <c r="D117" s="288" t="s">
        <v>413</v>
      </c>
      <c r="E117" s="283">
        <v>968</v>
      </c>
      <c r="F117" s="283">
        <v>856</v>
      </c>
      <c r="G117" s="120">
        <f t="shared" si="16"/>
        <v>1.1308411214953271</v>
      </c>
      <c r="H117" s="288" t="s">
        <v>397</v>
      </c>
    </row>
    <row r="118" spans="1:9" s="283" customFormat="1" x14ac:dyDescent="0.3">
      <c r="A118" s="287" t="s">
        <v>281</v>
      </c>
      <c r="B118" s="287">
        <v>12</v>
      </c>
      <c r="C118" s="287" t="s">
        <v>311</v>
      </c>
      <c r="D118" s="288" t="s">
        <v>414</v>
      </c>
      <c r="E118" s="410">
        <f>1062+160</f>
        <v>1222</v>
      </c>
      <c r="F118" s="410">
        <f>737+111</f>
        <v>848</v>
      </c>
      <c r="G118" s="286">
        <f t="shared" si="16"/>
        <v>1.4410377358490567</v>
      </c>
      <c r="H118" s="288" t="s">
        <v>397</v>
      </c>
    </row>
    <row r="119" spans="1:9" s="283" customFormat="1" x14ac:dyDescent="0.3">
      <c r="A119" s="331" t="s">
        <v>281</v>
      </c>
      <c r="B119" s="331">
        <v>12</v>
      </c>
      <c r="C119" s="331" t="s">
        <v>311</v>
      </c>
      <c r="D119" s="333" t="s">
        <v>415</v>
      </c>
      <c r="E119" s="410">
        <f>46+3</f>
        <v>49</v>
      </c>
      <c r="F119" s="410">
        <f>282+19</f>
        <v>301</v>
      </c>
      <c r="G119" s="286">
        <f t="shared" si="16"/>
        <v>0.16279069767441862</v>
      </c>
      <c r="H119" s="288" t="s">
        <v>397</v>
      </c>
    </row>
    <row r="120" spans="1:9" s="283" customFormat="1" x14ac:dyDescent="0.3">
      <c r="A120" s="287"/>
      <c r="B120" s="287"/>
    </row>
  </sheetData>
  <mergeCells count="11">
    <mergeCell ref="AH7:AH8"/>
    <mergeCell ref="R7:R8"/>
    <mergeCell ref="S7:S8"/>
    <mergeCell ref="T7:T8"/>
    <mergeCell ref="U7:X7"/>
    <mergeCell ref="Y7:AB7"/>
    <mergeCell ref="E113:F113"/>
    <mergeCell ref="E27:F27"/>
    <mergeCell ref="E28:F28"/>
    <mergeCell ref="AC7:AF7"/>
    <mergeCell ref="AG7:AG8"/>
  </mergeCells>
  <conditionalFormatting sqref="C4:C26 C66:C113 C115:C119 C30:C64">
    <cfRule type="cellIs" dxfId="18" priority="4" operator="equal">
      <formula>"n"</formula>
    </cfRule>
  </conditionalFormatting>
  <conditionalFormatting sqref="C26:C29">
    <cfRule type="cellIs" dxfId="17" priority="3" operator="equal">
      <formula>"n"</formula>
    </cfRule>
  </conditionalFormatting>
  <conditionalFormatting sqref="C114">
    <cfRule type="cellIs" dxfId="16" priority="2" operator="equal">
      <formula>"n"</formula>
    </cfRule>
  </conditionalFormatting>
  <conditionalFormatting sqref="C65">
    <cfRule type="cellIs" dxfId="15" priority="1" operator="equal">
      <formula>"n"</formula>
    </cfRule>
  </conditionalFormatting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LOG</vt:lpstr>
      <vt:lpstr>SLRatioImport</vt:lpstr>
      <vt:lpstr>SLRatio</vt:lpstr>
      <vt:lpstr>Report &amp; Lookup Table</vt:lpstr>
      <vt:lpstr>SEAK</vt:lpstr>
      <vt:lpstr>Canada</vt:lpstr>
      <vt:lpstr>PFMCtroll</vt:lpstr>
      <vt:lpstr>PFMCsport</vt:lpstr>
      <vt:lpstr>Creel (MSF) Data</vt:lpstr>
      <vt:lpstr>Baseline (NS) Data</vt:lpstr>
      <vt:lpstr>tblFishery</vt:lpstr>
      <vt:lpstr>Workup</vt:lpstr>
      <vt:lpstr>scratch</vt:lpstr>
      <vt:lpstr>scratchII</vt:lpstr>
      <vt:lpstr>scratchIII</vt:lpstr>
      <vt:lpstr>'Report &amp; Lookup Table'!Print_Area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Hugh, Peter A (DFW)</dc:creator>
  <cp:lastModifiedBy>Hagen-Breaux, Angelika (DFW)</cp:lastModifiedBy>
  <cp:lastPrinted>2016-01-29T22:48:28Z</cp:lastPrinted>
  <dcterms:created xsi:type="dcterms:W3CDTF">2013-09-23T16:45:28Z</dcterms:created>
  <dcterms:modified xsi:type="dcterms:W3CDTF">2020-09-24T16:26:57Z</dcterms:modified>
</cp:coreProperties>
</file>