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Code\FRC\2020-Robot\"/>
    </mc:Choice>
  </mc:AlternateContent>
  <xr:revisionPtr revIDLastSave="0" documentId="13_ncr:1_{8804A1AA-FFBD-42F5-B773-973FAA0CDFC7}" xr6:coauthVersionLast="45" xr6:coauthVersionMax="45" xr10:uidLastSave="{00000000-0000-0000-0000-000000000000}"/>
  <bookViews>
    <workbookView xWindow="-108" yWindow="-108" windowWidth="23256" windowHeight="13176" firstSheet="1" activeTab="2" xr2:uid="{6505FE35-6DDB-4B85-B29F-6D89AE1E982C}"/>
  </bookViews>
  <sheets>
    <sheet name="Height" sheetId="2" r:id="rId1"/>
    <sheet name="Ballistics" sheetId="7" r:id="rId2"/>
    <sheet name="Ballistics2" sheetId="11" r:id="rId3"/>
    <sheet name="Ballistics3" sheetId="12" r:id="rId4"/>
    <sheet name="DistanceSpeedTesting" sheetId="10" r:id="rId5"/>
    <sheet name="Distance" sheetId="3" r:id="rId6"/>
    <sheet name="Defense" sheetId="8" r:id="rId7"/>
    <sheet name="Locations" sheetId="9" r:id="rId8"/>
    <sheet name="Plot Data" sheetId="1" r:id="rId9"/>
    <sheet name="Motor Speed Estimator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2" l="1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7" i="12"/>
  <c r="B12" i="12"/>
  <c r="B19" i="12"/>
  <c r="B23" i="12" s="1"/>
  <c r="B24" i="12" s="1"/>
  <c r="B25" i="12" s="1"/>
  <c r="B28" i="12"/>
  <c r="B20" i="12"/>
  <c r="B6" i="12"/>
  <c r="B10" i="12" s="1"/>
  <c r="D12" i="12" s="1"/>
  <c r="I44" i="11" l="1"/>
  <c r="I45" i="11"/>
  <c r="I46" i="11"/>
  <c r="I39" i="11"/>
  <c r="I40" i="11"/>
  <c r="I41" i="11"/>
  <c r="I42" i="11"/>
  <c r="I43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6" i="11"/>
  <c r="B24" i="11"/>
  <c r="B16" i="11"/>
  <c r="B15" i="11"/>
  <c r="B8" i="11"/>
  <c r="B12" i="11" s="1"/>
  <c r="B14" i="7"/>
  <c r="B19" i="11" l="1"/>
  <c r="B20" i="11" s="1"/>
  <c r="B21" i="11" s="1"/>
  <c r="J6" i="11" s="1"/>
  <c r="B13" i="7"/>
  <c r="L44" i="11" l="1"/>
  <c r="V45" i="11"/>
  <c r="T45" i="11"/>
  <c r="Q46" i="11"/>
  <c r="O46" i="11"/>
  <c r="S46" i="11"/>
  <c r="N45" i="11"/>
  <c r="U45" i="11"/>
  <c r="Q44" i="11"/>
  <c r="U44" i="11"/>
  <c r="T46" i="11"/>
  <c r="P44" i="11"/>
  <c r="R46" i="11"/>
  <c r="V44" i="11"/>
  <c r="P45" i="11"/>
  <c r="K45" i="11"/>
  <c r="N44" i="11"/>
  <c r="R45" i="11"/>
  <c r="M45" i="11"/>
  <c r="L45" i="11"/>
  <c r="K44" i="11"/>
  <c r="S45" i="11"/>
  <c r="M44" i="11"/>
  <c r="P39" i="11"/>
  <c r="J46" i="11"/>
  <c r="K46" i="11"/>
  <c r="L46" i="11"/>
  <c r="M46" i="11"/>
  <c r="O45" i="11"/>
  <c r="N46" i="11"/>
  <c r="U46" i="11"/>
  <c r="R44" i="11"/>
  <c r="V46" i="11"/>
  <c r="T44" i="11"/>
  <c r="O44" i="11"/>
  <c r="J44" i="11"/>
  <c r="S44" i="11"/>
  <c r="P46" i="11"/>
  <c r="J45" i="11"/>
  <c r="Q45" i="11"/>
  <c r="S43" i="11"/>
  <c r="J40" i="11"/>
  <c r="V40" i="11"/>
  <c r="L42" i="11"/>
  <c r="M43" i="11"/>
  <c r="O41" i="11"/>
  <c r="V39" i="11"/>
  <c r="N43" i="11"/>
  <c r="R40" i="11"/>
  <c r="S40" i="11"/>
  <c r="P43" i="11"/>
  <c r="S41" i="11"/>
  <c r="P42" i="11"/>
  <c r="Q39" i="11"/>
  <c r="J43" i="11"/>
  <c r="K40" i="11"/>
  <c r="J39" i="11"/>
  <c r="P41" i="11"/>
  <c r="M42" i="11"/>
  <c r="N39" i="11"/>
  <c r="N42" i="11"/>
  <c r="S42" i="11"/>
  <c r="M39" i="11"/>
  <c r="Q43" i="11"/>
  <c r="V43" i="11"/>
  <c r="T41" i="11"/>
  <c r="T43" i="11"/>
  <c r="K39" i="11"/>
  <c r="Q42" i="11"/>
  <c r="M40" i="11"/>
  <c r="M41" i="11"/>
  <c r="N40" i="11"/>
  <c r="N41" i="11"/>
  <c r="O40" i="11"/>
  <c r="Q41" i="11"/>
  <c r="P40" i="11"/>
  <c r="R41" i="11"/>
  <c r="Q40" i="11"/>
  <c r="U41" i="11"/>
  <c r="O42" i="11"/>
  <c r="K41" i="11"/>
  <c r="L40" i="11"/>
  <c r="U42" i="11"/>
  <c r="T40" i="11"/>
  <c r="V41" i="11"/>
  <c r="U40" i="11"/>
  <c r="R39" i="11"/>
  <c r="T39" i="11"/>
  <c r="K42" i="11"/>
  <c r="J41" i="11"/>
  <c r="T42" i="11"/>
  <c r="L41" i="11"/>
  <c r="O39" i="11"/>
  <c r="U39" i="11"/>
  <c r="R42" i="11"/>
  <c r="J42" i="11"/>
  <c r="R43" i="11"/>
  <c r="K43" i="11"/>
  <c r="S39" i="11"/>
  <c r="L39" i="11"/>
  <c r="U43" i="11"/>
  <c r="L43" i="11"/>
  <c r="O43" i="11"/>
  <c r="V42" i="11"/>
  <c r="T8" i="11"/>
  <c r="K17" i="11"/>
  <c r="U19" i="11"/>
  <c r="S21" i="11"/>
  <c r="Q23" i="11"/>
  <c r="O25" i="11"/>
  <c r="M27" i="11"/>
  <c r="K29" i="11"/>
  <c r="V30" i="11"/>
  <c r="T32" i="11"/>
  <c r="R34" i="11"/>
  <c r="P36" i="11"/>
  <c r="N38" i="11"/>
  <c r="L29" i="11"/>
  <c r="U32" i="11"/>
  <c r="R35" i="11"/>
  <c r="O38" i="11"/>
  <c r="S35" i="11"/>
  <c r="T23" i="11"/>
  <c r="M30" i="11"/>
  <c r="T35" i="11"/>
  <c r="J34" i="11"/>
  <c r="S37" i="11"/>
  <c r="K6" i="11"/>
  <c r="J7" i="11"/>
  <c r="V7" i="11"/>
  <c r="U8" i="11"/>
  <c r="T9" i="11"/>
  <c r="S10" i="11"/>
  <c r="R11" i="11"/>
  <c r="Q12" i="11"/>
  <c r="P13" i="11"/>
  <c r="O14" i="11"/>
  <c r="N15" i="11"/>
  <c r="M16" i="11"/>
  <c r="L17" i="11"/>
  <c r="K18" i="11"/>
  <c r="J19" i="11"/>
  <c r="V19" i="11"/>
  <c r="U20" i="11"/>
  <c r="T21" i="11"/>
  <c r="S22" i="11"/>
  <c r="R23" i="11"/>
  <c r="Q24" i="11"/>
  <c r="P25" i="11"/>
  <c r="O26" i="11"/>
  <c r="N27" i="11"/>
  <c r="K30" i="11"/>
  <c r="V31" i="11"/>
  <c r="S34" i="11"/>
  <c r="P37" i="11"/>
  <c r="Q37" i="11"/>
  <c r="J21" i="11"/>
  <c r="J33" i="11"/>
  <c r="V34" i="11"/>
  <c r="L6" i="11"/>
  <c r="K7" i="11"/>
  <c r="J8" i="11"/>
  <c r="V8" i="11"/>
  <c r="U9" i="11"/>
  <c r="T10" i="11"/>
  <c r="S11" i="11"/>
  <c r="R12" i="11"/>
  <c r="Q13" i="11"/>
  <c r="P14" i="11"/>
  <c r="O15" i="11"/>
  <c r="N16" i="11"/>
  <c r="M17" i="11"/>
  <c r="L18" i="11"/>
  <c r="K19" i="11"/>
  <c r="J20" i="11"/>
  <c r="V20" i="11"/>
  <c r="U21" i="11"/>
  <c r="T22" i="11"/>
  <c r="S23" i="11"/>
  <c r="R24" i="11"/>
  <c r="Q25" i="11"/>
  <c r="P26" i="11"/>
  <c r="O27" i="11"/>
  <c r="N28" i="11"/>
  <c r="M29" i="11"/>
  <c r="L30" i="11"/>
  <c r="K31" i="11"/>
  <c r="J32" i="11"/>
  <c r="V32" i="11"/>
  <c r="U33" i="11"/>
  <c r="R36" i="11"/>
  <c r="P38" i="11"/>
  <c r="U22" i="11"/>
  <c r="L31" i="11"/>
  <c r="U34" i="11"/>
  <c r="R37" i="11"/>
  <c r="L32" i="11"/>
  <c r="M6" i="11"/>
  <c r="L7" i="11"/>
  <c r="K8" i="11"/>
  <c r="J9" i="11"/>
  <c r="V9" i="11"/>
  <c r="U10" i="11"/>
  <c r="T11" i="11"/>
  <c r="S12" i="11"/>
  <c r="R13" i="11"/>
  <c r="Q14" i="11"/>
  <c r="P15" i="11"/>
  <c r="O16" i="11"/>
  <c r="N17" i="11"/>
  <c r="M18" i="11"/>
  <c r="L19" i="11"/>
  <c r="K20" i="11"/>
  <c r="S24" i="11"/>
  <c r="R25" i="11"/>
  <c r="Q26" i="11"/>
  <c r="P27" i="11"/>
  <c r="N29" i="11"/>
  <c r="K32" i="11"/>
  <c r="S36" i="11"/>
  <c r="Q38" i="11"/>
  <c r="K33" i="11"/>
  <c r="N6" i="11"/>
  <c r="M7" i="11"/>
  <c r="L8" i="11"/>
  <c r="K9" i="11"/>
  <c r="J10" i="11"/>
  <c r="V10" i="11"/>
  <c r="U11" i="11"/>
  <c r="T12" i="11"/>
  <c r="S13" i="11"/>
  <c r="R14" i="11"/>
  <c r="Q15" i="11"/>
  <c r="P16" i="11"/>
  <c r="O17" i="11"/>
  <c r="N18" i="11"/>
  <c r="M19" i="11"/>
  <c r="L20" i="11"/>
  <c r="K21" i="11"/>
  <c r="J22" i="11"/>
  <c r="V22" i="11"/>
  <c r="U23" i="11"/>
  <c r="T24" i="11"/>
  <c r="S25" i="11"/>
  <c r="R26" i="11"/>
  <c r="Q27" i="11"/>
  <c r="P28" i="11"/>
  <c r="O29" i="11"/>
  <c r="N30" i="11"/>
  <c r="M31" i="11"/>
  <c r="U35" i="11"/>
  <c r="R38" i="11"/>
  <c r="O6" i="11"/>
  <c r="N7" i="11"/>
  <c r="M8" i="11"/>
  <c r="L9" i="11"/>
  <c r="K10" i="11"/>
  <c r="J11" i="11"/>
  <c r="V11" i="11"/>
  <c r="U12" i="11"/>
  <c r="T13" i="11"/>
  <c r="S14" i="11"/>
  <c r="R15" i="11"/>
  <c r="Q16" i="11"/>
  <c r="P17" i="11"/>
  <c r="O18" i="11"/>
  <c r="N19" i="11"/>
  <c r="M20" i="11"/>
  <c r="L21" i="11"/>
  <c r="K22" i="11"/>
  <c r="J23" i="11"/>
  <c r="V23" i="11"/>
  <c r="U24" i="11"/>
  <c r="T25" i="11"/>
  <c r="S26" i="11"/>
  <c r="R27" i="11"/>
  <c r="Q28" i="11"/>
  <c r="P29" i="11"/>
  <c r="O30" i="11"/>
  <c r="N31" i="11"/>
  <c r="M32" i="11"/>
  <c r="L33" i="11"/>
  <c r="K34" i="11"/>
  <c r="J35" i="11"/>
  <c r="V35" i="11"/>
  <c r="U36" i="11"/>
  <c r="T37" i="11"/>
  <c r="S38" i="11"/>
  <c r="R28" i="11"/>
  <c r="O31" i="11"/>
  <c r="M33" i="11"/>
  <c r="K35" i="11"/>
  <c r="J36" i="11"/>
  <c r="U37" i="11"/>
  <c r="T38" i="11"/>
  <c r="Q6" i="11"/>
  <c r="N9" i="11"/>
  <c r="L11" i="11"/>
  <c r="J13" i="11"/>
  <c r="U14" i="11"/>
  <c r="R17" i="11"/>
  <c r="Q18" i="11"/>
  <c r="N21" i="11"/>
  <c r="M22" i="11"/>
  <c r="J25" i="11"/>
  <c r="U26" i="11"/>
  <c r="R29" i="11"/>
  <c r="P31" i="11"/>
  <c r="M34" i="11"/>
  <c r="K36" i="11"/>
  <c r="U38" i="11"/>
  <c r="O21" i="11"/>
  <c r="V26" i="11"/>
  <c r="S29" i="11"/>
  <c r="O33" i="11"/>
  <c r="L36" i="11"/>
  <c r="R31" i="11"/>
  <c r="L37" i="11"/>
  <c r="M37" i="11"/>
  <c r="P6" i="11"/>
  <c r="O7" i="11"/>
  <c r="N8" i="11"/>
  <c r="M9" i="11"/>
  <c r="L10" i="11"/>
  <c r="K11" i="11"/>
  <c r="J12" i="11"/>
  <c r="V12" i="11"/>
  <c r="U13" i="11"/>
  <c r="T14" i="11"/>
  <c r="S15" i="11"/>
  <c r="R16" i="11"/>
  <c r="Q17" i="11"/>
  <c r="P18" i="11"/>
  <c r="O19" i="11"/>
  <c r="N20" i="11"/>
  <c r="M21" i="11"/>
  <c r="L22" i="11"/>
  <c r="K23" i="11"/>
  <c r="J24" i="11"/>
  <c r="V24" i="11"/>
  <c r="U25" i="11"/>
  <c r="T26" i="11"/>
  <c r="S27" i="11"/>
  <c r="Q29" i="11"/>
  <c r="P30" i="11"/>
  <c r="N32" i="11"/>
  <c r="L34" i="11"/>
  <c r="V36" i="11"/>
  <c r="P7" i="11"/>
  <c r="M10" i="11"/>
  <c r="K12" i="11"/>
  <c r="V13" i="11"/>
  <c r="T15" i="11"/>
  <c r="P19" i="11"/>
  <c r="L23" i="11"/>
  <c r="V25" i="11"/>
  <c r="S28" i="11"/>
  <c r="O32" i="11"/>
  <c r="L35" i="11"/>
  <c r="V37" i="11"/>
  <c r="M23" i="11"/>
  <c r="P32" i="11"/>
  <c r="K37" i="11"/>
  <c r="Q32" i="11"/>
  <c r="O8" i="11"/>
  <c r="S16" i="11"/>
  <c r="O20" i="11"/>
  <c r="K24" i="11"/>
  <c r="T27" i="11"/>
  <c r="Q30" i="11"/>
  <c r="N33" i="11"/>
  <c r="J37" i="11"/>
  <c r="L24" i="11"/>
  <c r="R30" i="11"/>
  <c r="M35" i="11"/>
  <c r="V38" i="11"/>
  <c r="T29" i="11"/>
  <c r="M36" i="11"/>
  <c r="R6" i="11"/>
  <c r="Q7" i="11"/>
  <c r="P8" i="11"/>
  <c r="O9" i="11"/>
  <c r="N10" i="11"/>
  <c r="M11" i="11"/>
  <c r="L12" i="11"/>
  <c r="K13" i="11"/>
  <c r="J14" i="11"/>
  <c r="V14" i="11"/>
  <c r="U15" i="11"/>
  <c r="T16" i="11"/>
  <c r="S17" i="11"/>
  <c r="R18" i="11"/>
  <c r="Q19" i="11"/>
  <c r="P20" i="11"/>
  <c r="N22" i="11"/>
  <c r="K25" i="11"/>
  <c r="J26" i="11"/>
  <c r="U27" i="11"/>
  <c r="T28" i="11"/>
  <c r="Q31" i="11"/>
  <c r="N34" i="11"/>
  <c r="J38" i="11"/>
  <c r="P33" i="11"/>
  <c r="K38" i="11"/>
  <c r="S6" i="11"/>
  <c r="R7" i="11"/>
  <c r="Q8" i="11"/>
  <c r="P9" i="11"/>
  <c r="O10" i="11"/>
  <c r="N11" i="11"/>
  <c r="M12" i="11"/>
  <c r="L13" i="11"/>
  <c r="K14" i="11"/>
  <c r="J15" i="11"/>
  <c r="V15" i="11"/>
  <c r="U16" i="11"/>
  <c r="T17" i="11"/>
  <c r="S18" i="11"/>
  <c r="R19" i="11"/>
  <c r="Q20" i="11"/>
  <c r="P21" i="11"/>
  <c r="O22" i="11"/>
  <c r="N23" i="11"/>
  <c r="M24" i="11"/>
  <c r="L25" i="11"/>
  <c r="K26" i="11"/>
  <c r="J27" i="11"/>
  <c r="V27" i="11"/>
  <c r="U28" i="11"/>
  <c r="S30" i="11"/>
  <c r="O34" i="11"/>
  <c r="N35" i="11"/>
  <c r="L38" i="11"/>
  <c r="T6" i="11"/>
  <c r="S7" i="11"/>
  <c r="R8" i="11"/>
  <c r="Q9" i="11"/>
  <c r="P10" i="11"/>
  <c r="O11" i="11"/>
  <c r="N12" i="11"/>
  <c r="M13" i="11"/>
  <c r="L14" i="11"/>
  <c r="K15" i="11"/>
  <c r="J16" i="11"/>
  <c r="V16" i="11"/>
  <c r="U17" i="11"/>
  <c r="T18" i="11"/>
  <c r="S19" i="11"/>
  <c r="R20" i="11"/>
  <c r="Q21" i="11"/>
  <c r="P22" i="11"/>
  <c r="O23" i="11"/>
  <c r="N24" i="11"/>
  <c r="M25" i="11"/>
  <c r="L26" i="11"/>
  <c r="K27" i="11"/>
  <c r="J28" i="11"/>
  <c r="V28" i="11"/>
  <c r="U29" i="11"/>
  <c r="T30" i="11"/>
  <c r="S31" i="11"/>
  <c r="R32" i="11"/>
  <c r="Q33" i="11"/>
  <c r="P34" i="11"/>
  <c r="O35" i="11"/>
  <c r="N36" i="11"/>
  <c r="U6" i="11"/>
  <c r="T7" i="11"/>
  <c r="S8" i="11"/>
  <c r="R9" i="11"/>
  <c r="Q10" i="11"/>
  <c r="P11" i="11"/>
  <c r="O12" i="11"/>
  <c r="N13" i="11"/>
  <c r="M14" i="11"/>
  <c r="L15" i="11"/>
  <c r="K16" i="11"/>
  <c r="J17" i="11"/>
  <c r="V17" i="11"/>
  <c r="U18" i="11"/>
  <c r="T19" i="11"/>
  <c r="S20" i="11"/>
  <c r="R21" i="11"/>
  <c r="Q22" i="11"/>
  <c r="P23" i="11"/>
  <c r="O24" i="11"/>
  <c r="N25" i="11"/>
  <c r="M26" i="11"/>
  <c r="L27" i="11"/>
  <c r="K28" i="11"/>
  <c r="J29" i="11"/>
  <c r="V29" i="11"/>
  <c r="U30" i="11"/>
  <c r="T31" i="11"/>
  <c r="S32" i="11"/>
  <c r="R33" i="11"/>
  <c r="Q34" i="11"/>
  <c r="P35" i="11"/>
  <c r="O36" i="11"/>
  <c r="N37" i="11"/>
  <c r="M38" i="11"/>
  <c r="V6" i="11"/>
  <c r="U7" i="11"/>
  <c r="S9" i="11"/>
  <c r="R10" i="11"/>
  <c r="Q11" i="11"/>
  <c r="P12" i="11"/>
  <c r="O13" i="11"/>
  <c r="N14" i="11"/>
  <c r="M15" i="11"/>
  <c r="L16" i="11"/>
  <c r="J18" i="11"/>
  <c r="V18" i="11"/>
  <c r="T20" i="11"/>
  <c r="R22" i="11"/>
  <c r="P24" i="11"/>
  <c r="N26" i="11"/>
  <c r="L28" i="11"/>
  <c r="J30" i="11"/>
  <c r="U31" i="11"/>
  <c r="S33" i="11"/>
  <c r="Q35" i="11"/>
  <c r="O37" i="11"/>
  <c r="M28" i="11"/>
  <c r="J31" i="11"/>
  <c r="T33" i="11"/>
  <c r="Q36" i="11"/>
  <c r="T34" i="11"/>
  <c r="V21" i="11"/>
  <c r="O28" i="11"/>
  <c r="V33" i="11"/>
  <c r="T36" i="11"/>
  <c r="I12" i="9"/>
  <c r="I13" i="9" s="1"/>
  <c r="I11" i="9"/>
  <c r="I6" i="9"/>
  <c r="I7" i="9"/>
  <c r="I8" i="9" s="1"/>
  <c r="B25" i="1"/>
  <c r="C25" i="1" s="1"/>
  <c r="B26" i="1"/>
  <c r="C26" i="1" s="1"/>
  <c r="B27" i="1"/>
  <c r="B28" i="1"/>
  <c r="B29" i="1"/>
  <c r="B30" i="1"/>
  <c r="B31" i="1"/>
  <c r="B32" i="1"/>
  <c r="B33" i="1"/>
  <c r="B34" i="1"/>
  <c r="B35" i="1"/>
  <c r="B36" i="1"/>
  <c r="B24" i="1"/>
  <c r="C24" i="1" s="1"/>
  <c r="C27" i="1"/>
  <c r="C28" i="1" l="1"/>
  <c r="C32" i="1"/>
  <c r="C29" i="1"/>
  <c r="C33" i="1" s="1"/>
  <c r="C31" i="1"/>
  <c r="C36" i="1" s="1"/>
  <c r="C30" i="1"/>
  <c r="C35" i="1" s="1"/>
  <c r="C34" i="1" l="1"/>
  <c r="B17" i="7"/>
  <c r="B18" i="7" s="1"/>
  <c r="B22" i="7"/>
  <c r="B6" i="7"/>
  <c r="B10" i="7" s="1"/>
  <c r="B32" i="7" s="1"/>
  <c r="B34" i="7" s="1"/>
  <c r="B35" i="7" s="1"/>
  <c r="B37" i="7" l="1"/>
  <c r="L12" i="7"/>
  <c r="L16" i="7"/>
  <c r="L20" i="7"/>
  <c r="L24" i="7"/>
  <c r="L28" i="7"/>
  <c r="L32" i="7"/>
  <c r="L36" i="7"/>
  <c r="L40" i="7"/>
  <c r="L8" i="7"/>
  <c r="L22" i="7"/>
  <c r="L30" i="7"/>
  <c r="L38" i="7"/>
  <c r="L11" i="7"/>
  <c r="L19" i="7"/>
  <c r="L31" i="7"/>
  <c r="L39" i="7"/>
  <c r="L9" i="7"/>
  <c r="L13" i="7"/>
  <c r="L17" i="7"/>
  <c r="L21" i="7"/>
  <c r="L25" i="7"/>
  <c r="L29" i="7"/>
  <c r="L33" i="7"/>
  <c r="L37" i="7"/>
  <c r="L41" i="7"/>
  <c r="L10" i="7"/>
  <c r="L14" i="7"/>
  <c r="L18" i="7"/>
  <c r="L26" i="7"/>
  <c r="L34" i="7"/>
  <c r="L42" i="7"/>
  <c r="L15" i="7"/>
  <c r="L23" i="7"/>
  <c r="L27" i="7"/>
  <c r="L35" i="7"/>
  <c r="L43" i="7"/>
  <c r="H43" i="7"/>
  <c r="I43" i="7" s="1"/>
  <c r="H42" i="7"/>
  <c r="I42" i="7" s="1"/>
  <c r="H30" i="7"/>
  <c r="I30" i="7" s="1"/>
  <c r="H32" i="7"/>
  <c r="I32" i="7" s="1"/>
  <c r="H34" i="7"/>
  <c r="I34" i="7" s="1"/>
  <c r="H36" i="7"/>
  <c r="I36" i="7" s="1"/>
  <c r="H38" i="7"/>
  <c r="I38" i="7" s="1"/>
  <c r="H40" i="7"/>
  <c r="I40" i="7" s="1"/>
  <c r="J11" i="7"/>
  <c r="K11" i="7" s="1"/>
  <c r="J15" i="7"/>
  <c r="K15" i="7" s="1"/>
  <c r="J19" i="7"/>
  <c r="K19" i="7" s="1"/>
  <c r="J23" i="7"/>
  <c r="K23" i="7" s="1"/>
  <c r="J27" i="7"/>
  <c r="K27" i="7" s="1"/>
  <c r="H10" i="7"/>
  <c r="I10" i="7" s="1"/>
  <c r="H14" i="7"/>
  <c r="I14" i="7" s="1"/>
  <c r="H18" i="7"/>
  <c r="I18" i="7" s="1"/>
  <c r="H22" i="7"/>
  <c r="I22" i="7" s="1"/>
  <c r="H26" i="7"/>
  <c r="I26" i="7" s="1"/>
  <c r="H16" i="7"/>
  <c r="I16" i="7" s="1"/>
  <c r="H28" i="7"/>
  <c r="I28" i="7" s="1"/>
  <c r="J33" i="7"/>
  <c r="K33" i="7" s="1"/>
  <c r="J10" i="7"/>
  <c r="K10" i="7" s="1"/>
  <c r="J22" i="7"/>
  <c r="K22" i="7" s="1"/>
  <c r="H13" i="7"/>
  <c r="I13" i="7" s="1"/>
  <c r="H25" i="7"/>
  <c r="I25" i="7" s="1"/>
  <c r="J43" i="7"/>
  <c r="K43" i="7" s="1"/>
  <c r="J42" i="7"/>
  <c r="K42" i="7" s="1"/>
  <c r="J30" i="7"/>
  <c r="K30" i="7" s="1"/>
  <c r="J32" i="7"/>
  <c r="K32" i="7" s="1"/>
  <c r="J34" i="7"/>
  <c r="K34" i="7" s="1"/>
  <c r="J36" i="7"/>
  <c r="K36" i="7" s="1"/>
  <c r="J38" i="7"/>
  <c r="K38" i="7" s="1"/>
  <c r="J40" i="7"/>
  <c r="K40" i="7" s="1"/>
  <c r="J12" i="7"/>
  <c r="K12" i="7" s="1"/>
  <c r="J16" i="7"/>
  <c r="K16" i="7" s="1"/>
  <c r="J20" i="7"/>
  <c r="K20" i="7" s="1"/>
  <c r="J24" i="7"/>
  <c r="K24" i="7" s="1"/>
  <c r="J28" i="7"/>
  <c r="K28" i="7" s="1"/>
  <c r="H11" i="7"/>
  <c r="I11" i="7" s="1"/>
  <c r="H15" i="7"/>
  <c r="I15" i="7" s="1"/>
  <c r="H19" i="7"/>
  <c r="I19" i="7" s="1"/>
  <c r="H23" i="7"/>
  <c r="I23" i="7" s="1"/>
  <c r="H27" i="7"/>
  <c r="I27" i="7" s="1"/>
  <c r="H12" i="7"/>
  <c r="I12" i="7" s="1"/>
  <c r="H20" i="7"/>
  <c r="I20" i="7" s="1"/>
  <c r="J41" i="7"/>
  <c r="K41" i="7" s="1"/>
  <c r="J35" i="7"/>
  <c r="K35" i="7" s="1"/>
  <c r="J39" i="7"/>
  <c r="K39" i="7" s="1"/>
  <c r="J18" i="7"/>
  <c r="K18" i="7" s="1"/>
  <c r="H9" i="7"/>
  <c r="I9" i="7" s="1"/>
  <c r="H17" i="7"/>
  <c r="I17" i="7" s="1"/>
  <c r="H8" i="7"/>
  <c r="I8" i="7" s="1"/>
  <c r="H41" i="7"/>
  <c r="I41" i="7" s="1"/>
  <c r="H29" i="7"/>
  <c r="I29" i="7" s="1"/>
  <c r="H31" i="7"/>
  <c r="I31" i="7" s="1"/>
  <c r="H33" i="7"/>
  <c r="I33" i="7" s="1"/>
  <c r="H35" i="7"/>
  <c r="I35" i="7" s="1"/>
  <c r="H37" i="7"/>
  <c r="I37" i="7" s="1"/>
  <c r="H39" i="7"/>
  <c r="I39" i="7" s="1"/>
  <c r="J9" i="7"/>
  <c r="K9" i="7" s="1"/>
  <c r="J13" i="7"/>
  <c r="K13" i="7" s="1"/>
  <c r="J17" i="7"/>
  <c r="K17" i="7" s="1"/>
  <c r="J21" i="7"/>
  <c r="K21" i="7" s="1"/>
  <c r="J25" i="7"/>
  <c r="K25" i="7" s="1"/>
  <c r="J8" i="7"/>
  <c r="K8" i="7" s="1"/>
  <c r="H24" i="7"/>
  <c r="I24" i="7" s="1"/>
  <c r="J29" i="7"/>
  <c r="K29" i="7" s="1"/>
  <c r="J31" i="7"/>
  <c r="K31" i="7" s="1"/>
  <c r="J37" i="7"/>
  <c r="K37" i="7" s="1"/>
  <c r="J14" i="7"/>
  <c r="K14" i="7" s="1"/>
  <c r="J26" i="7"/>
  <c r="K26" i="7" s="1"/>
  <c r="H21" i="7"/>
  <c r="I21" i="7" s="1"/>
  <c r="C4" i="6"/>
  <c r="C6" i="6" s="1"/>
  <c r="C7" i="6" s="1"/>
  <c r="E2" i="6"/>
  <c r="E4" i="6" l="1"/>
  <c r="C10" i="1"/>
  <c r="L74" i="1" s="1"/>
  <c r="M74" i="1" s="1"/>
  <c r="N74" i="1" s="1"/>
  <c r="E7" i="1"/>
  <c r="E4" i="1"/>
  <c r="E5" i="1" s="1"/>
  <c r="K4" i="1" l="1"/>
  <c r="L11" i="1"/>
  <c r="M11" i="1" s="1"/>
  <c r="N11" i="1" s="1"/>
  <c r="L23" i="1"/>
  <c r="M23" i="1" s="1"/>
  <c r="N23" i="1" s="1"/>
  <c r="J10" i="1"/>
  <c r="K10" i="1" s="1"/>
  <c r="J22" i="1"/>
  <c r="K22" i="1" s="1"/>
  <c r="J33" i="1"/>
  <c r="K33" i="1" s="1"/>
  <c r="L38" i="1"/>
  <c r="M38" i="1" s="1"/>
  <c r="N38" i="1" s="1"/>
  <c r="L44" i="1"/>
  <c r="M44" i="1" s="1"/>
  <c r="N44" i="1" s="1"/>
  <c r="J46" i="1"/>
  <c r="K46" i="1" s="1"/>
  <c r="L56" i="1"/>
  <c r="M56" i="1" s="1"/>
  <c r="N56" i="1" s="1"/>
  <c r="L59" i="1"/>
  <c r="M59" i="1" s="1"/>
  <c r="N59" i="1" s="1"/>
  <c r="L61" i="1"/>
  <c r="M61" i="1" s="1"/>
  <c r="N61" i="1" s="1"/>
  <c r="L63" i="1"/>
  <c r="M63" i="1" s="1"/>
  <c r="N63" i="1" s="1"/>
  <c r="L69" i="1"/>
  <c r="M69" i="1" s="1"/>
  <c r="N69" i="1" s="1"/>
  <c r="L71" i="1"/>
  <c r="M71" i="1" s="1"/>
  <c r="N71" i="1" s="1"/>
  <c r="J75" i="1"/>
  <c r="K75" i="1" s="1"/>
  <c r="L14" i="1"/>
  <c r="M14" i="1" s="1"/>
  <c r="N14" i="1" s="1"/>
  <c r="L10" i="1"/>
  <c r="M10" i="1" s="1"/>
  <c r="N10" i="1" s="1"/>
  <c r="L21" i="1"/>
  <c r="M21" i="1" s="1"/>
  <c r="N21" i="1" s="1"/>
  <c r="L24" i="1"/>
  <c r="M24" i="1" s="1"/>
  <c r="N24" i="1" s="1"/>
  <c r="L27" i="1"/>
  <c r="M27" i="1" s="1"/>
  <c r="N27" i="1" s="1"/>
  <c r="J13" i="1"/>
  <c r="K13" i="1" s="1"/>
  <c r="J9" i="1"/>
  <c r="K9" i="1" s="1"/>
  <c r="J25" i="1"/>
  <c r="K25" i="1" s="1"/>
  <c r="J21" i="1"/>
  <c r="K21" i="1" s="1"/>
  <c r="L33" i="1"/>
  <c r="M33" i="1" s="1"/>
  <c r="N33" i="1" s="1"/>
  <c r="J35" i="1"/>
  <c r="K35" i="1" s="1"/>
  <c r="J37" i="1"/>
  <c r="K37" i="1" s="1"/>
  <c r="J39" i="1"/>
  <c r="K39" i="1" s="1"/>
  <c r="J45" i="1"/>
  <c r="K45" i="1" s="1"/>
  <c r="L46" i="1"/>
  <c r="M46" i="1" s="1"/>
  <c r="N46" i="1" s="1"/>
  <c r="J48" i="1"/>
  <c r="K48" i="1" s="1"/>
  <c r="J57" i="1"/>
  <c r="K57" i="1" s="1"/>
  <c r="L58" i="1"/>
  <c r="M58" i="1" s="1"/>
  <c r="N58" i="1" s="1"/>
  <c r="J60" i="1"/>
  <c r="K60" i="1" s="1"/>
  <c r="J62" i="1"/>
  <c r="K62" i="1" s="1"/>
  <c r="J68" i="1"/>
  <c r="K68" i="1" s="1"/>
  <c r="J70" i="1"/>
  <c r="K70" i="1" s="1"/>
  <c r="J72" i="1"/>
  <c r="K72" i="1" s="1"/>
  <c r="L73" i="1"/>
  <c r="M73" i="1" s="1"/>
  <c r="N73" i="1" s="1"/>
  <c r="L75" i="1"/>
  <c r="M75" i="1" s="1"/>
  <c r="N75" i="1" s="1"/>
  <c r="L15" i="1"/>
  <c r="M15" i="1" s="1"/>
  <c r="N15" i="1" s="1"/>
  <c r="L26" i="1"/>
  <c r="M26" i="1" s="1"/>
  <c r="N26" i="1" s="1"/>
  <c r="J14" i="1"/>
  <c r="K14" i="1" s="1"/>
  <c r="J26" i="1"/>
  <c r="K26" i="1" s="1"/>
  <c r="L34" i="1"/>
  <c r="M34" i="1" s="1"/>
  <c r="N34" i="1" s="1"/>
  <c r="L36" i="1"/>
  <c r="M36" i="1" s="1"/>
  <c r="N36" i="1" s="1"/>
  <c r="L47" i="1"/>
  <c r="M47" i="1" s="1"/>
  <c r="N47" i="1" s="1"/>
  <c r="L49" i="1"/>
  <c r="M49" i="1" s="1"/>
  <c r="N49" i="1" s="1"/>
  <c r="J51" i="1"/>
  <c r="K51" i="1" s="1"/>
  <c r="J58" i="1"/>
  <c r="K58" i="1" s="1"/>
  <c r="L13" i="1"/>
  <c r="M13" i="1" s="1"/>
  <c r="N13" i="1" s="1"/>
  <c r="L9" i="1"/>
  <c r="M9" i="1" s="1"/>
  <c r="N9" i="1" s="1"/>
  <c r="J8" i="1"/>
  <c r="K8" i="1" s="1"/>
  <c r="J12" i="1"/>
  <c r="K12" i="1" s="1"/>
  <c r="J20" i="1"/>
  <c r="K20" i="1" s="1"/>
  <c r="J24" i="1"/>
  <c r="K24" i="1" s="1"/>
  <c r="J32" i="1"/>
  <c r="K32" i="1" s="1"/>
  <c r="L35" i="1"/>
  <c r="M35" i="1" s="1"/>
  <c r="N35" i="1" s="1"/>
  <c r="L37" i="1"/>
  <c r="M37" i="1" s="1"/>
  <c r="N37" i="1" s="1"/>
  <c r="L39" i="1"/>
  <c r="M39" i="1" s="1"/>
  <c r="N39" i="1" s="1"/>
  <c r="L45" i="1"/>
  <c r="M45" i="1" s="1"/>
  <c r="N45" i="1" s="1"/>
  <c r="J47" i="1"/>
  <c r="K47" i="1" s="1"/>
  <c r="L48" i="1"/>
  <c r="M48" i="1" s="1"/>
  <c r="N48" i="1" s="1"/>
  <c r="J50" i="1"/>
  <c r="K50" i="1" s="1"/>
  <c r="L51" i="1"/>
  <c r="M51" i="1" s="1"/>
  <c r="N51" i="1" s="1"/>
  <c r="L57" i="1"/>
  <c r="M57" i="1" s="1"/>
  <c r="N57" i="1" s="1"/>
  <c r="J59" i="1"/>
  <c r="K59" i="1" s="1"/>
  <c r="L60" i="1"/>
  <c r="M60" i="1" s="1"/>
  <c r="N60" i="1" s="1"/>
  <c r="L62" i="1"/>
  <c r="M62" i="1" s="1"/>
  <c r="N62" i="1" s="1"/>
  <c r="L68" i="1"/>
  <c r="M68" i="1" s="1"/>
  <c r="N68" i="1" s="1"/>
  <c r="L70" i="1"/>
  <c r="M70" i="1" s="1"/>
  <c r="N70" i="1" s="1"/>
  <c r="L72" i="1"/>
  <c r="M72" i="1" s="1"/>
  <c r="N72" i="1" s="1"/>
  <c r="J74" i="1"/>
  <c r="K74" i="1" s="1"/>
  <c r="L8" i="1"/>
  <c r="M8" i="1" s="1"/>
  <c r="N8" i="1" s="1"/>
  <c r="L12" i="1"/>
  <c r="M12" i="1" s="1"/>
  <c r="N12" i="1" s="1"/>
  <c r="L20" i="1"/>
  <c r="M20" i="1" s="1"/>
  <c r="N20" i="1" s="1"/>
  <c r="L22" i="1"/>
  <c r="M22" i="1" s="1"/>
  <c r="N22" i="1" s="1"/>
  <c r="L25" i="1"/>
  <c r="M25" i="1" s="1"/>
  <c r="N25" i="1" s="1"/>
  <c r="J15" i="1"/>
  <c r="K15" i="1" s="1"/>
  <c r="J11" i="1"/>
  <c r="K11" i="1" s="1"/>
  <c r="J27" i="1"/>
  <c r="K27" i="1" s="1"/>
  <c r="J23" i="1"/>
  <c r="K23" i="1" s="1"/>
  <c r="L32" i="1"/>
  <c r="M32" i="1" s="1"/>
  <c r="N32" i="1" s="1"/>
  <c r="J34" i="1"/>
  <c r="K34" i="1" s="1"/>
  <c r="J36" i="1"/>
  <c r="K36" i="1" s="1"/>
  <c r="J38" i="1"/>
  <c r="K38" i="1" s="1"/>
  <c r="J44" i="1"/>
  <c r="K44" i="1" s="1"/>
  <c r="J49" i="1"/>
  <c r="K49" i="1" s="1"/>
  <c r="L50" i="1"/>
  <c r="M50" i="1" s="1"/>
  <c r="N50" i="1" s="1"/>
  <c r="J56" i="1"/>
  <c r="K56" i="1" s="1"/>
  <c r="J61" i="1"/>
  <c r="K61" i="1" s="1"/>
  <c r="J63" i="1"/>
  <c r="K63" i="1" s="1"/>
  <c r="J69" i="1"/>
  <c r="K69" i="1" s="1"/>
  <c r="J71" i="1"/>
  <c r="K71" i="1" s="1"/>
  <c r="J73" i="1"/>
  <c r="K73" i="1" s="1"/>
  <c r="P9" i="1"/>
  <c r="P13" i="1"/>
  <c r="P10" i="1"/>
  <c r="P14" i="1"/>
  <c r="P11" i="1"/>
  <c r="P15" i="1"/>
  <c r="P12" i="1"/>
  <c r="P8" i="1"/>
  <c r="I4" i="1"/>
  <c r="B14" i="12"/>
  <c r="O17" i="12" l="1"/>
  <c r="K31" i="12"/>
  <c r="O35" i="12"/>
  <c r="J12" i="12"/>
  <c r="J36" i="12"/>
  <c r="P8" i="12"/>
  <c r="L13" i="12"/>
  <c r="P17" i="12"/>
  <c r="P20" i="12"/>
  <c r="P23" i="12"/>
  <c r="P26" i="12"/>
  <c r="P29" i="12"/>
  <c r="P32" i="12"/>
  <c r="L37" i="12"/>
  <c r="J25" i="12"/>
  <c r="M13" i="12"/>
  <c r="Q20" i="12"/>
  <c r="Q26" i="12"/>
  <c r="M34" i="12"/>
  <c r="J26" i="12"/>
  <c r="R32" i="12"/>
  <c r="P14" i="12"/>
  <c r="L34" i="12"/>
  <c r="Q14" i="12"/>
  <c r="M25" i="12"/>
  <c r="M31" i="12"/>
  <c r="J14" i="12"/>
  <c r="J27" i="12"/>
  <c r="M7" i="12"/>
  <c r="Q8" i="12"/>
  <c r="M10" i="12"/>
  <c r="Q11" i="12"/>
  <c r="Q17" i="12"/>
  <c r="M19" i="12"/>
  <c r="Q23" i="12"/>
  <c r="Q29" i="12"/>
  <c r="Q35" i="12"/>
  <c r="N7" i="12"/>
  <c r="R8" i="12"/>
  <c r="N10" i="12"/>
  <c r="R11" i="12"/>
  <c r="N13" i="12"/>
  <c r="R14" i="12"/>
  <c r="N16" i="12"/>
  <c r="R17" i="12"/>
  <c r="N19" i="12"/>
  <c r="R20" i="12"/>
  <c r="N22" i="12"/>
  <c r="R23" i="12"/>
  <c r="N34" i="12"/>
  <c r="O7" i="12"/>
  <c r="K9" i="12"/>
  <c r="O10" i="12"/>
  <c r="K12" i="12"/>
  <c r="O13" i="12"/>
  <c r="K15" i="12"/>
  <c r="O16" i="12"/>
  <c r="K18" i="12"/>
  <c r="O19" i="12"/>
  <c r="K21" i="12"/>
  <c r="O22" i="12"/>
  <c r="K24" i="12"/>
  <c r="O25" i="12"/>
  <c r="K27" i="12"/>
  <c r="O28" i="12"/>
  <c r="K30" i="12"/>
  <c r="O31" i="12"/>
  <c r="K33" i="12"/>
  <c r="O34" i="12"/>
  <c r="K36" i="12"/>
  <c r="O37" i="12"/>
  <c r="J16" i="12"/>
  <c r="J28" i="12"/>
  <c r="N12" i="12"/>
  <c r="N21" i="12"/>
  <c r="R28" i="12"/>
  <c r="N33" i="12"/>
  <c r="J19" i="12"/>
  <c r="O9" i="12"/>
  <c r="K14" i="12"/>
  <c r="K17" i="12"/>
  <c r="O21" i="12"/>
  <c r="O27" i="12"/>
  <c r="O33" i="12"/>
  <c r="L11" i="12"/>
  <c r="P18" i="12"/>
  <c r="P24" i="12"/>
  <c r="P30" i="12"/>
  <c r="Q18" i="12"/>
  <c r="Q27" i="12"/>
  <c r="J22" i="12"/>
  <c r="J15" i="12"/>
  <c r="P7" i="12"/>
  <c r="L9" i="12"/>
  <c r="P10" i="12"/>
  <c r="L12" i="12"/>
  <c r="P13" i="12"/>
  <c r="L15" i="12"/>
  <c r="P16" i="12"/>
  <c r="L18" i="12"/>
  <c r="P19" i="12"/>
  <c r="L21" i="12"/>
  <c r="P22" i="12"/>
  <c r="L24" i="12"/>
  <c r="P25" i="12"/>
  <c r="L27" i="12"/>
  <c r="P28" i="12"/>
  <c r="L30" i="12"/>
  <c r="P31" i="12"/>
  <c r="L33" i="12"/>
  <c r="P34" i="12"/>
  <c r="L36" i="12"/>
  <c r="P37" i="12"/>
  <c r="J17" i="12"/>
  <c r="J29" i="12"/>
  <c r="R10" i="12"/>
  <c r="R19" i="12"/>
  <c r="N27" i="12"/>
  <c r="R31" i="12"/>
  <c r="R37" i="12"/>
  <c r="K11" i="12"/>
  <c r="O15" i="12"/>
  <c r="O18" i="12"/>
  <c r="K23" i="12"/>
  <c r="O30" i="12"/>
  <c r="O36" i="12"/>
  <c r="P12" i="12"/>
  <c r="L17" i="12"/>
  <c r="L26" i="12"/>
  <c r="L32" i="12"/>
  <c r="M17" i="12"/>
  <c r="M29" i="12"/>
  <c r="R29" i="12"/>
  <c r="Q7" i="12"/>
  <c r="M9" i="12"/>
  <c r="Q10" i="12"/>
  <c r="M12" i="12"/>
  <c r="Q13" i="12"/>
  <c r="M15" i="12"/>
  <c r="Q16" i="12"/>
  <c r="M18" i="12"/>
  <c r="Q19" i="12"/>
  <c r="M21" i="12"/>
  <c r="Q22" i="12"/>
  <c r="M24" i="12"/>
  <c r="Q25" i="12"/>
  <c r="M27" i="12"/>
  <c r="Q28" i="12"/>
  <c r="M30" i="12"/>
  <c r="Q31" i="12"/>
  <c r="M33" i="12"/>
  <c r="Q34" i="12"/>
  <c r="M36" i="12"/>
  <c r="Q37" i="12"/>
  <c r="J18" i="12"/>
  <c r="J30" i="12"/>
  <c r="R7" i="12"/>
  <c r="N9" i="12"/>
  <c r="R13" i="12"/>
  <c r="N15" i="12"/>
  <c r="R16" i="12"/>
  <c r="N18" i="12"/>
  <c r="R22" i="12"/>
  <c r="R25" i="12"/>
  <c r="N30" i="12"/>
  <c r="R34" i="12"/>
  <c r="N36" i="12"/>
  <c r="J31" i="12"/>
  <c r="K8" i="12"/>
  <c r="K20" i="12"/>
  <c r="O24" i="12"/>
  <c r="K29" i="12"/>
  <c r="K32" i="12"/>
  <c r="J8" i="12"/>
  <c r="P9" i="12"/>
  <c r="P15" i="12"/>
  <c r="L20" i="12"/>
  <c r="L29" i="12"/>
  <c r="L35" i="12"/>
  <c r="J33" i="12"/>
  <c r="M20" i="12"/>
  <c r="Q30" i="12"/>
  <c r="J10" i="12"/>
  <c r="J7" i="12"/>
  <c r="R35" i="12"/>
  <c r="N24" i="12"/>
  <c r="O12" i="12"/>
  <c r="K26" i="12"/>
  <c r="K35" i="12"/>
  <c r="J32" i="12"/>
  <c r="L14" i="12"/>
  <c r="P27" i="12"/>
  <c r="P33" i="12"/>
  <c r="J21" i="12"/>
  <c r="Q15" i="12"/>
  <c r="Q33" i="12"/>
  <c r="N25" i="12"/>
  <c r="J20" i="12"/>
  <c r="P21" i="12"/>
  <c r="P36" i="12"/>
  <c r="M23" i="12"/>
  <c r="M32" i="12"/>
  <c r="J34" i="12"/>
  <c r="N31" i="12"/>
  <c r="L8" i="12"/>
  <c r="L23" i="12"/>
  <c r="J9" i="12"/>
  <c r="Q24" i="12"/>
  <c r="M35" i="12"/>
  <c r="N28" i="12"/>
  <c r="M8" i="12"/>
  <c r="Q9" i="12"/>
  <c r="M11" i="12"/>
  <c r="Q12" i="12"/>
  <c r="M14" i="12"/>
  <c r="Q21" i="12"/>
  <c r="M26" i="12"/>
  <c r="Q36" i="12"/>
  <c r="R26" i="12"/>
  <c r="N8" i="12"/>
  <c r="R9" i="12"/>
  <c r="N11" i="12"/>
  <c r="R12" i="12"/>
  <c r="N14" i="12"/>
  <c r="R15" i="12"/>
  <c r="N17" i="12"/>
  <c r="R18" i="12"/>
  <c r="N20" i="12"/>
  <c r="R21" i="12"/>
  <c r="N23" i="12"/>
  <c r="R24" i="12"/>
  <c r="N26" i="12"/>
  <c r="R27" i="12"/>
  <c r="N29" i="12"/>
  <c r="R30" i="12"/>
  <c r="N32" i="12"/>
  <c r="R33" i="12"/>
  <c r="N35" i="12"/>
  <c r="R36" i="12"/>
  <c r="J11" i="12"/>
  <c r="J23" i="12"/>
  <c r="J35" i="12"/>
  <c r="K7" i="12"/>
  <c r="O8" i="12"/>
  <c r="K10" i="12"/>
  <c r="O11" i="12"/>
  <c r="K13" i="12"/>
  <c r="O14" i="12"/>
  <c r="K16" i="12"/>
  <c r="K19" i="12"/>
  <c r="O20" i="12"/>
  <c r="K22" i="12"/>
  <c r="O23" i="12"/>
  <c r="K25" i="12"/>
  <c r="O26" i="12"/>
  <c r="K28" i="12"/>
  <c r="O29" i="12"/>
  <c r="O32" i="12"/>
  <c r="K34" i="12"/>
  <c r="K37" i="12"/>
  <c r="J24" i="12"/>
  <c r="L7" i="12"/>
  <c r="L10" i="12"/>
  <c r="P11" i="12"/>
  <c r="L16" i="12"/>
  <c r="L19" i="12"/>
  <c r="L22" i="12"/>
  <c r="L25" i="12"/>
  <c r="L28" i="12"/>
  <c r="L31" i="12"/>
  <c r="P35" i="12"/>
  <c r="J13" i="12"/>
  <c r="J37" i="12"/>
  <c r="M16" i="12"/>
  <c r="M22" i="12"/>
  <c r="M28" i="12"/>
  <c r="Q32" i="12"/>
  <c r="M37" i="12"/>
  <c r="N37" i="12"/>
</calcChain>
</file>

<file path=xl/sharedStrings.xml><?xml version="1.0" encoding="utf-8"?>
<sst xmlns="http://schemas.openxmlformats.org/spreadsheetml/2006/main" count="274" uniqueCount="86">
  <si>
    <t>2020 FRC - Infinite Recharge</t>
  </si>
  <si>
    <t>Power Cell to Power Port Ballistics</t>
  </si>
  <si>
    <t>Target height</t>
  </si>
  <si>
    <t>ft</t>
  </si>
  <si>
    <t>in</t>
  </si>
  <si>
    <t>Angle</t>
  </si>
  <si>
    <t>Launch</t>
  </si>
  <si>
    <t>Shooter height</t>
  </si>
  <si>
    <t>Max</t>
  </si>
  <si>
    <t>cm</t>
  </si>
  <si>
    <t>Port height</t>
  </si>
  <si>
    <t>Gravity</t>
  </si>
  <si>
    <t>m/s2</t>
  </si>
  <si>
    <t>cm/s2</t>
  </si>
  <si>
    <t>Height (cm)</t>
  </si>
  <si>
    <t>Distance To</t>
  </si>
  <si>
    <t>Height (in)</t>
  </si>
  <si>
    <t>Velocity (ft/s)</t>
  </si>
  <si>
    <t>Height (ft)</t>
  </si>
  <si>
    <t>Wheel Dia</t>
  </si>
  <si>
    <t xml:space="preserve">Wheel Surface Speed </t>
  </si>
  <si>
    <t>ft/sec</t>
  </si>
  <si>
    <t>Wheel Circumference</t>
  </si>
  <si>
    <t>Motor Speed (rpm)</t>
  </si>
  <si>
    <t>in/min</t>
  </si>
  <si>
    <t>variable</t>
  </si>
  <si>
    <t>calculation</t>
  </si>
  <si>
    <t>ft/s^2</t>
  </si>
  <si>
    <t>in/s^2</t>
  </si>
  <si>
    <t>Accel of Gravity</t>
  </si>
  <si>
    <t>Time (s)</t>
  </si>
  <si>
    <t>Distance (in)</t>
  </si>
  <si>
    <t>Launch Angle</t>
  </si>
  <si>
    <t>Wheel Ball Slip Factor</t>
  </si>
  <si>
    <t>Distance (ft)</t>
  </si>
  <si>
    <t>Targeting Calcs</t>
  </si>
  <si>
    <t>Distance to Target</t>
  </si>
  <si>
    <t>Launch Velocity</t>
  </si>
  <si>
    <t>in/s</t>
  </si>
  <si>
    <t>ft/s</t>
  </si>
  <si>
    <t>Motor Speed</t>
  </si>
  <si>
    <t>rpm</t>
  </si>
  <si>
    <t>degrees</t>
  </si>
  <si>
    <t>Defense Against Us</t>
  </si>
  <si>
    <t>Distance</t>
  </si>
  <si>
    <t>Safe</t>
  </si>
  <si>
    <t>Max Robot Height</t>
  </si>
  <si>
    <t>Ball Diameter</t>
  </si>
  <si>
    <t>This sheet calculates the distance and angle from various shooting locations to the target</t>
  </si>
  <si>
    <t>Center of target to edge of field</t>
  </si>
  <si>
    <t>Initiation line to front of target</t>
  </si>
  <si>
    <t>Front of trench to front of target</t>
  </si>
  <si>
    <t>Robot Dimensions</t>
  </si>
  <si>
    <t>Width</t>
  </si>
  <si>
    <t>Length</t>
  </si>
  <si>
    <t>Field Dimensions</t>
  </si>
  <si>
    <t>Shooting Locations</t>
  </si>
  <si>
    <t>Back edge of control panel to target</t>
  </si>
  <si>
    <t>Control panel width</t>
  </si>
  <si>
    <t>Front of Control Panel</t>
  </si>
  <si>
    <t>Front of Trench</t>
  </si>
  <si>
    <t>Speed</t>
  </si>
  <si>
    <t>Fixed 45 degree angle</t>
  </si>
  <si>
    <t>all shots made</t>
  </si>
  <si>
    <t>center of trench, behind wheel</t>
  </si>
  <si>
    <t>immediately in front of wheel</t>
  </si>
  <si>
    <t>not enough</t>
  </si>
  <si>
    <t>missed 3 shots</t>
  </si>
  <si>
    <t>missed 2 shots</t>
  </si>
  <si>
    <t>angle (degrees)</t>
  </si>
  <si>
    <t>distance (in)</t>
  </si>
  <si>
    <t>in/sec</t>
  </si>
  <si>
    <t>Heights</t>
  </si>
  <si>
    <t>Target distance</t>
  </si>
  <si>
    <t>Motor Max Speed (rpm)</t>
  </si>
  <si>
    <t>Software Speed Limit (%)</t>
  </si>
  <si>
    <t>Objective: Input Distance, Determine Optimal Angle and Speed</t>
  </si>
  <si>
    <t>Ball Speed accounting for loss</t>
  </si>
  <si>
    <r>
      <t>speed</t>
    </r>
    <r>
      <rPr>
        <b/>
        <sz val="11"/>
        <color theme="1"/>
        <rFont val="TI-Nspire Sans"/>
        <family val="2"/>
      </rPr>
      <t>▼</t>
    </r>
  </si>
  <si>
    <t>angle ►</t>
  </si>
  <si>
    <t>HEIGHT</t>
  </si>
  <si>
    <t>Tolerance</t>
  </si>
  <si>
    <t>Height range</t>
  </si>
  <si>
    <t>to</t>
  </si>
  <si>
    <t>SPEED</t>
  </si>
  <si>
    <t>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</si>
</sst>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-Nspire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right"/>
    </xf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left"/>
    </xf>
    <xf numFmtId="2" fontId="4" fillId="0" borderId="0" xfId="0" applyNumberFormat="1" applyFont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0" borderId="6" xfId="0" applyBorder="1"/>
    <xf numFmtId="0" fontId="0" fillId="2" borderId="0" xfId="0" applyFill="1" applyBorder="1"/>
    <xf numFmtId="0" fontId="4" fillId="0" borderId="0" xfId="0" applyFont="1" applyBorder="1"/>
    <xf numFmtId="0" fontId="4" fillId="0" borderId="5" xfId="0" applyFont="1" applyBorder="1"/>
    <xf numFmtId="165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4" fillId="0" borderId="0" xfId="0" applyFont="1" applyFill="1"/>
    <xf numFmtId="0" fontId="1" fillId="4" borderId="0" xfId="0" applyFont="1" applyFill="1"/>
    <xf numFmtId="0" fontId="6" fillId="2" borderId="0" xfId="0" applyFont="1" applyFill="1"/>
    <xf numFmtId="0" fontId="1" fillId="4" borderId="0" xfId="0" quotePrefix="1" applyFont="1" applyFill="1" applyAlignment="1">
      <alignment horizontal="center" vertical="center" textRotation="255"/>
    </xf>
    <xf numFmtId="0" fontId="0" fillId="4" borderId="0" xfId="0" applyFill="1"/>
    <xf numFmtId="0" fontId="0" fillId="4" borderId="0" xfId="0" applyFill="1" applyAlignment="1">
      <alignment horizontal="right"/>
    </xf>
    <xf numFmtId="2" fontId="0" fillId="4" borderId="0" xfId="0" applyNumberFormat="1" applyFill="1"/>
    <xf numFmtId="1" fontId="1" fillId="0" borderId="10" xfId="0" applyNumberFormat="1" applyFont="1" applyBorder="1"/>
    <xf numFmtId="1" fontId="1" fillId="0" borderId="11" xfId="0" applyNumberFormat="1" applyFont="1" applyBorder="1" applyAlignment="1">
      <alignment horizontal="right"/>
    </xf>
    <xf numFmtId="1" fontId="1" fillId="0" borderId="11" xfId="0" applyNumberFormat="1" applyFont="1" applyBorder="1"/>
    <xf numFmtId="1" fontId="1" fillId="0" borderId="12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right"/>
    </xf>
    <xf numFmtId="0" fontId="1" fillId="0" borderId="15" xfId="0" applyFont="1" applyBorder="1"/>
    <xf numFmtId="0" fontId="1" fillId="0" borderId="0" xfId="0" applyFont="1" applyBorder="1"/>
    <xf numFmtId="0" fontId="7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Cell - Max Height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10 ft/s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'Plot Data'!$I$20:$I$27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Data'!$K$20:$K$27</c:f>
              <c:numCache>
                <c:formatCode>0.00</c:formatCode>
                <c:ptCount val="8"/>
                <c:pt idx="0">
                  <c:v>0.56192125535826298</c:v>
                </c:pt>
                <c:pt idx="1">
                  <c:v>2.179934334036691</c:v>
                </c:pt>
                <c:pt idx="2">
                  <c:v>4.6589558551318966</c:v>
                </c:pt>
                <c:pt idx="3">
                  <c:v>7.7000908924900573</c:v>
                </c:pt>
                <c:pt idx="4">
                  <c:v>10.936670651717893</c:v>
                </c:pt>
                <c:pt idx="5">
                  <c:v>13.978461623387059</c:v>
                </c:pt>
                <c:pt idx="6">
                  <c:v>16.458715927289258</c:v>
                </c:pt>
                <c:pt idx="7">
                  <c:v>18.078390000995057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7A-4EA3-AD3B-037463C8F43C}"/>
            </c:ext>
          </c:extLst>
        </c:ser>
        <c:ser>
          <c:idx val="0"/>
          <c:order val="1"/>
          <c:tx>
            <c:v>20 ft/s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 Data'!$I$32:$I$39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Data'!$K$32:$K$39</c:f>
              <c:numCache>
                <c:formatCode>0.00</c:formatCode>
                <c:ptCount val="8"/>
                <c:pt idx="0">
                  <c:v>2.2476850214330519</c:v>
                </c:pt>
                <c:pt idx="1">
                  <c:v>8.7197373361467641</c:v>
                </c:pt>
                <c:pt idx="2">
                  <c:v>18.635823420527586</c:v>
                </c:pt>
                <c:pt idx="3">
                  <c:v>30.800363569960229</c:v>
                </c:pt>
                <c:pt idx="4">
                  <c:v>43.746682606871573</c:v>
                </c:pt>
                <c:pt idx="5">
                  <c:v>55.913846493548235</c:v>
                </c:pt>
                <c:pt idx="6">
                  <c:v>65.834863709157034</c:v>
                </c:pt>
                <c:pt idx="7">
                  <c:v>72.313560003980228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7A-4EA3-AD3B-037463C8F43C}"/>
            </c:ext>
          </c:extLst>
        </c:ser>
        <c:ser>
          <c:idx val="2"/>
          <c:order val="2"/>
          <c:tx>
            <c:v>30 ft/s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 Data'!$I$44:$I$51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Data'!$K$44:$K$51</c:f>
              <c:numCache>
                <c:formatCode>0.00</c:formatCode>
                <c:ptCount val="8"/>
                <c:pt idx="0">
                  <c:v>5.0572912982243663</c:v>
                </c:pt>
                <c:pt idx="1">
                  <c:v>19.619409006330216</c:v>
                </c:pt>
                <c:pt idx="2">
                  <c:v>41.930602696187073</c:v>
                </c:pt>
                <c:pt idx="3">
                  <c:v>69.300818032410504</c:v>
                </c:pt>
                <c:pt idx="4">
                  <c:v>98.430035865461022</c:v>
                </c:pt>
                <c:pt idx="5">
                  <c:v>125.80615461048352</c:v>
                </c:pt>
                <c:pt idx="6">
                  <c:v>148.12844334560333</c:v>
                </c:pt>
                <c:pt idx="7">
                  <c:v>162.70551000895549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7A-4EA3-AD3B-037463C8F43C}"/>
            </c:ext>
          </c:extLst>
        </c:ser>
        <c:ser>
          <c:idx val="3"/>
          <c:order val="3"/>
          <c:tx>
            <c:v>40 ft/s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'Plot Data'!$I$56:$I$63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Data'!$K$56:$K$63</c:f>
              <c:numCache>
                <c:formatCode>0.00</c:formatCode>
                <c:ptCount val="8"/>
                <c:pt idx="0">
                  <c:v>8.9907400857322077</c:v>
                </c:pt>
                <c:pt idx="1">
                  <c:v>34.878949344587056</c:v>
                </c:pt>
                <c:pt idx="2">
                  <c:v>74.543293682110345</c:v>
                </c:pt>
                <c:pt idx="3">
                  <c:v>123.20145427984092</c:v>
                </c:pt>
                <c:pt idx="4">
                  <c:v>174.98673042748629</c:v>
                </c:pt>
                <c:pt idx="5">
                  <c:v>223.65538597419294</c:v>
                </c:pt>
                <c:pt idx="6">
                  <c:v>263.33945483662814</c:v>
                </c:pt>
                <c:pt idx="7">
                  <c:v>289.25424001592091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7A-4EA3-AD3B-037463C8F43C}"/>
            </c:ext>
          </c:extLst>
        </c:ser>
        <c:ser>
          <c:idx val="4"/>
          <c:order val="4"/>
          <c:tx>
            <c:v>50 ft/s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'Plot Data'!$I$68:$I$75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Data'!$K$68:$K$75</c:f>
              <c:numCache>
                <c:formatCode>0.00</c:formatCode>
                <c:ptCount val="8"/>
                <c:pt idx="0">
                  <c:v>14.048031383956573</c:v>
                </c:pt>
                <c:pt idx="1">
                  <c:v>54.498358350917272</c:v>
                </c:pt>
                <c:pt idx="2">
                  <c:v>116.47389637829741</c:v>
                </c:pt>
                <c:pt idx="3">
                  <c:v>192.50227231225142</c:v>
                </c:pt>
                <c:pt idx="4">
                  <c:v>273.41676629294733</c:v>
                </c:pt>
                <c:pt idx="5">
                  <c:v>349.46154058467647</c:v>
                </c:pt>
                <c:pt idx="6">
                  <c:v>411.46789818223147</c:v>
                </c:pt>
                <c:pt idx="7">
                  <c:v>451.95975002487643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7A-4EA3-AD3B-037463C8F43C}"/>
            </c:ext>
          </c:extLst>
        </c:ser>
        <c:ser>
          <c:idx val="5"/>
          <c:order val="5"/>
          <c:tx>
            <c:v>Target</c:v>
          </c:tx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'Plot Data'!$I$8:$I$15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Data'!$P$8:$P$15</c:f>
              <c:numCache>
                <c:formatCode>General</c:formatCode>
                <c:ptCount val="8"/>
                <c:pt idx="0">
                  <c:v>74.25</c:v>
                </c:pt>
                <c:pt idx="1">
                  <c:v>74.25</c:v>
                </c:pt>
                <c:pt idx="2">
                  <c:v>74.25</c:v>
                </c:pt>
                <c:pt idx="3">
                  <c:v>74.25</c:v>
                </c:pt>
                <c:pt idx="4">
                  <c:v>74.25</c:v>
                </c:pt>
                <c:pt idx="5">
                  <c:v>74.25</c:v>
                </c:pt>
                <c:pt idx="6">
                  <c:v>74.25</c:v>
                </c:pt>
                <c:pt idx="7">
                  <c:v>74.25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7A-4EA3-AD3B-037463C8F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60736"/>
        <c:axId val="486063360"/>
      </c:scatterChart>
      <c:valAx>
        <c:axId val="4860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63360"/>
        <c:crosses val="autoZero"/>
        <c:crossBetween val="midCat"/>
      </c:valAx>
      <c:valAx>
        <c:axId val="4860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Projectile Height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607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Cell Ballistics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Ballistics!$H$8:$H$43</c:f>
              <c:numCache>
                <c:formatCode>0.00</c:formatCode>
                <c:ptCount val="36"/>
                <c:pt idx="0">
                  <c:v>0</c:v>
                </c:pt>
                <c:pt idx="1">
                  <c:v>27.350462424058719</c:v>
                </c:pt>
                <c:pt idx="2">
                  <c:v>54.700924848117438</c:v>
                </c:pt>
                <c:pt idx="3">
                  <c:v>82.051387272176157</c:v>
                </c:pt>
                <c:pt idx="4">
                  <c:v>109.40184969623488</c:v>
                </c:pt>
                <c:pt idx="5">
                  <c:v>136.7523121202936</c:v>
                </c:pt>
                <c:pt idx="6">
                  <c:v>164.10277454435231</c:v>
                </c:pt>
                <c:pt idx="7">
                  <c:v>191.45323696841103</c:v>
                </c:pt>
                <c:pt idx="8">
                  <c:v>218.80369939246975</c:v>
                </c:pt>
                <c:pt idx="9">
                  <c:v>246.15416181652847</c:v>
                </c:pt>
                <c:pt idx="10">
                  <c:v>273.50462424058719</c:v>
                </c:pt>
                <c:pt idx="11">
                  <c:v>300.85508666464591</c:v>
                </c:pt>
                <c:pt idx="12">
                  <c:v>328.20554908870463</c:v>
                </c:pt>
                <c:pt idx="13">
                  <c:v>355.55601151276335</c:v>
                </c:pt>
                <c:pt idx="14">
                  <c:v>382.90647393682207</c:v>
                </c:pt>
                <c:pt idx="15">
                  <c:v>410.25693636088079</c:v>
                </c:pt>
                <c:pt idx="16">
                  <c:v>437.60739878493951</c:v>
                </c:pt>
                <c:pt idx="17">
                  <c:v>464.95786120899822</c:v>
                </c:pt>
                <c:pt idx="18">
                  <c:v>492.30832363305694</c:v>
                </c:pt>
                <c:pt idx="19">
                  <c:v>519.65878605711566</c:v>
                </c:pt>
                <c:pt idx="20">
                  <c:v>547.00924848117438</c:v>
                </c:pt>
                <c:pt idx="21">
                  <c:v>574.3597109052331</c:v>
                </c:pt>
                <c:pt idx="22">
                  <c:v>601.71017332929182</c:v>
                </c:pt>
                <c:pt idx="23">
                  <c:v>629.06063575335054</c:v>
                </c:pt>
                <c:pt idx="24">
                  <c:v>656.41109817740926</c:v>
                </c:pt>
                <c:pt idx="25">
                  <c:v>683.76156060146798</c:v>
                </c:pt>
                <c:pt idx="26">
                  <c:v>711.1120230255267</c:v>
                </c:pt>
                <c:pt idx="27">
                  <c:v>738.46248544958542</c:v>
                </c:pt>
                <c:pt idx="28">
                  <c:v>765.81294787364413</c:v>
                </c:pt>
                <c:pt idx="29">
                  <c:v>793.16341029770285</c:v>
                </c:pt>
                <c:pt idx="30">
                  <c:v>820.51387272176157</c:v>
                </c:pt>
                <c:pt idx="31">
                  <c:v>847.86433514582029</c:v>
                </c:pt>
                <c:pt idx="32">
                  <c:v>875.21479756987901</c:v>
                </c:pt>
                <c:pt idx="33">
                  <c:v>902.56525999393773</c:v>
                </c:pt>
                <c:pt idx="34">
                  <c:v>929.91572241799645</c:v>
                </c:pt>
                <c:pt idx="35">
                  <c:v>957.26618484205517</c:v>
                </c:pt>
              </c:numCache>
            </c:numRef>
          </c:xVal>
          <c:yVal>
            <c:numRef>
              <c:f>Ballistics!$J$8:$J$43</c:f>
              <c:numCache>
                <c:formatCode>0.00</c:formatCode>
                <c:ptCount val="36"/>
                <c:pt idx="0">
                  <c:v>0</c:v>
                </c:pt>
                <c:pt idx="1">
                  <c:v>25.412158949768642</c:v>
                </c:pt>
                <c:pt idx="2">
                  <c:v>46.963917899537279</c:v>
                </c:pt>
                <c:pt idx="3">
                  <c:v>64.65527684930592</c:v>
                </c:pt>
                <c:pt idx="4">
                  <c:v>78.486235799074564</c:v>
                </c:pt>
                <c:pt idx="5">
                  <c:v>88.456794748843208</c:v>
                </c:pt>
                <c:pt idx="6">
                  <c:v>94.566953698611826</c:v>
                </c:pt>
                <c:pt idx="7">
                  <c:v>96.816712648380488</c:v>
                </c:pt>
                <c:pt idx="8">
                  <c:v>95.206071598149094</c:v>
                </c:pt>
                <c:pt idx="9">
                  <c:v>89.735030547917773</c:v>
                </c:pt>
                <c:pt idx="10">
                  <c:v>80.403589497686397</c:v>
                </c:pt>
                <c:pt idx="11">
                  <c:v>67.211748447455022</c:v>
                </c:pt>
                <c:pt idx="12">
                  <c:v>50.159507397223649</c:v>
                </c:pt>
                <c:pt idx="13">
                  <c:v>29.246866346992306</c:v>
                </c:pt>
                <c:pt idx="14">
                  <c:v>4.4738252967609924</c:v>
                </c:pt>
                <c:pt idx="15">
                  <c:v>-24.159615753470405</c:v>
                </c:pt>
                <c:pt idx="16">
                  <c:v>-56.653456803701886</c:v>
                </c:pt>
                <c:pt idx="17">
                  <c:v>-93.007697853933053</c:v>
                </c:pt>
                <c:pt idx="18">
                  <c:v>-133.22233890416447</c:v>
                </c:pt>
                <c:pt idx="19">
                  <c:v>-177.29737995439586</c:v>
                </c:pt>
                <c:pt idx="20">
                  <c:v>-225.23282100462723</c:v>
                </c:pt>
                <c:pt idx="21">
                  <c:v>-277.0286620548585</c:v>
                </c:pt>
                <c:pt idx="22">
                  <c:v>-332.68490310509003</c:v>
                </c:pt>
                <c:pt idx="23">
                  <c:v>-392.20154415532113</c:v>
                </c:pt>
                <c:pt idx="24">
                  <c:v>-455.57858520555271</c:v>
                </c:pt>
                <c:pt idx="25">
                  <c:v>-522.81602625578398</c:v>
                </c:pt>
                <c:pt idx="26">
                  <c:v>-593.9138673060155</c:v>
                </c:pt>
                <c:pt idx="27">
                  <c:v>-668.87210835624694</c:v>
                </c:pt>
                <c:pt idx="28">
                  <c:v>-747.69074940647795</c:v>
                </c:pt>
                <c:pt idx="29">
                  <c:v>-830.36979045670967</c:v>
                </c:pt>
                <c:pt idx="30">
                  <c:v>-916.90923150694084</c:v>
                </c:pt>
                <c:pt idx="31">
                  <c:v>-1007.3090725571725</c:v>
                </c:pt>
                <c:pt idx="32">
                  <c:v>-1101.5693136074042</c:v>
                </c:pt>
                <c:pt idx="33">
                  <c:v>-1199.6899546576346</c:v>
                </c:pt>
                <c:pt idx="34">
                  <c:v>-1301.670995707866</c:v>
                </c:pt>
                <c:pt idx="35">
                  <c:v>-1407.5124367580979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F1-45F2-946A-560AE8127452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Ballistics!$H$8:$H$43</c:f>
              <c:numCache>
                <c:formatCode>0.00</c:formatCode>
                <c:ptCount val="36"/>
                <c:pt idx="0">
                  <c:v>0</c:v>
                </c:pt>
                <c:pt idx="1">
                  <c:v>27.350462424058719</c:v>
                </c:pt>
                <c:pt idx="2">
                  <c:v>54.700924848117438</c:v>
                </c:pt>
                <c:pt idx="3">
                  <c:v>82.051387272176157</c:v>
                </c:pt>
                <c:pt idx="4">
                  <c:v>109.40184969623488</c:v>
                </c:pt>
                <c:pt idx="5">
                  <c:v>136.7523121202936</c:v>
                </c:pt>
                <c:pt idx="6">
                  <c:v>164.10277454435231</c:v>
                </c:pt>
                <c:pt idx="7">
                  <c:v>191.45323696841103</c:v>
                </c:pt>
                <c:pt idx="8">
                  <c:v>218.80369939246975</c:v>
                </c:pt>
                <c:pt idx="9">
                  <c:v>246.15416181652847</c:v>
                </c:pt>
                <c:pt idx="10">
                  <c:v>273.50462424058719</c:v>
                </c:pt>
                <c:pt idx="11">
                  <c:v>300.85508666464591</c:v>
                </c:pt>
                <c:pt idx="12">
                  <c:v>328.20554908870463</c:v>
                </c:pt>
                <c:pt idx="13">
                  <c:v>355.55601151276335</c:v>
                </c:pt>
                <c:pt idx="14">
                  <c:v>382.90647393682207</c:v>
                </c:pt>
                <c:pt idx="15">
                  <c:v>410.25693636088079</c:v>
                </c:pt>
                <c:pt idx="16">
                  <c:v>437.60739878493951</c:v>
                </c:pt>
                <c:pt idx="17">
                  <c:v>464.95786120899822</c:v>
                </c:pt>
                <c:pt idx="18">
                  <c:v>492.30832363305694</c:v>
                </c:pt>
                <c:pt idx="19">
                  <c:v>519.65878605711566</c:v>
                </c:pt>
                <c:pt idx="20">
                  <c:v>547.00924848117438</c:v>
                </c:pt>
                <c:pt idx="21">
                  <c:v>574.3597109052331</c:v>
                </c:pt>
                <c:pt idx="22">
                  <c:v>601.71017332929182</c:v>
                </c:pt>
                <c:pt idx="23">
                  <c:v>629.06063575335054</c:v>
                </c:pt>
                <c:pt idx="24">
                  <c:v>656.41109817740926</c:v>
                </c:pt>
                <c:pt idx="25">
                  <c:v>683.76156060146798</c:v>
                </c:pt>
                <c:pt idx="26">
                  <c:v>711.1120230255267</c:v>
                </c:pt>
                <c:pt idx="27">
                  <c:v>738.46248544958542</c:v>
                </c:pt>
                <c:pt idx="28">
                  <c:v>765.81294787364413</c:v>
                </c:pt>
                <c:pt idx="29">
                  <c:v>793.16341029770285</c:v>
                </c:pt>
                <c:pt idx="30">
                  <c:v>820.51387272176157</c:v>
                </c:pt>
                <c:pt idx="31">
                  <c:v>847.86433514582029</c:v>
                </c:pt>
                <c:pt idx="32">
                  <c:v>875.21479756987901</c:v>
                </c:pt>
                <c:pt idx="33">
                  <c:v>902.56525999393773</c:v>
                </c:pt>
                <c:pt idx="34">
                  <c:v>929.91572241799645</c:v>
                </c:pt>
                <c:pt idx="35">
                  <c:v>957.26618484205517</c:v>
                </c:pt>
              </c:numCache>
            </c:numRef>
          </c:xVal>
          <c:yVal>
            <c:numRef>
              <c:f>Ballistics!$L$8:$L$43</c:f>
              <c:numCache>
                <c:formatCode>General</c:formatCode>
                <c:ptCount val="36"/>
                <c:pt idx="0">
                  <c:v>74.25</c:v>
                </c:pt>
                <c:pt idx="1">
                  <c:v>74.25</c:v>
                </c:pt>
                <c:pt idx="2">
                  <c:v>74.25</c:v>
                </c:pt>
                <c:pt idx="3">
                  <c:v>74.25</c:v>
                </c:pt>
                <c:pt idx="4">
                  <c:v>74.25</c:v>
                </c:pt>
                <c:pt idx="5">
                  <c:v>74.25</c:v>
                </c:pt>
                <c:pt idx="6">
                  <c:v>74.25</c:v>
                </c:pt>
                <c:pt idx="7">
                  <c:v>74.25</c:v>
                </c:pt>
                <c:pt idx="8">
                  <c:v>74.25</c:v>
                </c:pt>
                <c:pt idx="9">
                  <c:v>74.25</c:v>
                </c:pt>
                <c:pt idx="10">
                  <c:v>74.25</c:v>
                </c:pt>
                <c:pt idx="11">
                  <c:v>74.25</c:v>
                </c:pt>
                <c:pt idx="12">
                  <c:v>74.25</c:v>
                </c:pt>
                <c:pt idx="13">
                  <c:v>74.25</c:v>
                </c:pt>
                <c:pt idx="14">
                  <c:v>74.25</c:v>
                </c:pt>
                <c:pt idx="15">
                  <c:v>74.25</c:v>
                </c:pt>
                <c:pt idx="16">
                  <c:v>74.25</c:v>
                </c:pt>
                <c:pt idx="17">
                  <c:v>74.25</c:v>
                </c:pt>
                <c:pt idx="18">
                  <c:v>74.25</c:v>
                </c:pt>
                <c:pt idx="19">
                  <c:v>74.25</c:v>
                </c:pt>
                <c:pt idx="20">
                  <c:v>74.25</c:v>
                </c:pt>
                <c:pt idx="21">
                  <c:v>74.25</c:v>
                </c:pt>
                <c:pt idx="22">
                  <c:v>74.25</c:v>
                </c:pt>
                <c:pt idx="23">
                  <c:v>74.25</c:v>
                </c:pt>
                <c:pt idx="24">
                  <c:v>74.25</c:v>
                </c:pt>
                <c:pt idx="25">
                  <c:v>74.25</c:v>
                </c:pt>
                <c:pt idx="26">
                  <c:v>74.25</c:v>
                </c:pt>
                <c:pt idx="27">
                  <c:v>74.25</c:v>
                </c:pt>
                <c:pt idx="28">
                  <c:v>74.25</c:v>
                </c:pt>
                <c:pt idx="29">
                  <c:v>74.25</c:v>
                </c:pt>
                <c:pt idx="30">
                  <c:v>74.25</c:v>
                </c:pt>
                <c:pt idx="31">
                  <c:v>74.25</c:v>
                </c:pt>
                <c:pt idx="32">
                  <c:v>74.25</c:v>
                </c:pt>
                <c:pt idx="33">
                  <c:v>74.25</c:v>
                </c:pt>
                <c:pt idx="34">
                  <c:v>74.25</c:v>
                </c:pt>
                <c:pt idx="35">
                  <c:v>74.25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F1-45F2-946A-560AE812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03312"/>
        <c:axId val="449303640"/>
      </c:scatterChart>
      <c:valAx>
        <c:axId val="4493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03640"/>
        <c:crosses val="autoZero"/>
        <c:crossBetween val="midCat"/>
      </c:valAx>
      <c:valAx>
        <c:axId val="44930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Cell - Distance to Max Height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10 ft/s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'Plot Data'!$I$20:$I$27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Data'!$N$20:$N$27</c:f>
              <c:numCache>
                <c:formatCode>0.000</c:formatCode>
                <c:ptCount val="8"/>
                <c:pt idx="0">
                  <c:v>0.53123791386159191</c:v>
                </c:pt>
                <c:pt idx="1">
                  <c:v>0.99842462216381322</c:v>
                </c:pt>
                <c:pt idx="2">
                  <c:v>1.3452315551505016</c:v>
                </c:pt>
                <c:pt idx="3">
                  <c:v>1.5298442986495295</c:v>
                </c:pt>
                <c:pt idx="4">
                  <c:v>1.530004146205288</c:v>
                </c:pt>
                <c:pt idx="5">
                  <c:v>1.3456918250430283</c:v>
                </c:pt>
                <c:pt idx="6">
                  <c:v>0.99912981978188053</c:v>
                </c:pt>
                <c:pt idx="7">
                  <c:v>0.53210301372713031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7-4C78-A833-3B834B9994D5}"/>
            </c:ext>
          </c:extLst>
        </c:ser>
        <c:ser>
          <c:idx val="0"/>
          <c:order val="1"/>
          <c:tx>
            <c:v>20 ft/s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 Data'!$I$32:$I$39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Data'!$N$32:$N$39</c:f>
              <c:numCache>
                <c:formatCode>0.000</c:formatCode>
                <c:ptCount val="8"/>
                <c:pt idx="0">
                  <c:v>2.1249516554463677</c:v>
                </c:pt>
                <c:pt idx="1">
                  <c:v>3.9936984886552529</c:v>
                </c:pt>
                <c:pt idx="2">
                  <c:v>5.3809262206020065</c:v>
                </c:pt>
                <c:pt idx="3">
                  <c:v>6.1193771945981181</c:v>
                </c:pt>
                <c:pt idx="4">
                  <c:v>6.1200165848211521</c:v>
                </c:pt>
                <c:pt idx="5">
                  <c:v>5.3827673001721132</c:v>
                </c:pt>
                <c:pt idx="6">
                  <c:v>3.9965192791275221</c:v>
                </c:pt>
                <c:pt idx="7">
                  <c:v>2.1284120549085213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37-4C78-A833-3B834B9994D5}"/>
            </c:ext>
          </c:extLst>
        </c:ser>
        <c:ser>
          <c:idx val="2"/>
          <c:order val="2"/>
          <c:tx>
            <c:v>30 ft/s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 Data'!$I$44:$I$51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Data'!$N$44:$N$51</c:f>
              <c:numCache>
                <c:formatCode>0.000</c:formatCode>
                <c:ptCount val="8"/>
                <c:pt idx="0">
                  <c:v>4.7811412247543261</c:v>
                </c:pt>
                <c:pt idx="1">
                  <c:v>8.9858215994743187</c:v>
                </c:pt>
                <c:pt idx="2">
                  <c:v>12.107083996354513</c:v>
                </c:pt>
                <c:pt idx="3">
                  <c:v>13.768598687845767</c:v>
                </c:pt>
                <c:pt idx="4">
                  <c:v>13.770037315847594</c:v>
                </c:pt>
                <c:pt idx="5">
                  <c:v>12.111226425387253</c:v>
                </c:pt>
                <c:pt idx="6">
                  <c:v>8.9921683780369257</c:v>
                </c:pt>
                <c:pt idx="7">
                  <c:v>4.7889271235441724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37-4C78-A833-3B834B9994D5}"/>
            </c:ext>
          </c:extLst>
        </c:ser>
        <c:ser>
          <c:idx val="3"/>
          <c:order val="3"/>
          <c:tx>
            <c:v>40 ft/s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'Plot Data'!$I$56:$I$63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Data'!$N$56:$N$63</c:f>
              <c:numCache>
                <c:formatCode>0.000</c:formatCode>
                <c:ptCount val="8"/>
                <c:pt idx="0">
                  <c:v>8.4998066217854706</c:v>
                </c:pt>
                <c:pt idx="1">
                  <c:v>15.974793954621012</c:v>
                </c:pt>
                <c:pt idx="2">
                  <c:v>21.523704882408026</c:v>
                </c:pt>
                <c:pt idx="3">
                  <c:v>24.477508778392473</c:v>
                </c:pt>
                <c:pt idx="4">
                  <c:v>24.480066339284608</c:v>
                </c:pt>
                <c:pt idx="5">
                  <c:v>21.531069200688453</c:v>
                </c:pt>
                <c:pt idx="6">
                  <c:v>15.986077116510089</c:v>
                </c:pt>
                <c:pt idx="7">
                  <c:v>8.513648219634085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37-4C78-A833-3B834B9994D5}"/>
            </c:ext>
          </c:extLst>
        </c:ser>
        <c:ser>
          <c:idx val="4"/>
          <c:order val="4"/>
          <c:tx>
            <c:v>50 ft/s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'Plot Data'!$I$68:$I$75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'Plot Data'!$N$68:$N$75</c:f>
              <c:numCache>
                <c:formatCode>0.000</c:formatCode>
                <c:ptCount val="8"/>
                <c:pt idx="0">
                  <c:v>13.280947846539796</c:v>
                </c:pt>
                <c:pt idx="1">
                  <c:v>24.96061555409533</c:v>
                </c:pt>
                <c:pt idx="2">
                  <c:v>33.630788878762537</c:v>
                </c:pt>
                <c:pt idx="3">
                  <c:v>38.246107466238236</c:v>
                </c:pt>
                <c:pt idx="4">
                  <c:v>38.2501036551322</c:v>
                </c:pt>
                <c:pt idx="5">
                  <c:v>33.6422956260757</c:v>
                </c:pt>
                <c:pt idx="6">
                  <c:v>24.978245494547014</c:v>
                </c:pt>
                <c:pt idx="7">
                  <c:v>13.30257534317826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37-4C78-A833-3B834B999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60736"/>
        <c:axId val="486063360"/>
      </c:scatterChart>
      <c:valAx>
        <c:axId val="4860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63360"/>
        <c:crosses val="autoZero"/>
        <c:crossBetween val="midCat"/>
      </c:valAx>
      <c:valAx>
        <c:axId val="4860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(ft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607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</a:t>
            </a:r>
            <a:r>
              <a:rPr lang="en-US" baseline="0"/>
              <a:t> Distance to Prevent Power Cell Defense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 Data'!$A$24:$A$36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xVal>
          <c:yVal>
            <c:numRef>
              <c:f>'Plot Data'!$C$24:$C$36</c:f>
              <c:numCache>
                <c:formatCode>0.0</c:formatCode>
                <c:ptCount val="13"/>
                <c:pt idx="0">
                  <c:v>5.6105825898244035</c:v>
                </c:pt>
                <c:pt idx="1">
                  <c:v>4.3793093909236225</c:v>
                </c:pt>
                <c:pt idx="2">
                  <c:v>3.5370772042069745</c:v>
                </c:pt>
                <c:pt idx="3">
                  <c:v>2.9165174507065417</c:v>
                </c:pt>
                <c:pt idx="4">
                  <c:v>2.4338144731167453</c:v>
                </c:pt>
                <c:pt idx="5">
                  <c:v>2.0422717568628941</c:v>
                </c:pt>
                <c:pt idx="6">
                  <c:v>1.7137345896093861</c:v>
                </c:pt>
                <c:pt idx="7">
                  <c:v>1.4301414544347331</c:v>
                </c:pt>
                <c:pt idx="8">
                  <c:v>1.1792946392038492</c:v>
                </c:pt>
                <c:pt idx="9">
                  <c:v>0.95257681052336729</c:v>
                </c:pt>
                <c:pt idx="10">
                  <c:v>0.74363883223931726</c:v>
                </c:pt>
                <c:pt idx="11">
                  <c:v>0.54760333500126313</c:v>
                </c:pt>
                <c:pt idx="12">
                  <c:v>0.36055544314502419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4-46D4-AF55-00398E5DE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43504"/>
        <c:axId val="458347768"/>
      </c:scatterChart>
      <c:valAx>
        <c:axId val="4583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47768"/>
        <c:crosses val="autoZero"/>
        <c:crossBetween val="midCat"/>
      </c:valAx>
      <c:valAx>
        <c:axId val="45834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Safe Distance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43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B71B03-CD02-43FF-943F-73E9D4B2D1A5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C72955-79A8-4AE8-923E-96E5EAD2813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B62C60-775B-4601-97B5-D31A3B37AFDA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719B4-BD5A-4D57-9E24-797D01F53A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411954</xdr:colOff>
      <xdr:row>6</xdr:row>
      <xdr:rowOff>183356</xdr:rowOff>
    </xdr:from>
    <xdr:to>
      <xdr:col>23</xdr:col>
      <xdr:colOff>500062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70963-76EE-46D7-9C9B-00FA9E4BC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98055-B25D-4CDE-B08D-2F642BCB55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AC863-A2E3-437A-B1ED-B061B33EF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71DE-853C-4645-838D-52D3EBDAE5F1}">
  <dimension ref="A1:L61"/>
  <sheetViews>
    <sheetView topLeftCell="A3" zoomScale="84" workbookViewId="0">
      <selection activeCell="H5" sqref="H5"/>
    </sheetView>
  </sheetViews>
  <sheetFormatPr defaultRowHeight="14.4" x14ac:dyDescent="0.3"/>
  <cols>
    <col min="1" max="1" width="21.5546875" customWidth="1"/>
    <col min="2" max="2" width="9.109375" customWidth="1"/>
    <col min="7" max="11" width="14.5546875" style="3" customWidth="1"/>
    <col min="12" max="12" width="10.21875" style="3" customWidth="1"/>
  </cols>
  <sheetData>
    <row r="1" spans="1:12" ht="18" x14ac:dyDescent="0.35">
      <c r="A1" s="1" t="s">
        <v>0</v>
      </c>
    </row>
    <row r="2" spans="1:12" ht="18" x14ac:dyDescent="0.35">
      <c r="A2" s="1" t="s">
        <v>1</v>
      </c>
    </row>
    <row r="5" spans="1:12" x14ac:dyDescent="0.3">
      <c r="A5" s="2" t="s">
        <v>10</v>
      </c>
      <c r="B5" s="12">
        <v>8</v>
      </c>
      <c r="C5" t="s">
        <v>3</v>
      </c>
      <c r="D5" s="12">
        <v>2.25</v>
      </c>
      <c r="E5" t="s">
        <v>4</v>
      </c>
      <c r="G5" s="4" t="s">
        <v>32</v>
      </c>
      <c r="H5" s="16">
        <v>45</v>
      </c>
    </row>
    <row r="6" spans="1:12" x14ac:dyDescent="0.3">
      <c r="B6" s="13">
        <f>B5*12+D5</f>
        <v>98.25</v>
      </c>
      <c r="C6" t="s">
        <v>4</v>
      </c>
    </row>
    <row r="7" spans="1:12" ht="15" thickBot="1" x14ac:dyDescent="0.35">
      <c r="G7" s="5" t="s">
        <v>30</v>
      </c>
      <c r="H7" s="5" t="s">
        <v>31</v>
      </c>
      <c r="I7" s="5" t="s">
        <v>34</v>
      </c>
      <c r="J7" s="5" t="s">
        <v>16</v>
      </c>
      <c r="K7" s="5" t="s">
        <v>18</v>
      </c>
    </row>
    <row r="8" spans="1:12" x14ac:dyDescent="0.3">
      <c r="A8" s="2" t="s">
        <v>7</v>
      </c>
      <c r="B8" s="12">
        <v>24</v>
      </c>
      <c r="C8" t="s">
        <v>4</v>
      </c>
      <c r="G8" s="3">
        <v>0</v>
      </c>
      <c r="H8" s="7">
        <f t="shared" ref="H8:H43" si="0">($B$18*12)*COS($H$5*0.01745)*G8</f>
        <v>0</v>
      </c>
      <c r="I8" s="7">
        <f>H8/12</f>
        <v>0</v>
      </c>
      <c r="J8" s="7">
        <f t="shared" ref="J8:J43" si="1">($B$18*12)*SIN($H$5*0.01745)*G8-0.5*$B$22*G8^2</f>
        <v>0</v>
      </c>
      <c r="K8" s="7">
        <f>J8/12</f>
        <v>0</v>
      </c>
      <c r="L8" s="3">
        <f>$B$10</f>
        <v>74.25</v>
      </c>
    </row>
    <row r="9" spans="1:12" x14ac:dyDescent="0.3">
      <c r="G9" s="3">
        <v>0.1</v>
      </c>
      <c r="H9" s="7">
        <f t="shared" si="0"/>
        <v>27.350462424058719</v>
      </c>
      <c r="I9" s="7">
        <f t="shared" ref="I9:I43" si="2">H9/12</f>
        <v>2.2792052020048934</v>
      </c>
      <c r="J9" s="7">
        <f t="shared" si="1"/>
        <v>25.412158949768642</v>
      </c>
      <c r="K9" s="7">
        <f t="shared" ref="K9:K43" si="3">J9/12</f>
        <v>2.1176799124807202</v>
      </c>
      <c r="L9" s="3">
        <f t="shared" ref="L9:L43" si="4">$B$10</f>
        <v>74.25</v>
      </c>
    </row>
    <row r="10" spans="1:12" x14ac:dyDescent="0.3">
      <c r="A10" s="14" t="s">
        <v>2</v>
      </c>
      <c r="B10">
        <f>B6-B8</f>
        <v>74.25</v>
      </c>
      <c r="C10" t="s">
        <v>4</v>
      </c>
      <c r="G10" s="3">
        <v>0.2</v>
      </c>
      <c r="H10" s="7">
        <f t="shared" si="0"/>
        <v>54.700924848117438</v>
      </c>
      <c r="I10" s="7">
        <f t="shared" si="2"/>
        <v>4.5584104040097868</v>
      </c>
      <c r="J10" s="7">
        <f t="shared" si="1"/>
        <v>46.963917899537279</v>
      </c>
      <c r="K10" s="7">
        <f t="shared" si="3"/>
        <v>3.91365982496144</v>
      </c>
      <c r="L10" s="3">
        <f t="shared" si="4"/>
        <v>74.25</v>
      </c>
    </row>
    <row r="11" spans="1:12" x14ac:dyDescent="0.3">
      <c r="G11" s="3">
        <v>0.3</v>
      </c>
      <c r="H11" s="7">
        <f t="shared" si="0"/>
        <v>82.051387272176157</v>
      </c>
      <c r="I11" s="7">
        <f t="shared" si="2"/>
        <v>6.8376156060146798</v>
      </c>
      <c r="J11" s="7">
        <f t="shared" si="1"/>
        <v>64.65527684930592</v>
      </c>
      <c r="K11" s="7">
        <f t="shared" si="3"/>
        <v>5.38793973744216</v>
      </c>
      <c r="L11" s="3">
        <f t="shared" si="4"/>
        <v>74.25</v>
      </c>
    </row>
    <row r="12" spans="1:12" x14ac:dyDescent="0.3">
      <c r="A12" s="2" t="s">
        <v>19</v>
      </c>
      <c r="B12" s="12">
        <v>6</v>
      </c>
      <c r="C12" t="s">
        <v>4</v>
      </c>
      <c r="G12" s="3">
        <v>0.4</v>
      </c>
      <c r="H12" s="7">
        <f t="shared" si="0"/>
        <v>109.40184969623488</v>
      </c>
      <c r="I12" s="7">
        <f t="shared" si="2"/>
        <v>9.1168208080195736</v>
      </c>
      <c r="J12" s="7">
        <f t="shared" si="1"/>
        <v>78.486235799074564</v>
      </c>
      <c r="K12" s="7">
        <f t="shared" si="3"/>
        <v>6.5405196499228806</v>
      </c>
      <c r="L12" s="3">
        <f t="shared" si="4"/>
        <v>74.25</v>
      </c>
    </row>
    <row r="13" spans="1:12" x14ac:dyDescent="0.3">
      <c r="A13" s="14" t="s">
        <v>23</v>
      </c>
      <c r="B13" s="12">
        <f>C13*D13</f>
        <v>5423</v>
      </c>
      <c r="C13">
        <v>0.85</v>
      </c>
      <c r="D13">
        <v>6380</v>
      </c>
      <c r="G13" s="3">
        <v>0.5</v>
      </c>
      <c r="H13" s="7">
        <f t="shared" si="0"/>
        <v>136.7523121202936</v>
      </c>
      <c r="I13" s="7">
        <f t="shared" si="2"/>
        <v>11.396026010024466</v>
      </c>
      <c r="J13" s="7">
        <f t="shared" si="1"/>
        <v>88.456794748843208</v>
      </c>
      <c r="K13" s="7">
        <f t="shared" si="3"/>
        <v>7.3713995624036004</v>
      </c>
      <c r="L13" s="3">
        <f t="shared" si="4"/>
        <v>74.25</v>
      </c>
    </row>
    <row r="14" spans="1:12" x14ac:dyDescent="0.3">
      <c r="A14" s="14" t="s">
        <v>22</v>
      </c>
      <c r="B14" s="13">
        <f>PI()*B12</f>
        <v>18.849555921538759</v>
      </c>
      <c r="C14" t="s">
        <v>4</v>
      </c>
      <c r="G14" s="3">
        <v>0.6</v>
      </c>
      <c r="H14" s="7">
        <f t="shared" si="0"/>
        <v>164.10277454435231</v>
      </c>
      <c r="I14" s="7">
        <f t="shared" si="2"/>
        <v>13.67523121202936</v>
      </c>
      <c r="J14" s="7">
        <f t="shared" si="1"/>
        <v>94.566953698611826</v>
      </c>
      <c r="K14" s="7">
        <f t="shared" si="3"/>
        <v>7.8805794748843185</v>
      </c>
      <c r="L14" s="3">
        <f t="shared" si="4"/>
        <v>74.25</v>
      </c>
    </row>
    <row r="15" spans="1:12" x14ac:dyDescent="0.3">
      <c r="A15" s="14" t="s">
        <v>33</v>
      </c>
      <c r="B15" s="12">
        <v>0.22700000000000001</v>
      </c>
      <c r="G15" s="3">
        <v>0.7</v>
      </c>
      <c r="H15" s="7">
        <f t="shared" si="0"/>
        <v>191.45323696841103</v>
      </c>
      <c r="I15" s="7">
        <f t="shared" si="2"/>
        <v>15.954436414034253</v>
      </c>
      <c r="J15" s="7">
        <f t="shared" si="1"/>
        <v>96.816712648380488</v>
      </c>
      <c r="K15" s="7">
        <f t="shared" si="3"/>
        <v>8.0680593873650412</v>
      </c>
      <c r="L15" s="3">
        <f t="shared" si="4"/>
        <v>74.25</v>
      </c>
    </row>
    <row r="16" spans="1:12" x14ac:dyDescent="0.3">
      <c r="G16" s="3">
        <v>0.8</v>
      </c>
      <c r="H16" s="7">
        <f t="shared" si="0"/>
        <v>218.80369939246975</v>
      </c>
      <c r="I16" s="7">
        <f t="shared" si="2"/>
        <v>18.233641616039147</v>
      </c>
      <c r="J16" s="7">
        <f t="shared" si="1"/>
        <v>95.206071598149094</v>
      </c>
      <c r="K16" s="7">
        <f t="shared" si="3"/>
        <v>7.9338392998457579</v>
      </c>
      <c r="L16" s="3">
        <f t="shared" si="4"/>
        <v>74.25</v>
      </c>
    </row>
    <row r="17" spans="1:12" x14ac:dyDescent="0.3">
      <c r="A17" s="2" t="s">
        <v>20</v>
      </c>
      <c r="B17" s="13">
        <f>B13*B14</f>
        <v>102221.14176250469</v>
      </c>
      <c r="C17" t="s">
        <v>24</v>
      </c>
      <c r="G17" s="3">
        <v>0.9</v>
      </c>
      <c r="H17" s="7">
        <f t="shared" si="0"/>
        <v>246.15416181652847</v>
      </c>
      <c r="I17" s="7">
        <f t="shared" si="2"/>
        <v>20.512846818044039</v>
      </c>
      <c r="J17" s="7">
        <f t="shared" si="1"/>
        <v>89.735030547917773</v>
      </c>
      <c r="K17" s="7">
        <f t="shared" si="3"/>
        <v>7.4779192123264808</v>
      </c>
      <c r="L17" s="3">
        <f t="shared" si="4"/>
        <v>74.25</v>
      </c>
    </row>
    <row r="18" spans="1:12" x14ac:dyDescent="0.3">
      <c r="A18" s="2" t="s">
        <v>20</v>
      </c>
      <c r="B18" s="15">
        <f>($B$15*B17)/(12*60)</f>
        <v>32.228054416789675</v>
      </c>
      <c r="C18" t="s">
        <v>21</v>
      </c>
      <c r="G18" s="3">
        <v>1</v>
      </c>
      <c r="H18" s="7">
        <f t="shared" si="0"/>
        <v>273.50462424058719</v>
      </c>
      <c r="I18" s="7">
        <f t="shared" si="2"/>
        <v>22.792052020048931</v>
      </c>
      <c r="J18" s="7">
        <f t="shared" si="1"/>
        <v>80.403589497686397</v>
      </c>
      <c r="K18" s="7">
        <f t="shared" si="3"/>
        <v>6.7002991248071995</v>
      </c>
      <c r="L18" s="3">
        <f t="shared" si="4"/>
        <v>74.25</v>
      </c>
    </row>
    <row r="19" spans="1:12" x14ac:dyDescent="0.3">
      <c r="G19" s="3">
        <v>1.1000000000000001</v>
      </c>
      <c r="H19" s="7">
        <f t="shared" si="0"/>
        <v>300.85508666464591</v>
      </c>
      <c r="I19" s="7">
        <f t="shared" si="2"/>
        <v>25.071257222053827</v>
      </c>
      <c r="J19" s="7">
        <f t="shared" si="1"/>
        <v>67.211748447455022</v>
      </c>
      <c r="K19" s="7">
        <f t="shared" si="3"/>
        <v>5.6009790372879182</v>
      </c>
      <c r="L19" s="3">
        <f t="shared" si="4"/>
        <v>74.25</v>
      </c>
    </row>
    <row r="20" spans="1:12" x14ac:dyDescent="0.3">
      <c r="G20" s="3">
        <v>1.2</v>
      </c>
      <c r="H20" s="7">
        <f t="shared" si="0"/>
        <v>328.20554908870463</v>
      </c>
      <c r="I20" s="7">
        <f t="shared" si="2"/>
        <v>27.350462424058719</v>
      </c>
      <c r="J20" s="7">
        <f t="shared" si="1"/>
        <v>50.159507397223649</v>
      </c>
      <c r="K20" s="7">
        <f t="shared" si="3"/>
        <v>4.1799589497686371</v>
      </c>
      <c r="L20" s="3">
        <f t="shared" si="4"/>
        <v>74.25</v>
      </c>
    </row>
    <row r="21" spans="1:12" x14ac:dyDescent="0.3">
      <c r="A21" s="2" t="s">
        <v>29</v>
      </c>
      <c r="B21">
        <v>32.17</v>
      </c>
      <c r="C21" t="s">
        <v>27</v>
      </c>
      <c r="G21" s="3">
        <v>1.3</v>
      </c>
      <c r="H21" s="7">
        <f t="shared" si="0"/>
        <v>355.55601151276335</v>
      </c>
      <c r="I21" s="7">
        <f t="shared" si="2"/>
        <v>29.629667626063611</v>
      </c>
      <c r="J21" s="7">
        <f t="shared" si="1"/>
        <v>29.246866346992306</v>
      </c>
      <c r="K21" s="7">
        <f t="shared" si="3"/>
        <v>2.4372388622493588</v>
      </c>
      <c r="L21" s="3">
        <f t="shared" si="4"/>
        <v>74.25</v>
      </c>
    </row>
    <row r="22" spans="1:12" x14ac:dyDescent="0.3">
      <c r="B22">
        <f>B21*12</f>
        <v>386.04</v>
      </c>
      <c r="C22" t="s">
        <v>28</v>
      </c>
      <c r="G22" s="3">
        <v>1.4</v>
      </c>
      <c r="H22" s="7">
        <f t="shared" si="0"/>
        <v>382.90647393682207</v>
      </c>
      <c r="I22" s="7">
        <f t="shared" si="2"/>
        <v>31.908872828068507</v>
      </c>
      <c r="J22" s="7">
        <f t="shared" si="1"/>
        <v>4.4738252967609924</v>
      </c>
      <c r="K22" s="7">
        <f t="shared" si="3"/>
        <v>0.37281877473008268</v>
      </c>
      <c r="L22" s="3">
        <f t="shared" si="4"/>
        <v>74.25</v>
      </c>
    </row>
    <row r="23" spans="1:12" x14ac:dyDescent="0.3">
      <c r="G23" s="3">
        <v>1.5</v>
      </c>
      <c r="H23" s="7">
        <f t="shared" si="0"/>
        <v>410.25693636088079</v>
      </c>
      <c r="I23" s="7">
        <f t="shared" si="2"/>
        <v>34.188078030073399</v>
      </c>
      <c r="J23" s="7">
        <f t="shared" si="1"/>
        <v>-24.159615753470405</v>
      </c>
      <c r="K23" s="7">
        <f t="shared" si="3"/>
        <v>-2.0133013127892005</v>
      </c>
      <c r="L23" s="3">
        <f t="shared" si="4"/>
        <v>74.25</v>
      </c>
    </row>
    <row r="24" spans="1:12" x14ac:dyDescent="0.3">
      <c r="G24" s="3">
        <v>1.6</v>
      </c>
      <c r="H24" s="7">
        <f t="shared" si="0"/>
        <v>437.60739878493951</v>
      </c>
      <c r="I24" s="7">
        <f t="shared" si="2"/>
        <v>36.467283232078294</v>
      </c>
      <c r="J24" s="7">
        <f t="shared" si="1"/>
        <v>-56.653456803701886</v>
      </c>
      <c r="K24" s="7">
        <f t="shared" si="3"/>
        <v>-4.7211214003084905</v>
      </c>
      <c r="L24" s="3">
        <f t="shared" si="4"/>
        <v>74.25</v>
      </c>
    </row>
    <row r="25" spans="1:12" x14ac:dyDescent="0.3">
      <c r="G25" s="3">
        <v>1.7</v>
      </c>
      <c r="H25" s="7">
        <f t="shared" si="0"/>
        <v>464.95786120899822</v>
      </c>
      <c r="I25" s="7">
        <f t="shared" si="2"/>
        <v>38.746488434083183</v>
      </c>
      <c r="J25" s="7">
        <f t="shared" si="1"/>
        <v>-93.007697853933053</v>
      </c>
      <c r="K25" s="7">
        <f t="shared" si="3"/>
        <v>-7.7506414878277541</v>
      </c>
      <c r="L25" s="3">
        <f t="shared" si="4"/>
        <v>74.25</v>
      </c>
    </row>
    <row r="26" spans="1:12" x14ac:dyDescent="0.3">
      <c r="G26" s="3">
        <v>1.8</v>
      </c>
      <c r="H26" s="7">
        <f t="shared" si="0"/>
        <v>492.30832363305694</v>
      </c>
      <c r="I26" s="7">
        <f t="shared" si="2"/>
        <v>41.025693636088079</v>
      </c>
      <c r="J26" s="7">
        <f t="shared" si="1"/>
        <v>-133.22233890416447</v>
      </c>
      <c r="K26" s="7">
        <f t="shared" si="3"/>
        <v>-11.101861575347039</v>
      </c>
      <c r="L26" s="3">
        <f t="shared" si="4"/>
        <v>74.25</v>
      </c>
    </row>
    <row r="27" spans="1:12" ht="15" thickBot="1" x14ac:dyDescent="0.35">
      <c r="G27" s="3">
        <v>1.9</v>
      </c>
      <c r="H27" s="7">
        <f t="shared" si="0"/>
        <v>519.65878605711566</v>
      </c>
      <c r="I27" s="7">
        <f t="shared" si="2"/>
        <v>43.304898838092974</v>
      </c>
      <c r="J27" s="7">
        <f t="shared" si="1"/>
        <v>-177.29737995439586</v>
      </c>
      <c r="K27" s="7">
        <f t="shared" si="3"/>
        <v>-14.774781662866323</v>
      </c>
      <c r="L27" s="3">
        <f t="shared" si="4"/>
        <v>74.25</v>
      </c>
    </row>
    <row r="28" spans="1:12" ht="16.8" thickTop="1" thickBot="1" x14ac:dyDescent="0.35">
      <c r="A28" s="47" t="s">
        <v>35</v>
      </c>
      <c r="B28" s="48"/>
      <c r="C28" s="49"/>
      <c r="G28" s="3">
        <v>2</v>
      </c>
      <c r="H28" s="7">
        <f t="shared" si="0"/>
        <v>547.00924848117438</v>
      </c>
      <c r="I28" s="7">
        <f t="shared" si="2"/>
        <v>45.584104040097863</v>
      </c>
      <c r="J28" s="7">
        <f t="shared" si="1"/>
        <v>-225.23282100462723</v>
      </c>
      <c r="K28" s="7">
        <f t="shared" si="3"/>
        <v>-18.769401750385601</v>
      </c>
      <c r="L28" s="3">
        <f t="shared" si="4"/>
        <v>74.25</v>
      </c>
    </row>
    <row r="29" spans="1:12" ht="15" thickTop="1" x14ac:dyDescent="0.3">
      <c r="A29" s="17"/>
      <c r="B29" s="18"/>
      <c r="C29" s="19"/>
      <c r="G29" s="3">
        <v>2.1</v>
      </c>
      <c r="H29" s="7">
        <f t="shared" si="0"/>
        <v>574.3597109052331</v>
      </c>
      <c r="I29" s="7">
        <f t="shared" si="2"/>
        <v>47.863309242102758</v>
      </c>
      <c r="J29" s="7">
        <f t="shared" si="1"/>
        <v>-277.0286620548585</v>
      </c>
      <c r="K29" s="7">
        <f t="shared" si="3"/>
        <v>-23.085721837904874</v>
      </c>
      <c r="L29" s="3">
        <f t="shared" si="4"/>
        <v>74.25</v>
      </c>
    </row>
    <row r="30" spans="1:12" x14ac:dyDescent="0.3">
      <c r="A30" s="20" t="s">
        <v>36</v>
      </c>
      <c r="B30" s="23">
        <v>220</v>
      </c>
      <c r="C30" s="19" t="s">
        <v>4</v>
      </c>
      <c r="G30" s="3">
        <v>2.2000000000000002</v>
      </c>
      <c r="H30" s="7">
        <f t="shared" si="0"/>
        <v>601.71017332929182</v>
      </c>
      <c r="I30" s="7">
        <f t="shared" si="2"/>
        <v>50.142514444107654</v>
      </c>
      <c r="J30" s="7">
        <f t="shared" si="1"/>
        <v>-332.68490310509003</v>
      </c>
      <c r="K30" s="7">
        <f t="shared" si="3"/>
        <v>-27.723741925424168</v>
      </c>
      <c r="L30" s="3">
        <f t="shared" si="4"/>
        <v>74.25</v>
      </c>
    </row>
    <row r="31" spans="1:12" x14ac:dyDescent="0.3">
      <c r="A31" s="17"/>
      <c r="B31" s="18"/>
      <c r="C31" s="19"/>
      <c r="G31" s="3">
        <v>2.2999999999999998</v>
      </c>
      <c r="H31" s="7">
        <f t="shared" si="0"/>
        <v>629.06063575335054</v>
      </c>
      <c r="I31" s="7">
        <f t="shared" si="2"/>
        <v>52.421719646112543</v>
      </c>
      <c r="J31" s="7">
        <f t="shared" si="1"/>
        <v>-392.20154415532113</v>
      </c>
      <c r="K31" s="7">
        <f t="shared" si="3"/>
        <v>-32.68346201294343</v>
      </c>
      <c r="L31" s="3">
        <f t="shared" si="4"/>
        <v>74.25</v>
      </c>
    </row>
    <row r="32" spans="1:12" x14ac:dyDescent="0.3">
      <c r="A32" s="20" t="s">
        <v>32</v>
      </c>
      <c r="B32" s="24">
        <f>ROUND(ATAN($B$10/B30)*57.2958,1)</f>
        <v>18.600000000000001</v>
      </c>
      <c r="C32" s="19" t="s">
        <v>42</v>
      </c>
      <c r="G32" s="3">
        <v>2.4</v>
      </c>
      <c r="H32" s="7">
        <f t="shared" si="0"/>
        <v>656.41109817740926</v>
      </c>
      <c r="I32" s="7">
        <f t="shared" si="2"/>
        <v>54.700924848117438</v>
      </c>
      <c r="J32" s="7">
        <f t="shared" si="1"/>
        <v>-455.57858520555271</v>
      </c>
      <c r="K32" s="7">
        <f t="shared" si="3"/>
        <v>-37.964882100462724</v>
      </c>
      <c r="L32" s="3">
        <f t="shared" si="4"/>
        <v>74.25</v>
      </c>
    </row>
    <row r="33" spans="1:12" x14ac:dyDescent="0.3">
      <c r="A33" s="17"/>
      <c r="B33" s="18"/>
      <c r="C33" s="19"/>
      <c r="G33" s="3">
        <v>2.5</v>
      </c>
      <c r="H33" s="7">
        <f t="shared" si="0"/>
        <v>683.76156060146798</v>
      </c>
      <c r="I33" s="7">
        <f t="shared" si="2"/>
        <v>56.980130050122334</v>
      </c>
      <c r="J33" s="7">
        <f t="shared" si="1"/>
        <v>-522.81602625578398</v>
      </c>
      <c r="K33" s="7">
        <f t="shared" si="3"/>
        <v>-43.568002187981996</v>
      </c>
      <c r="L33" s="3">
        <f t="shared" si="4"/>
        <v>74.25</v>
      </c>
    </row>
    <row r="34" spans="1:12" x14ac:dyDescent="0.3">
      <c r="A34" s="20" t="s">
        <v>37</v>
      </c>
      <c r="B34" s="24">
        <f>ROUND(SQRT((2*$B$22*$B$10)/(SIN(B32*0.01745)*SIN(B32*0.01745))),1)</f>
        <v>750.8</v>
      </c>
      <c r="C34" s="19" t="s">
        <v>38</v>
      </c>
      <c r="G34" s="3">
        <v>2.6</v>
      </c>
      <c r="H34" s="7">
        <f t="shared" si="0"/>
        <v>711.1120230255267</v>
      </c>
      <c r="I34" s="7">
        <f t="shared" si="2"/>
        <v>59.259335252127222</v>
      </c>
      <c r="J34" s="7">
        <f t="shared" si="1"/>
        <v>-593.9138673060155</v>
      </c>
      <c r="K34" s="7">
        <f t="shared" si="3"/>
        <v>-49.49282227550129</v>
      </c>
      <c r="L34" s="3">
        <f t="shared" si="4"/>
        <v>74.25</v>
      </c>
    </row>
    <row r="35" spans="1:12" x14ac:dyDescent="0.3">
      <c r="A35" s="17"/>
      <c r="B35" s="24">
        <f>ROUND(B34/12,1)</f>
        <v>62.6</v>
      </c>
      <c r="C35" s="19" t="s">
        <v>39</v>
      </c>
      <c r="G35" s="3">
        <v>2.7</v>
      </c>
      <c r="H35" s="7">
        <f t="shared" si="0"/>
        <v>738.46248544958542</v>
      </c>
      <c r="I35" s="7">
        <f t="shared" si="2"/>
        <v>61.538540454132118</v>
      </c>
      <c r="J35" s="7">
        <f t="shared" si="1"/>
        <v>-668.87210835624694</v>
      </c>
      <c r="K35" s="7">
        <f t="shared" si="3"/>
        <v>-55.739342363020576</v>
      </c>
      <c r="L35" s="3">
        <f t="shared" si="4"/>
        <v>74.25</v>
      </c>
    </row>
    <row r="36" spans="1:12" x14ac:dyDescent="0.3">
      <c r="A36" s="17"/>
      <c r="B36" s="18"/>
      <c r="C36" s="19"/>
      <c r="G36" s="3">
        <v>2.8</v>
      </c>
      <c r="H36" s="7">
        <f t="shared" si="0"/>
        <v>765.81294787364413</v>
      </c>
      <c r="I36" s="7">
        <f t="shared" si="2"/>
        <v>63.817745656137014</v>
      </c>
      <c r="J36" s="7">
        <f t="shared" si="1"/>
        <v>-747.69074940647795</v>
      </c>
      <c r="K36" s="7">
        <f t="shared" si="3"/>
        <v>-62.307562450539827</v>
      </c>
      <c r="L36" s="3">
        <f t="shared" si="4"/>
        <v>74.25</v>
      </c>
    </row>
    <row r="37" spans="1:12" ht="15" thickBot="1" x14ac:dyDescent="0.35">
      <c r="A37" s="21" t="s">
        <v>40</v>
      </c>
      <c r="B37" s="25">
        <f>ROUND((720*B35)/(B15*B14),0)</f>
        <v>10534</v>
      </c>
      <c r="C37" s="22" t="s">
        <v>41</v>
      </c>
      <c r="G37" s="3">
        <v>2.9</v>
      </c>
      <c r="H37" s="7">
        <f t="shared" si="0"/>
        <v>793.16341029770285</v>
      </c>
      <c r="I37" s="7">
        <f t="shared" si="2"/>
        <v>66.096950858141909</v>
      </c>
      <c r="J37" s="7">
        <f t="shared" si="1"/>
        <v>-830.36979045670967</v>
      </c>
      <c r="K37" s="7">
        <f t="shared" si="3"/>
        <v>-69.197482538059134</v>
      </c>
      <c r="L37" s="3">
        <f t="shared" si="4"/>
        <v>74.25</v>
      </c>
    </row>
    <row r="38" spans="1:12" ht="15" thickTop="1" x14ac:dyDescent="0.3">
      <c r="G38" s="3">
        <v>3</v>
      </c>
      <c r="H38" s="7">
        <f t="shared" si="0"/>
        <v>820.51387272176157</v>
      </c>
      <c r="I38" s="7">
        <f t="shared" si="2"/>
        <v>68.376156060146798</v>
      </c>
      <c r="J38" s="7">
        <f t="shared" si="1"/>
        <v>-916.90923150694084</v>
      </c>
      <c r="K38" s="7">
        <f t="shared" si="3"/>
        <v>-76.409102625578399</v>
      </c>
      <c r="L38" s="3">
        <f t="shared" si="4"/>
        <v>74.25</v>
      </c>
    </row>
    <row r="39" spans="1:12" x14ac:dyDescent="0.3">
      <c r="G39" s="3">
        <v>3.1</v>
      </c>
      <c r="H39" s="7">
        <f t="shared" si="0"/>
        <v>847.86433514582029</v>
      </c>
      <c r="I39" s="7">
        <f t="shared" si="2"/>
        <v>70.655361262151686</v>
      </c>
      <c r="J39" s="7">
        <f t="shared" si="1"/>
        <v>-1007.3090725571725</v>
      </c>
      <c r="K39" s="7">
        <f t="shared" si="3"/>
        <v>-83.942422713097713</v>
      </c>
      <c r="L39" s="3">
        <f t="shared" si="4"/>
        <v>74.25</v>
      </c>
    </row>
    <row r="40" spans="1:12" x14ac:dyDescent="0.3">
      <c r="G40" s="3">
        <v>3.2</v>
      </c>
      <c r="H40" s="7">
        <f t="shared" si="0"/>
        <v>875.21479756987901</v>
      </c>
      <c r="I40" s="7">
        <f t="shared" si="2"/>
        <v>72.934566464156589</v>
      </c>
      <c r="J40" s="7">
        <f t="shared" si="1"/>
        <v>-1101.5693136074042</v>
      </c>
      <c r="K40" s="7">
        <f t="shared" si="3"/>
        <v>-91.79744280061702</v>
      </c>
      <c r="L40" s="3">
        <f t="shared" si="4"/>
        <v>74.25</v>
      </c>
    </row>
    <row r="41" spans="1:12" x14ac:dyDescent="0.3">
      <c r="G41" s="3">
        <v>3.3</v>
      </c>
      <c r="H41" s="7">
        <f t="shared" si="0"/>
        <v>902.56525999393773</v>
      </c>
      <c r="I41" s="7">
        <f t="shared" si="2"/>
        <v>75.213771666161477</v>
      </c>
      <c r="J41" s="7">
        <f t="shared" si="1"/>
        <v>-1199.6899546576346</v>
      </c>
      <c r="K41" s="7">
        <f t="shared" si="3"/>
        <v>-99.97416288813622</v>
      </c>
      <c r="L41" s="3">
        <f t="shared" si="4"/>
        <v>74.25</v>
      </c>
    </row>
    <row r="42" spans="1:12" x14ac:dyDescent="0.3">
      <c r="G42" s="3">
        <v>3.4</v>
      </c>
      <c r="H42" s="7">
        <f t="shared" si="0"/>
        <v>929.91572241799645</v>
      </c>
      <c r="I42" s="7">
        <f t="shared" si="2"/>
        <v>77.492976868166366</v>
      </c>
      <c r="J42" s="7">
        <f t="shared" si="1"/>
        <v>-1301.670995707866</v>
      </c>
      <c r="K42" s="7">
        <f t="shared" si="3"/>
        <v>-108.4725829756555</v>
      </c>
      <c r="L42" s="3">
        <f t="shared" si="4"/>
        <v>74.25</v>
      </c>
    </row>
    <row r="43" spans="1:12" x14ac:dyDescent="0.3">
      <c r="G43" s="3">
        <v>3.5</v>
      </c>
      <c r="H43" s="7">
        <f t="shared" si="0"/>
        <v>957.26618484205517</v>
      </c>
      <c r="I43" s="7">
        <f t="shared" si="2"/>
        <v>79.772182070171269</v>
      </c>
      <c r="J43" s="7">
        <f t="shared" si="1"/>
        <v>-1407.5124367580979</v>
      </c>
      <c r="K43" s="7">
        <f t="shared" si="3"/>
        <v>-117.29270306317483</v>
      </c>
      <c r="L43" s="3">
        <f t="shared" si="4"/>
        <v>74.25</v>
      </c>
    </row>
    <row r="47" spans="1:12" x14ac:dyDescent="0.3">
      <c r="G47" s="4"/>
      <c r="H47" s="4"/>
      <c r="I47" s="4"/>
    </row>
    <row r="48" spans="1:12" x14ac:dyDescent="0.3">
      <c r="G48"/>
      <c r="H48"/>
      <c r="I48"/>
    </row>
    <row r="49" spans="7:8" x14ac:dyDescent="0.3">
      <c r="G49"/>
      <c r="H49"/>
    </row>
    <row r="50" spans="7:8" x14ac:dyDescent="0.3">
      <c r="G50"/>
      <c r="H50"/>
    </row>
    <row r="51" spans="7:8" x14ac:dyDescent="0.3">
      <c r="G51"/>
      <c r="H51"/>
    </row>
    <row r="52" spans="7:8" x14ac:dyDescent="0.3">
      <c r="G52"/>
      <c r="H52"/>
    </row>
    <row r="53" spans="7:8" x14ac:dyDescent="0.3">
      <c r="G53"/>
      <c r="H53"/>
    </row>
    <row r="54" spans="7:8" x14ac:dyDescent="0.3">
      <c r="G54"/>
      <c r="H54"/>
    </row>
    <row r="55" spans="7:8" x14ac:dyDescent="0.3">
      <c r="G55"/>
      <c r="H55"/>
    </row>
    <row r="56" spans="7:8" x14ac:dyDescent="0.3">
      <c r="G56"/>
      <c r="H56"/>
    </row>
    <row r="57" spans="7:8" x14ac:dyDescent="0.3">
      <c r="G57"/>
      <c r="H57"/>
    </row>
    <row r="58" spans="7:8" x14ac:dyDescent="0.3">
      <c r="G58"/>
      <c r="H58"/>
    </row>
    <row r="59" spans="7:8" x14ac:dyDescent="0.3">
      <c r="G59"/>
      <c r="H59"/>
    </row>
    <row r="60" spans="7:8" x14ac:dyDescent="0.3">
      <c r="G60"/>
      <c r="H60"/>
    </row>
    <row r="61" spans="7:8" x14ac:dyDescent="0.3">
      <c r="G61"/>
      <c r="H61"/>
    </row>
  </sheetData>
  <mergeCells count="1">
    <mergeCell ref="A28:C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9CD4-8DEB-4F2A-87C8-9FF228A68946}">
  <dimension ref="A1:V46"/>
  <sheetViews>
    <sheetView tabSelected="1" topLeftCell="A2" zoomScale="71" workbookViewId="0">
      <selection activeCell="C16" sqref="C16"/>
    </sheetView>
  </sheetViews>
  <sheetFormatPr defaultRowHeight="14.4" x14ac:dyDescent="0.3"/>
  <cols>
    <col min="1" max="1" width="19.109375" customWidth="1"/>
    <col min="2" max="4" width="9" bestFit="1" customWidth="1"/>
    <col min="6" max="6" width="10.88671875" bestFit="1" customWidth="1"/>
    <col min="7" max="7" width="9" bestFit="1" customWidth="1"/>
    <col min="8" max="8" width="10.77734375" hidden="1" customWidth="1"/>
    <col min="9" max="9" width="0" hidden="1" customWidth="1"/>
    <col min="10" max="21" width="9" bestFit="1" customWidth="1"/>
    <col min="22" max="22" width="9.77734375" bestFit="1" customWidth="1"/>
  </cols>
  <sheetData>
    <row r="1" spans="1:22" ht="18" x14ac:dyDescent="0.35">
      <c r="A1" s="1" t="s">
        <v>0</v>
      </c>
    </row>
    <row r="2" spans="1:22" ht="18" x14ac:dyDescent="0.35">
      <c r="A2" s="1" t="s">
        <v>1</v>
      </c>
      <c r="F2" t="s">
        <v>72</v>
      </c>
      <c r="G2" t="s">
        <v>69</v>
      </c>
    </row>
    <row r="3" spans="1:22" x14ac:dyDescent="0.3">
      <c r="J3" s="28">
        <v>25</v>
      </c>
      <c r="K3" s="28">
        <v>30</v>
      </c>
      <c r="L3" s="28">
        <v>35</v>
      </c>
      <c r="M3" s="28">
        <v>40</v>
      </c>
      <c r="N3" s="28">
        <v>45</v>
      </c>
      <c r="O3" s="28">
        <v>50</v>
      </c>
      <c r="P3" s="28">
        <v>55</v>
      </c>
      <c r="Q3" s="28">
        <v>60</v>
      </c>
      <c r="R3" s="28">
        <v>65</v>
      </c>
      <c r="S3" s="28">
        <v>70</v>
      </c>
      <c r="T3" s="28">
        <v>75</v>
      </c>
      <c r="U3" s="28">
        <v>80</v>
      </c>
      <c r="V3" s="28">
        <v>85</v>
      </c>
    </row>
    <row r="4" spans="1:22" hidden="1" x14ac:dyDescent="0.3"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hidden="1" x14ac:dyDescent="0.3">
      <c r="J5" s="28">
        <f t="shared" ref="J5:V5" si="0">RADIANS(J3)</f>
        <v>0.43633231299858238</v>
      </c>
      <c r="K5" s="28">
        <f t="shared" si="0"/>
        <v>0.52359877559829882</v>
      </c>
      <c r="L5" s="28">
        <f t="shared" si="0"/>
        <v>0.6108652381980153</v>
      </c>
      <c r="M5" s="28">
        <f t="shared" si="0"/>
        <v>0.69813170079773179</v>
      </c>
      <c r="N5" s="28">
        <f t="shared" si="0"/>
        <v>0.78539816339744828</v>
      </c>
      <c r="O5" s="28">
        <f t="shared" si="0"/>
        <v>0.87266462599716477</v>
      </c>
      <c r="P5" s="28">
        <f t="shared" si="0"/>
        <v>0.95993108859688125</v>
      </c>
      <c r="Q5" s="28">
        <f t="shared" si="0"/>
        <v>1.0471975511965976</v>
      </c>
      <c r="R5" s="28">
        <f t="shared" si="0"/>
        <v>1.1344640137963142</v>
      </c>
      <c r="S5" s="28">
        <f t="shared" si="0"/>
        <v>1.2217304763960306</v>
      </c>
      <c r="T5" s="28">
        <f t="shared" si="0"/>
        <v>1.3089969389957472</v>
      </c>
      <c r="U5" s="28">
        <f t="shared" si="0"/>
        <v>1.3962634015954636</v>
      </c>
      <c r="V5" s="28">
        <f t="shared" si="0"/>
        <v>1.4835298641951802</v>
      </c>
    </row>
    <row r="6" spans="1:22" x14ac:dyDescent="0.3">
      <c r="F6" s="3" t="s">
        <v>34</v>
      </c>
      <c r="G6" s="28">
        <v>0</v>
      </c>
      <c r="H6" s="28" t="s">
        <v>70</v>
      </c>
      <c r="I6" s="28">
        <f>G6*12</f>
        <v>0</v>
      </c>
      <c r="J6" s="9">
        <f>TAN(J$5)*$I6-(0.5*$B$24)*POWER($I6/($B$21*COS(J$5)), 2)</f>
        <v>0</v>
      </c>
      <c r="K6" s="9">
        <f t="shared" ref="J6:V7" si="1">TAN(K$5)*$I6-(0.5*$B$24)*POWER($I6/($B$21*COS(K$5)), 2)</f>
        <v>0</v>
      </c>
      <c r="L6" s="9">
        <f t="shared" si="1"/>
        <v>0</v>
      </c>
      <c r="M6" s="9">
        <f t="shared" si="1"/>
        <v>0</v>
      </c>
      <c r="N6" s="9">
        <f t="shared" si="1"/>
        <v>0</v>
      </c>
      <c r="O6" s="9">
        <f t="shared" si="1"/>
        <v>0</v>
      </c>
      <c r="P6" s="9">
        <f t="shared" si="1"/>
        <v>0</v>
      </c>
      <c r="Q6" s="9">
        <f t="shared" si="1"/>
        <v>0</v>
      </c>
      <c r="R6" s="9">
        <f t="shared" si="1"/>
        <v>0</v>
      </c>
      <c r="S6" s="9">
        <f t="shared" si="1"/>
        <v>0</v>
      </c>
      <c r="T6" s="9">
        <f t="shared" si="1"/>
        <v>0</v>
      </c>
      <c r="U6" s="9">
        <f t="shared" si="1"/>
        <v>0</v>
      </c>
      <c r="V6" s="9">
        <f t="shared" si="1"/>
        <v>0</v>
      </c>
    </row>
    <row r="7" spans="1:22" x14ac:dyDescent="0.3">
      <c r="A7" s="2" t="s">
        <v>10</v>
      </c>
      <c r="B7" s="12">
        <v>8</v>
      </c>
      <c r="C7" t="s">
        <v>3</v>
      </c>
      <c r="D7" s="12">
        <v>2.25</v>
      </c>
      <c r="E7" t="s">
        <v>4</v>
      </c>
      <c r="G7">
        <v>1</v>
      </c>
      <c r="I7" s="28">
        <f t="shared" ref="I7:I46" si="2">G7*12</f>
        <v>12</v>
      </c>
      <c r="J7" s="9">
        <f t="shared" si="1"/>
        <v>5.3525874759629639</v>
      </c>
      <c r="K7" s="9">
        <f t="shared" si="1"/>
        <v>6.6619572755072207</v>
      </c>
      <c r="L7" s="9">
        <f t="shared" si="1"/>
        <v>8.104902576442889</v>
      </c>
      <c r="M7" s="9">
        <f t="shared" si="1"/>
        <v>9.7289156335523828</v>
      </c>
      <c r="N7" s="9">
        <f t="shared" si="1"/>
        <v>11.600631067847566</v>
      </c>
      <c r="O7" s="9">
        <f t="shared" si="1"/>
        <v>13.817751465418553</v>
      </c>
      <c r="P7" s="9">
        <f t="shared" si="1"/>
        <v>16.53081383411109</v>
      </c>
      <c r="Q7" s="9">
        <f t="shared" si="1"/>
        <v>19.985871826521656</v>
      </c>
      <c r="R7" s="9">
        <f t="shared" si="1"/>
        <v>24.616067705711817</v>
      </c>
      <c r="S7" s="9">
        <f t="shared" si="1"/>
        <v>31.262699982824568</v>
      </c>
      <c r="T7" s="9">
        <f t="shared" si="1"/>
        <v>41.803679399311712</v>
      </c>
      <c r="U7" s="9">
        <f t="shared" si="1"/>
        <v>61.433158529460648</v>
      </c>
      <c r="V7" s="9">
        <f t="shared" si="1"/>
        <v>110.87294731347349</v>
      </c>
    </row>
    <row r="8" spans="1:22" x14ac:dyDescent="0.3">
      <c r="B8" s="13">
        <f>B7*12+D7</f>
        <v>98.25</v>
      </c>
      <c r="C8" t="s">
        <v>4</v>
      </c>
      <c r="G8">
        <v>2</v>
      </c>
      <c r="I8" s="28">
        <f t="shared" si="2"/>
        <v>24</v>
      </c>
      <c r="J8" s="9">
        <f t="shared" ref="J8:V23" si="3">TAN(J$5)*$I8-(0.5*$B$24)*POWER($I8/($B$21*COS(J$5)), 2)</f>
        <v>10.218966108131887</v>
      </c>
      <c r="K8" s="9">
        <f t="shared" si="3"/>
        <v>12.791422641477864</v>
      </c>
      <c r="L8" s="9">
        <f t="shared" si="3"/>
        <v>15.614629388738521</v>
      </c>
      <c r="M8" s="9">
        <f t="shared" si="3"/>
        <v>18.777271385954812</v>
      </c>
      <c r="N8" s="9">
        <f t="shared" si="3"/>
        <v>22.402524271390266</v>
      </c>
      <c r="O8" s="9">
        <f t="shared" si="3"/>
        <v>26.668919639413168</v>
      </c>
      <c r="P8" s="9">
        <f t="shared" si="3"/>
        <v>31.847703174633608</v>
      </c>
      <c r="Q8" s="9">
        <f t="shared" si="3"/>
        <v>38.374267924433582</v>
      </c>
      <c r="R8" s="9">
        <f t="shared" si="3"/>
        <v>46.996104730617859</v>
      </c>
      <c r="S8" s="9">
        <f t="shared" si="3"/>
        <v>59.111341864387349</v>
      </c>
      <c r="T8" s="9">
        <f t="shared" si="3"/>
        <v>77.64549821559379</v>
      </c>
      <c r="U8" s="9">
        <f t="shared" si="3"/>
        <v>109.62187044701764</v>
      </c>
      <c r="V8" s="9">
        <f t="shared" si="3"/>
        <v>169.17053398762158</v>
      </c>
    </row>
    <row r="9" spans="1:22" x14ac:dyDescent="0.3">
      <c r="G9">
        <v>3</v>
      </c>
      <c r="I9" s="28">
        <f t="shared" si="2"/>
        <v>36</v>
      </c>
      <c r="J9" s="9">
        <f t="shared" si="3"/>
        <v>14.599135896506773</v>
      </c>
      <c r="K9" s="9">
        <f t="shared" si="3"/>
        <v>18.388396097911933</v>
      </c>
      <c r="L9" s="9">
        <f t="shared" si="3"/>
        <v>22.529180436886897</v>
      </c>
      <c r="M9" s="9">
        <f t="shared" si="3"/>
        <v>27.145067257207288</v>
      </c>
      <c r="N9" s="9">
        <f t="shared" si="3"/>
        <v>32.405679610628098</v>
      </c>
      <c r="O9" s="9">
        <f t="shared" si="3"/>
        <v>38.553504521983854</v>
      </c>
      <c r="P9" s="9">
        <f t="shared" si="3"/>
        <v>45.950668021567566</v>
      </c>
      <c r="Q9" s="9">
        <f t="shared" si="3"/>
        <v>55.165188293735774</v>
      </c>
      <c r="R9" s="9">
        <f t="shared" si="3"/>
        <v>67.140111074718135</v>
      </c>
      <c r="S9" s="9">
        <f t="shared" si="3"/>
        <v>83.545925644688353</v>
      </c>
      <c r="T9" s="9">
        <f t="shared" si="3"/>
        <v>107.52545644884626</v>
      </c>
      <c r="U9" s="9">
        <f t="shared" si="3"/>
        <v>144.56613575267096</v>
      </c>
      <c r="V9" s="9">
        <f t="shared" si="3"/>
        <v>174.89276002244421</v>
      </c>
    </row>
    <row r="10" spans="1:22" x14ac:dyDescent="0.3">
      <c r="A10" s="2" t="s">
        <v>7</v>
      </c>
      <c r="B10" s="12">
        <v>24</v>
      </c>
      <c r="C10" t="s">
        <v>4</v>
      </c>
      <c r="G10">
        <v>4</v>
      </c>
      <c r="I10" s="28">
        <f t="shared" si="2"/>
        <v>48</v>
      </c>
      <c r="J10" s="9">
        <f t="shared" si="3"/>
        <v>18.493096841087617</v>
      </c>
      <c r="K10" s="9">
        <f t="shared" si="3"/>
        <v>23.452877644809419</v>
      </c>
      <c r="L10" s="9">
        <f t="shared" si="3"/>
        <v>28.848555720888019</v>
      </c>
      <c r="M10" s="9">
        <f t="shared" si="3"/>
        <v>34.83230324730981</v>
      </c>
      <c r="N10" s="9">
        <f t="shared" si="3"/>
        <v>41.610097085561065</v>
      </c>
      <c r="O10" s="9">
        <f t="shared" si="3"/>
        <v>49.471506113130594</v>
      </c>
      <c r="P10" s="9">
        <f t="shared" si="3"/>
        <v>58.839708374912952</v>
      </c>
      <c r="Q10" s="9">
        <f t="shared" si="3"/>
        <v>70.358632934428243</v>
      </c>
      <c r="R10" s="9">
        <f t="shared" si="3"/>
        <v>85.048086738012628</v>
      </c>
      <c r="S10" s="9">
        <f t="shared" si="3"/>
        <v>104.56645132372756</v>
      </c>
      <c r="T10" s="9">
        <f t="shared" si="3"/>
        <v>131.44355409906908</v>
      </c>
      <c r="U10" s="9">
        <f t="shared" si="3"/>
        <v>166.26595444642064</v>
      </c>
      <c r="V10" s="9">
        <f t="shared" si="3"/>
        <v>128.03962541794164</v>
      </c>
    </row>
    <row r="11" spans="1:22" x14ac:dyDescent="0.3">
      <c r="G11" s="28">
        <v>5</v>
      </c>
      <c r="H11" s="28"/>
      <c r="I11" s="28">
        <f t="shared" si="2"/>
        <v>60</v>
      </c>
      <c r="J11" s="9">
        <f t="shared" si="3"/>
        <v>21.900848941874425</v>
      </c>
      <c r="K11" s="9">
        <f t="shared" si="3"/>
        <v>27.984867282170331</v>
      </c>
      <c r="L11" s="9">
        <f t="shared" si="3"/>
        <v>34.57275524074187</v>
      </c>
      <c r="M11" s="9">
        <f t="shared" si="3"/>
        <v>41.838979356262378</v>
      </c>
      <c r="N11" s="9">
        <f t="shared" si="3"/>
        <v>50.015776696189178</v>
      </c>
      <c r="O11" s="9">
        <f t="shared" si="3"/>
        <v>59.422924412853405</v>
      </c>
      <c r="P11" s="9">
        <f t="shared" si="3"/>
        <v>70.514824234669788</v>
      </c>
      <c r="Q11" s="9">
        <f t="shared" si="3"/>
        <v>83.954601846510968</v>
      </c>
      <c r="R11" s="9">
        <f t="shared" si="3"/>
        <v>100.72003172050134</v>
      </c>
      <c r="S11" s="9">
        <f t="shared" si="3"/>
        <v>122.17291890150501</v>
      </c>
      <c r="T11" s="9">
        <f t="shared" si="3"/>
        <v>149.3997911662623</v>
      </c>
      <c r="U11" s="9">
        <f t="shared" si="3"/>
        <v>174.72132652826667</v>
      </c>
      <c r="V11" s="9">
        <f t="shared" si="3"/>
        <v>28.611130174113441</v>
      </c>
    </row>
    <row r="12" spans="1:22" x14ac:dyDescent="0.3">
      <c r="A12" s="14" t="s">
        <v>2</v>
      </c>
      <c r="B12">
        <f>B8-B10</f>
        <v>74.25</v>
      </c>
      <c r="C12" t="s">
        <v>4</v>
      </c>
      <c r="G12">
        <v>6</v>
      </c>
      <c r="I12" s="28">
        <f t="shared" si="2"/>
        <v>72</v>
      </c>
      <c r="J12" s="9">
        <f t="shared" si="3"/>
        <v>24.822392198867195</v>
      </c>
      <c r="K12" s="9">
        <f t="shared" si="3"/>
        <v>31.984365009994669</v>
      </c>
      <c r="L12" s="9">
        <f t="shared" si="3"/>
        <v>39.701778996448482</v>
      </c>
      <c r="M12" s="9">
        <f t="shared" si="3"/>
        <v>48.165095584065</v>
      </c>
      <c r="N12" s="9">
        <f t="shared" si="3"/>
        <v>57.622718442512408</v>
      </c>
      <c r="O12" s="9">
        <f t="shared" si="3"/>
        <v>68.407759421152292</v>
      </c>
      <c r="P12" s="9">
        <f t="shared" si="3"/>
        <v>80.976015600838025</v>
      </c>
      <c r="Q12" s="9">
        <f t="shared" si="3"/>
        <v>95.953095029983984</v>
      </c>
      <c r="R12" s="9">
        <f t="shared" si="3"/>
        <v>114.15594602218428</v>
      </c>
      <c r="S12" s="9">
        <f t="shared" si="3"/>
        <v>136.36532837802065</v>
      </c>
      <c r="T12" s="9">
        <f t="shared" si="3"/>
        <v>161.39416765042583</v>
      </c>
      <c r="U12" s="9">
        <f t="shared" si="3"/>
        <v>169.93225199820901</v>
      </c>
      <c r="V12" s="9">
        <f t="shared" si="3"/>
        <v>-123.39272570904029</v>
      </c>
    </row>
    <row r="13" spans="1:22" x14ac:dyDescent="0.3">
      <c r="G13">
        <v>7</v>
      </c>
      <c r="I13" s="28">
        <f t="shared" si="2"/>
        <v>84</v>
      </c>
      <c r="J13" s="9">
        <f t="shared" si="3"/>
        <v>27.257726612065916</v>
      </c>
      <c r="K13" s="9">
        <f t="shared" si="3"/>
        <v>35.451370828282428</v>
      </c>
      <c r="L13" s="9">
        <f t="shared" si="3"/>
        <v>44.23562698800783</v>
      </c>
      <c r="M13" s="9">
        <f t="shared" si="3"/>
        <v>53.810651930717654</v>
      </c>
      <c r="N13" s="9">
        <f t="shared" si="3"/>
        <v>64.430922324530783</v>
      </c>
      <c r="O13" s="9">
        <f t="shared" si="3"/>
        <v>76.426011138027206</v>
      </c>
      <c r="P13" s="9">
        <f t="shared" si="3"/>
        <v>90.223282473417726</v>
      </c>
      <c r="Q13" s="9">
        <f t="shared" si="3"/>
        <v>106.35411248484724</v>
      </c>
      <c r="R13" s="9">
        <f t="shared" si="3"/>
        <v>125.35582964306147</v>
      </c>
      <c r="S13" s="9">
        <f t="shared" si="3"/>
        <v>147.14367975327451</v>
      </c>
      <c r="T13" s="9">
        <f t="shared" si="3"/>
        <v>167.42668355155979</v>
      </c>
      <c r="U13" s="9">
        <f t="shared" si="3"/>
        <v>151.89873085624777</v>
      </c>
      <c r="V13" s="9">
        <f t="shared" si="3"/>
        <v>-327.97194223151871</v>
      </c>
    </row>
    <row r="14" spans="1:22" x14ac:dyDescent="0.3">
      <c r="A14" s="2" t="s">
        <v>19</v>
      </c>
      <c r="B14" s="12">
        <v>6</v>
      </c>
      <c r="C14" t="s">
        <v>4</v>
      </c>
      <c r="G14">
        <v>8</v>
      </c>
      <c r="I14" s="28">
        <f t="shared" si="2"/>
        <v>96</v>
      </c>
      <c r="J14" s="9">
        <f t="shared" si="3"/>
        <v>29.206852181470609</v>
      </c>
      <c r="K14" s="9">
        <f t="shared" si="3"/>
        <v>38.385884737033606</v>
      </c>
      <c r="L14" s="9">
        <f t="shared" si="3"/>
        <v>48.174299215419936</v>
      </c>
      <c r="M14" s="9">
        <f t="shared" si="3"/>
        <v>58.775648396220362</v>
      </c>
      <c r="N14" s="9">
        <f t="shared" si="3"/>
        <v>70.44038834224429</v>
      </c>
      <c r="O14" s="9">
        <f t="shared" si="3"/>
        <v>83.477679563478233</v>
      </c>
      <c r="P14" s="9">
        <f t="shared" si="3"/>
        <v>98.256624852408834</v>
      </c>
      <c r="Q14" s="9">
        <f t="shared" si="3"/>
        <v>115.15765421110078</v>
      </c>
      <c r="R14" s="9">
        <f t="shared" si="3"/>
        <v>134.31968258313287</v>
      </c>
      <c r="S14" s="9">
        <f t="shared" si="3"/>
        <v>154.50797302726659</v>
      </c>
      <c r="T14" s="9">
        <f t="shared" si="3"/>
        <v>167.49733886966408</v>
      </c>
      <c r="U14" s="9">
        <f t="shared" si="3"/>
        <v>120.62076310238274</v>
      </c>
      <c r="V14" s="9">
        <f t="shared" si="3"/>
        <v>-585.12651939332295</v>
      </c>
    </row>
    <row r="15" spans="1:22" x14ac:dyDescent="0.3">
      <c r="A15" s="14" t="s">
        <v>23</v>
      </c>
      <c r="B15" s="12">
        <f>C15*D15</f>
        <v>5231.5999999999995</v>
      </c>
      <c r="C15">
        <v>0.82</v>
      </c>
      <c r="D15">
        <v>6380</v>
      </c>
      <c r="G15">
        <v>9</v>
      </c>
      <c r="I15" s="28">
        <f t="shared" si="2"/>
        <v>108</v>
      </c>
      <c r="J15" s="9">
        <f t="shared" si="3"/>
        <v>30.669768907081259</v>
      </c>
      <c r="K15" s="9">
        <f t="shared" si="3"/>
        <v>40.787906736248217</v>
      </c>
      <c r="L15" s="9">
        <f t="shared" si="3"/>
        <v>51.517795678684763</v>
      </c>
      <c r="M15" s="9">
        <f t="shared" si="3"/>
        <v>63.060084980573109</v>
      </c>
      <c r="N15" s="9">
        <f t="shared" si="3"/>
        <v>75.651116495652943</v>
      </c>
      <c r="O15" s="9">
        <f t="shared" si="3"/>
        <v>89.562764697505287</v>
      </c>
      <c r="P15" s="9">
        <f t="shared" si="3"/>
        <v>105.07604273781138</v>
      </c>
      <c r="Q15" s="9">
        <f t="shared" si="3"/>
        <v>122.36372020874461</v>
      </c>
      <c r="R15" s="9">
        <f t="shared" si="3"/>
        <v>141.04750484239847</v>
      </c>
      <c r="S15" s="9">
        <f t="shared" si="3"/>
        <v>158.45820819999688</v>
      </c>
      <c r="T15" s="9">
        <f t="shared" si="3"/>
        <v>161.60613360473886</v>
      </c>
      <c r="U15" s="9">
        <f t="shared" si="3"/>
        <v>76.098348736614184</v>
      </c>
      <c r="V15" s="9">
        <f t="shared" si="3"/>
        <v>-894.85645719445324</v>
      </c>
    </row>
    <row r="16" spans="1:22" x14ac:dyDescent="0.3">
      <c r="A16" s="14" t="s">
        <v>22</v>
      </c>
      <c r="B16" s="13">
        <f>PI()*B14</f>
        <v>18.849555921538759</v>
      </c>
      <c r="C16" t="s">
        <v>4</v>
      </c>
      <c r="G16" s="28">
        <v>10</v>
      </c>
      <c r="H16" s="28"/>
      <c r="I16" s="28">
        <f t="shared" si="2"/>
        <v>120</v>
      </c>
      <c r="J16" s="9">
        <f t="shared" si="3"/>
        <v>31.646476788897868</v>
      </c>
      <c r="K16" s="9">
        <f t="shared" si="3"/>
        <v>42.65743682592624</v>
      </c>
      <c r="L16" s="9">
        <f t="shared" si="3"/>
        <v>54.266116377802334</v>
      </c>
      <c r="M16" s="9">
        <f t="shared" si="3"/>
        <v>66.663961683775909</v>
      </c>
      <c r="N16" s="9">
        <f t="shared" si="3"/>
        <v>80.063106784756712</v>
      </c>
      <c r="O16" s="9">
        <f t="shared" si="3"/>
        <v>94.681266540108425</v>
      </c>
      <c r="P16" s="9">
        <f t="shared" si="3"/>
        <v>110.6815361296254</v>
      </c>
      <c r="Q16" s="9">
        <f t="shared" si="3"/>
        <v>127.97231047777868</v>
      </c>
      <c r="R16" s="9">
        <f t="shared" si="3"/>
        <v>145.53929642085834</v>
      </c>
      <c r="S16" s="9">
        <f t="shared" si="3"/>
        <v>158.99438527146543</v>
      </c>
      <c r="T16" s="9">
        <f t="shared" si="3"/>
        <v>149.75306775678388</v>
      </c>
      <c r="U16" s="9">
        <f t="shared" si="3"/>
        <v>18.331487758941876</v>
      </c>
      <c r="V16" s="9">
        <f t="shared" si="3"/>
        <v>-1257.1617556349081</v>
      </c>
    </row>
    <row r="17" spans="1:22" x14ac:dyDescent="0.3">
      <c r="A17" s="14" t="s">
        <v>33</v>
      </c>
      <c r="B17" s="12">
        <v>0.22700000000000001</v>
      </c>
      <c r="G17">
        <v>11</v>
      </c>
      <c r="I17" s="28">
        <f t="shared" si="2"/>
        <v>132</v>
      </c>
      <c r="J17" s="9">
        <f t="shared" si="3"/>
        <v>32.136975826920448</v>
      </c>
      <c r="K17" s="9">
        <f t="shared" si="3"/>
        <v>43.994475006067688</v>
      </c>
      <c r="L17" s="9">
        <f t="shared" si="3"/>
        <v>56.419261312772669</v>
      </c>
      <c r="M17" s="9">
        <f t="shared" si="3"/>
        <v>69.587278505828763</v>
      </c>
      <c r="N17" s="9">
        <f t="shared" si="3"/>
        <v>83.676359209555599</v>
      </c>
      <c r="O17" s="9">
        <f t="shared" si="3"/>
        <v>98.833185091287632</v>
      </c>
      <c r="P17" s="9">
        <f t="shared" si="3"/>
        <v>115.0731050278508</v>
      </c>
      <c r="Q17" s="9">
        <f t="shared" si="3"/>
        <v>131.98342501820304</v>
      </c>
      <c r="R17" s="9">
        <f t="shared" si="3"/>
        <v>147.79505731851239</v>
      </c>
      <c r="S17" s="9">
        <f t="shared" si="3"/>
        <v>156.1165042416722</v>
      </c>
      <c r="T17" s="9">
        <f t="shared" si="3"/>
        <v>131.93814132579934</v>
      </c>
      <c r="U17" s="9">
        <f t="shared" si="3"/>
        <v>-52.679819830634074</v>
      </c>
      <c r="V17" s="9">
        <f t="shared" si="3"/>
        <v>-1672.0424147146887</v>
      </c>
    </row>
    <row r="18" spans="1:22" x14ac:dyDescent="0.3">
      <c r="G18">
        <v>12</v>
      </c>
      <c r="I18" s="28">
        <f t="shared" si="2"/>
        <v>144</v>
      </c>
      <c r="J18" s="9">
        <f t="shared" si="3"/>
        <v>32.141266021148979</v>
      </c>
      <c r="K18" s="9">
        <f t="shared" si="3"/>
        <v>44.799021276672569</v>
      </c>
      <c r="L18" s="9">
        <f t="shared" si="3"/>
        <v>57.977230483595733</v>
      </c>
      <c r="M18" s="9">
        <f t="shared" si="3"/>
        <v>71.830035446731671</v>
      </c>
      <c r="N18" s="9">
        <f t="shared" si="3"/>
        <v>86.490873770049646</v>
      </c>
      <c r="O18" s="9">
        <f t="shared" si="3"/>
        <v>102.01852035104292</v>
      </c>
      <c r="P18" s="9">
        <f t="shared" si="3"/>
        <v>118.25074943248765</v>
      </c>
      <c r="Q18" s="9">
        <f t="shared" si="3"/>
        <v>134.39706383001766</v>
      </c>
      <c r="R18" s="9">
        <f t="shared" si="3"/>
        <v>147.81478753536069</v>
      </c>
      <c r="S18" s="9">
        <f t="shared" si="3"/>
        <v>149.8245651106171</v>
      </c>
      <c r="T18" s="9">
        <f t="shared" si="3"/>
        <v>108.16135431178498</v>
      </c>
      <c r="U18" s="9">
        <f t="shared" si="3"/>
        <v>-136.93557403211366</v>
      </c>
      <c r="V18" s="9">
        <f t="shared" si="3"/>
        <v>-2139.4984344337954</v>
      </c>
    </row>
    <row r="19" spans="1:22" x14ac:dyDescent="0.3">
      <c r="A19" s="2" t="s">
        <v>20</v>
      </c>
      <c r="B19" s="13">
        <f>B15*B16</f>
        <v>98613.336759122161</v>
      </c>
      <c r="C19" t="s">
        <v>24</v>
      </c>
      <c r="G19">
        <v>13</v>
      </c>
      <c r="I19" s="28">
        <f t="shared" si="2"/>
        <v>156</v>
      </c>
      <c r="J19" s="9">
        <f t="shared" si="3"/>
        <v>31.659347371583472</v>
      </c>
      <c r="K19" s="9">
        <f t="shared" si="3"/>
        <v>45.071075637740861</v>
      </c>
      <c r="L19" s="9">
        <f t="shared" si="3"/>
        <v>58.94002389027154</v>
      </c>
      <c r="M19" s="9">
        <f t="shared" si="3"/>
        <v>73.392232506484618</v>
      </c>
      <c r="N19" s="9">
        <f t="shared" si="3"/>
        <v>88.506650466238852</v>
      </c>
      <c r="O19" s="9">
        <f t="shared" si="3"/>
        <v>104.23727231937424</v>
      </c>
      <c r="P19" s="9">
        <f t="shared" si="3"/>
        <v>120.21446934353594</v>
      </c>
      <c r="Q19" s="9">
        <f t="shared" si="3"/>
        <v>135.21322691322251</v>
      </c>
      <c r="R19" s="9">
        <f t="shared" si="3"/>
        <v>145.59848707140324</v>
      </c>
      <c r="S19" s="9">
        <f t="shared" si="3"/>
        <v>140.11856787830021</v>
      </c>
      <c r="T19" s="9">
        <f t="shared" si="3"/>
        <v>78.422706714741196</v>
      </c>
      <c r="U19" s="9">
        <f t="shared" si="3"/>
        <v>-234.43577484549701</v>
      </c>
      <c r="V19" s="9">
        <f t="shared" si="3"/>
        <v>-2659.5298147922267</v>
      </c>
    </row>
    <row r="20" spans="1:22" x14ac:dyDescent="0.3">
      <c r="A20" s="2" t="s">
        <v>20</v>
      </c>
      <c r="B20" s="15">
        <f>($B$17*B19)/(12*60)</f>
        <v>31.090593672667683</v>
      </c>
      <c r="C20" t="s">
        <v>21</v>
      </c>
      <c r="G20">
        <v>14</v>
      </c>
      <c r="I20" s="28">
        <f t="shared" si="2"/>
        <v>168</v>
      </c>
      <c r="J20" s="9">
        <f t="shared" si="3"/>
        <v>30.691219878223912</v>
      </c>
      <c r="K20" s="9">
        <f t="shared" si="3"/>
        <v>44.810638089272594</v>
      </c>
      <c r="L20" s="9">
        <f t="shared" si="3"/>
        <v>59.307641532800098</v>
      </c>
      <c r="M20" s="9">
        <f t="shared" si="3"/>
        <v>74.273869685087575</v>
      </c>
      <c r="N20" s="9">
        <f t="shared" si="3"/>
        <v>89.723689298123162</v>
      </c>
      <c r="O20" s="9">
        <f t="shared" si="3"/>
        <v>105.48944099628159</v>
      </c>
      <c r="P20" s="9">
        <f t="shared" si="3"/>
        <v>120.96426476099566</v>
      </c>
      <c r="Q20" s="9">
        <f t="shared" si="3"/>
        <v>134.43191426781769</v>
      </c>
      <c r="R20" s="9">
        <f t="shared" si="3"/>
        <v>141.14615592663998</v>
      </c>
      <c r="S20" s="9">
        <f t="shared" si="3"/>
        <v>126.99851254472168</v>
      </c>
      <c r="T20" s="9">
        <f t="shared" si="3"/>
        <v>42.722198534667768</v>
      </c>
      <c r="U20" s="9">
        <f t="shared" si="3"/>
        <v>-345.18042227078365</v>
      </c>
      <c r="V20" s="9">
        <f t="shared" si="3"/>
        <v>-3232.1365557899817</v>
      </c>
    </row>
    <row r="21" spans="1:22" x14ac:dyDescent="0.3">
      <c r="B21">
        <f>B20*12</f>
        <v>373.08712407201222</v>
      </c>
      <c r="C21" t="s">
        <v>71</v>
      </c>
      <c r="G21" s="28">
        <v>15</v>
      </c>
      <c r="H21" s="28"/>
      <c r="I21" s="28">
        <f t="shared" si="2"/>
        <v>180</v>
      </c>
      <c r="J21" s="9">
        <f t="shared" si="3"/>
        <v>29.236883541070334</v>
      </c>
      <c r="K21" s="9">
        <f t="shared" si="3"/>
        <v>44.01770863126773</v>
      </c>
      <c r="L21" s="9">
        <f t="shared" si="3"/>
        <v>59.080083411181405</v>
      </c>
      <c r="M21" s="9">
        <f t="shared" si="3"/>
        <v>74.474946982540587</v>
      </c>
      <c r="N21" s="9">
        <f t="shared" si="3"/>
        <v>90.141990265702617</v>
      </c>
      <c r="O21" s="9">
        <f t="shared" si="3"/>
        <v>105.77502638176507</v>
      </c>
      <c r="P21" s="9">
        <f t="shared" si="3"/>
        <v>120.50013568486679</v>
      </c>
      <c r="Q21" s="9">
        <f t="shared" si="3"/>
        <v>132.05312589380313</v>
      </c>
      <c r="R21" s="9">
        <f t="shared" si="3"/>
        <v>134.45779410107096</v>
      </c>
      <c r="S21" s="9">
        <f t="shared" si="3"/>
        <v>110.46439910988124</v>
      </c>
      <c r="T21" s="9">
        <f t="shared" si="3"/>
        <v>1.0598297715647504</v>
      </c>
      <c r="U21" s="9">
        <f t="shared" si="3"/>
        <v>-469.16951630797462</v>
      </c>
      <c r="V21" s="9">
        <f t="shared" si="3"/>
        <v>-3857.3186574270644</v>
      </c>
    </row>
    <row r="22" spans="1:22" x14ac:dyDescent="0.3">
      <c r="G22">
        <v>16</v>
      </c>
      <c r="I22" s="28">
        <f t="shared" si="2"/>
        <v>192</v>
      </c>
      <c r="J22" s="9">
        <f t="shared" si="3"/>
        <v>27.296338360122697</v>
      </c>
      <c r="K22" s="9">
        <f t="shared" si="3"/>
        <v>42.6922872637263</v>
      </c>
      <c r="L22" s="9">
        <f t="shared" si="3"/>
        <v>58.257349525415464</v>
      </c>
      <c r="M22" s="9">
        <f t="shared" si="3"/>
        <v>73.995464398843694</v>
      </c>
      <c r="N22" s="9">
        <f t="shared" si="3"/>
        <v>89.761553368977175</v>
      </c>
      <c r="O22" s="9">
        <f t="shared" si="3"/>
        <v>105.09402847582459</v>
      </c>
      <c r="P22" s="9">
        <f t="shared" si="3"/>
        <v>118.82208211514936</v>
      </c>
      <c r="Q22" s="9">
        <f t="shared" si="3"/>
        <v>128.0768617911788</v>
      </c>
      <c r="R22" s="9">
        <f t="shared" si="3"/>
        <v>125.53340159469622</v>
      </c>
      <c r="S22" s="9">
        <f t="shared" si="3"/>
        <v>90.516227573779076</v>
      </c>
      <c r="T22" s="9">
        <f t="shared" si="3"/>
        <v>-46.564399574568142</v>
      </c>
      <c r="U22" s="9">
        <f t="shared" si="3"/>
        <v>-606.40305695706866</v>
      </c>
      <c r="V22" s="9">
        <f t="shared" si="3"/>
        <v>-4535.0761197034708</v>
      </c>
    </row>
    <row r="23" spans="1:22" x14ac:dyDescent="0.3">
      <c r="A23" s="2" t="s">
        <v>29</v>
      </c>
      <c r="B23">
        <v>32.17</v>
      </c>
      <c r="C23" t="s">
        <v>27</v>
      </c>
      <c r="G23">
        <v>17</v>
      </c>
      <c r="I23" s="28">
        <f t="shared" si="2"/>
        <v>204</v>
      </c>
      <c r="J23" s="9">
        <f t="shared" si="3"/>
        <v>24.869584335381035</v>
      </c>
      <c r="K23" s="9">
        <f t="shared" si="3"/>
        <v>40.834373986648302</v>
      </c>
      <c r="L23" s="9">
        <f t="shared" si="3"/>
        <v>56.839439875502208</v>
      </c>
      <c r="M23" s="9">
        <f t="shared" si="3"/>
        <v>72.835421933996798</v>
      </c>
      <c r="N23" s="9">
        <f t="shared" si="3"/>
        <v>88.582378607946893</v>
      </c>
      <c r="O23" s="9">
        <f t="shared" si="3"/>
        <v>103.4464472784602</v>
      </c>
      <c r="P23" s="9">
        <f t="shared" si="3"/>
        <v>115.93010405184341</v>
      </c>
      <c r="Q23" s="9">
        <f t="shared" si="3"/>
        <v>122.50312195994474</v>
      </c>
      <c r="R23" s="9">
        <f t="shared" si="3"/>
        <v>114.37297840751557</v>
      </c>
      <c r="S23" s="9">
        <f t="shared" si="3"/>
        <v>67.15399793641501</v>
      </c>
      <c r="T23" s="9">
        <f t="shared" si="3"/>
        <v>-100.15048950373023</v>
      </c>
      <c r="U23" s="9">
        <f t="shared" si="3"/>
        <v>-756.88104421806656</v>
      </c>
      <c r="V23" s="9">
        <f t="shared" si="3"/>
        <v>-5265.4089426192058</v>
      </c>
    </row>
    <row r="24" spans="1:22" x14ac:dyDescent="0.3">
      <c r="B24">
        <f>B23*12</f>
        <v>386.04</v>
      </c>
      <c r="C24" t="s">
        <v>28</v>
      </c>
      <c r="G24">
        <v>18</v>
      </c>
      <c r="I24" s="28">
        <f t="shared" si="2"/>
        <v>216</v>
      </c>
      <c r="J24" s="9">
        <f t="shared" ref="J24:V24" si="4">TAN(J$5)*$I24-(0.5*$B$24)*POWER($I24/($B$21*COS(J$5)), 2)</f>
        <v>21.956621466845348</v>
      </c>
      <c r="K24" s="9">
        <f t="shared" si="4"/>
        <v>38.443968800033701</v>
      </c>
      <c r="L24" s="9">
        <f t="shared" si="4"/>
        <v>54.826354461441738</v>
      </c>
      <c r="M24" s="9">
        <f t="shared" si="4"/>
        <v>70.99481958799997</v>
      </c>
      <c r="N24" s="9">
        <f t="shared" si="4"/>
        <v>86.604465982611799</v>
      </c>
      <c r="O24" s="9">
        <f t="shared" si="4"/>
        <v>100.83228278967181</v>
      </c>
      <c r="P24" s="9">
        <f t="shared" si="4"/>
        <v>111.82420149494882</v>
      </c>
      <c r="Q24" s="9">
        <f t="shared" si="4"/>
        <v>115.33190640010105</v>
      </c>
      <c r="R24" s="9">
        <f t="shared" si="4"/>
        <v>100.97652453952924</v>
      </c>
      <c r="S24" s="9">
        <f t="shared" si="4"/>
        <v>40.37771019778927</v>
      </c>
      <c r="T24" s="9">
        <f t="shared" si="4"/>
        <v>-159.69844001592219</v>
      </c>
      <c r="U24" s="9">
        <f t="shared" si="4"/>
        <v>-920.60347809096788</v>
      </c>
      <c r="V24" s="9">
        <f t="shared" si="4"/>
        <v>-6048.3171261742646</v>
      </c>
    </row>
    <row r="25" spans="1:22" x14ac:dyDescent="0.3">
      <c r="G25">
        <v>19</v>
      </c>
      <c r="I25" s="28">
        <f t="shared" si="2"/>
        <v>228</v>
      </c>
      <c r="J25" s="9">
        <f t="shared" ref="J25:V40" si="5">TAN(J$5)*$I25-(0.5*$B$24)*POWER($I25/($B$21*COS(J$5)), 2)</f>
        <v>18.557449754515616</v>
      </c>
      <c r="K25" s="9">
        <f t="shared" si="5"/>
        <v>35.521071703882555</v>
      </c>
      <c r="L25" s="9">
        <f t="shared" si="5"/>
        <v>52.21809328323404</v>
      </c>
      <c r="M25" s="9">
        <f t="shared" si="5"/>
        <v>68.47365736085321</v>
      </c>
      <c r="N25" s="9">
        <f t="shared" si="5"/>
        <v>83.827815492971752</v>
      </c>
      <c r="O25" s="9">
        <f t="shared" si="5"/>
        <v>97.251535009459559</v>
      </c>
      <c r="P25" s="9">
        <f t="shared" si="5"/>
        <v>106.50437444446581</v>
      </c>
      <c r="Q25" s="9">
        <f t="shared" si="5"/>
        <v>106.56321511164754</v>
      </c>
      <c r="R25" s="9">
        <f t="shared" si="5"/>
        <v>85.344039990737087</v>
      </c>
      <c r="S25" s="9">
        <f t="shared" si="5"/>
        <v>10.187364357901856</v>
      </c>
      <c r="T25" s="9">
        <f t="shared" si="5"/>
        <v>-225.20825111114402</v>
      </c>
      <c r="U25" s="9">
        <f t="shared" si="5"/>
        <v>-1097.5703585757731</v>
      </c>
      <c r="V25" s="9">
        <f t="shared" si="5"/>
        <v>-6883.8006703686478</v>
      </c>
    </row>
    <row r="26" spans="1:22" x14ac:dyDescent="0.3">
      <c r="G26" s="28">
        <v>20</v>
      </c>
      <c r="H26" s="28"/>
      <c r="I26" s="28">
        <f t="shared" si="2"/>
        <v>240</v>
      </c>
      <c r="J26" s="9">
        <f t="shared" si="5"/>
        <v>14.67206919839181</v>
      </c>
      <c r="K26" s="9">
        <f t="shared" si="5"/>
        <v>32.065682698194777</v>
      </c>
      <c r="L26" s="9">
        <f t="shared" si="5"/>
        <v>49.014656340879014</v>
      </c>
      <c r="M26" s="9">
        <f t="shared" si="5"/>
        <v>65.271935252556489</v>
      </c>
      <c r="N26" s="9">
        <f t="shared" si="5"/>
        <v>80.252427139026878</v>
      </c>
      <c r="O26" s="9">
        <f t="shared" si="5"/>
        <v>92.704203937823337</v>
      </c>
      <c r="P26" s="9">
        <f t="shared" si="5"/>
        <v>99.970622900394119</v>
      </c>
      <c r="Q26" s="9">
        <f t="shared" si="5"/>
        <v>96.197048094584261</v>
      </c>
      <c r="R26" s="9">
        <f t="shared" si="5"/>
        <v>67.475524761139241</v>
      </c>
      <c r="S26" s="9">
        <f t="shared" si="5"/>
        <v>-23.417039583247515</v>
      </c>
      <c r="T26" s="9">
        <f t="shared" si="5"/>
        <v>-296.67992278939516</v>
      </c>
      <c r="U26" s="9">
        <f t="shared" si="5"/>
        <v>-1287.7816856724821</v>
      </c>
      <c r="V26" s="9">
        <f t="shared" si="5"/>
        <v>-7771.8595752023557</v>
      </c>
    </row>
    <row r="27" spans="1:22" x14ac:dyDescent="0.3">
      <c r="G27">
        <v>21</v>
      </c>
      <c r="I27" s="28">
        <f t="shared" si="2"/>
        <v>252</v>
      </c>
      <c r="J27" s="9">
        <f t="shared" si="5"/>
        <v>10.300479798473987</v>
      </c>
      <c r="K27" s="9">
        <f t="shared" si="5"/>
        <v>28.077801782970468</v>
      </c>
      <c r="L27" s="9">
        <f t="shared" si="5"/>
        <v>45.216043634376803</v>
      </c>
      <c r="M27" s="9">
        <f t="shared" si="5"/>
        <v>61.389653263109807</v>
      </c>
      <c r="N27" s="9">
        <f t="shared" si="5"/>
        <v>75.878300920777122</v>
      </c>
      <c r="O27" s="9">
        <f t="shared" si="5"/>
        <v>87.19028957476317</v>
      </c>
      <c r="P27" s="9">
        <f t="shared" si="5"/>
        <v>92.222946862733806</v>
      </c>
      <c r="Q27" s="9">
        <f t="shared" si="5"/>
        <v>84.23340534891139</v>
      </c>
      <c r="R27" s="9">
        <f t="shared" si="5"/>
        <v>47.370978850735582</v>
      </c>
      <c r="S27" s="9">
        <f t="shared" si="5"/>
        <v>-60.435501625658617</v>
      </c>
      <c r="T27" s="9">
        <f t="shared" si="5"/>
        <v>-374.11345505067618</v>
      </c>
      <c r="U27" s="9">
        <f t="shared" si="5"/>
        <v>-1491.2374593810951</v>
      </c>
      <c r="V27" s="9">
        <f t="shared" si="5"/>
        <v>-8712.4938406753936</v>
      </c>
    </row>
    <row r="28" spans="1:22" x14ac:dyDescent="0.3">
      <c r="G28">
        <v>22</v>
      </c>
      <c r="I28" s="28">
        <f t="shared" si="2"/>
        <v>264</v>
      </c>
      <c r="J28" s="9">
        <f t="shared" si="5"/>
        <v>5.4426815547621459</v>
      </c>
      <c r="K28" s="9">
        <f t="shared" si="5"/>
        <v>23.557428958209556</v>
      </c>
      <c r="L28" s="9">
        <f t="shared" si="5"/>
        <v>40.822255163727306</v>
      </c>
      <c r="M28" s="9">
        <f t="shared" si="5"/>
        <v>56.82681139251315</v>
      </c>
      <c r="N28" s="9">
        <f t="shared" si="5"/>
        <v>70.705436838222454</v>
      </c>
      <c r="O28" s="9">
        <f t="shared" si="5"/>
        <v>80.709791920279088</v>
      </c>
      <c r="P28" s="9">
        <f t="shared" si="5"/>
        <v>83.261346331485015</v>
      </c>
      <c r="Q28" s="9">
        <f t="shared" si="5"/>
        <v>70.672286874628639</v>
      </c>
      <c r="R28" s="9">
        <f t="shared" si="5"/>
        <v>25.030402259526113</v>
      </c>
      <c r="S28" s="9">
        <f t="shared" si="5"/>
        <v>-100.86802176933134</v>
      </c>
      <c r="T28" s="9">
        <f t="shared" si="5"/>
        <v>-457.50884789498639</v>
      </c>
      <c r="U28" s="9">
        <f t="shared" si="5"/>
        <v>-1707.9376797016109</v>
      </c>
      <c r="V28" s="9">
        <f t="shared" si="5"/>
        <v>-9705.7034667877506</v>
      </c>
    </row>
    <row r="29" spans="1:22" x14ac:dyDescent="0.3">
      <c r="G29">
        <v>23</v>
      </c>
      <c r="I29" s="28">
        <f t="shared" si="2"/>
        <v>276</v>
      </c>
      <c r="J29" s="9">
        <f t="shared" si="5"/>
        <v>9.8674467256216758E-2</v>
      </c>
      <c r="K29" s="9">
        <f t="shared" si="5"/>
        <v>18.504564223912098</v>
      </c>
      <c r="L29" s="9">
        <f t="shared" si="5"/>
        <v>35.833290928930523</v>
      </c>
      <c r="M29" s="9">
        <f t="shared" si="5"/>
        <v>51.583409640766575</v>
      </c>
      <c r="N29" s="9">
        <f t="shared" si="5"/>
        <v>64.733834891363017</v>
      </c>
      <c r="O29" s="9">
        <f t="shared" si="5"/>
        <v>73.262710974371089</v>
      </c>
      <c r="P29" s="9">
        <f t="shared" si="5"/>
        <v>73.085821306647631</v>
      </c>
      <c r="Q29" s="9">
        <f t="shared" si="5"/>
        <v>55.51369267173618</v>
      </c>
      <c r="R29" s="9">
        <f t="shared" si="5"/>
        <v>0.45379498751094616</v>
      </c>
      <c r="S29" s="9">
        <f t="shared" si="5"/>
        <v>-144.71460001426624</v>
      </c>
      <c r="T29" s="9">
        <f t="shared" si="5"/>
        <v>-546.86610132232681</v>
      </c>
      <c r="U29" s="9">
        <f t="shared" si="5"/>
        <v>-1937.8823466340307</v>
      </c>
      <c r="V29" s="9">
        <f t="shared" si="5"/>
        <v>-10751.488453539436</v>
      </c>
    </row>
    <row r="30" spans="1:22" x14ac:dyDescent="0.3">
      <c r="G30">
        <v>24</v>
      </c>
      <c r="I30" s="28">
        <f t="shared" si="2"/>
        <v>288</v>
      </c>
      <c r="J30" s="9">
        <f t="shared" si="5"/>
        <v>-5.731541464043687</v>
      </c>
      <c r="K30" s="9">
        <f t="shared" si="5"/>
        <v>12.919207580078051</v>
      </c>
      <c r="L30" s="9">
        <f t="shared" si="5"/>
        <v>30.249150929986541</v>
      </c>
      <c r="M30" s="9">
        <f t="shared" si="5"/>
        <v>45.659448007870054</v>
      </c>
      <c r="N30" s="9">
        <f t="shared" si="5"/>
        <v>57.963495080198641</v>
      </c>
      <c r="O30" s="9">
        <f t="shared" si="5"/>
        <v>64.849046737039203</v>
      </c>
      <c r="P30" s="9">
        <f t="shared" si="5"/>
        <v>61.696371788221654</v>
      </c>
      <c r="Q30" s="9">
        <f t="shared" si="5"/>
        <v>38.757622740234183</v>
      </c>
      <c r="R30" s="9">
        <f t="shared" si="5"/>
        <v>-26.358842965310146</v>
      </c>
      <c r="S30" s="9">
        <f t="shared" si="5"/>
        <v>-191.97523636046265</v>
      </c>
      <c r="T30" s="9">
        <f t="shared" si="5"/>
        <v>-642.18521533269677</v>
      </c>
      <c r="U30" s="9">
        <f t="shared" si="5"/>
        <v>-2181.0714601783538</v>
      </c>
      <c r="V30" s="9">
        <f t="shared" si="5"/>
        <v>-11849.848800930449</v>
      </c>
    </row>
    <row r="31" spans="1:22" x14ac:dyDescent="0.3">
      <c r="G31" s="28">
        <v>25</v>
      </c>
      <c r="H31" s="28"/>
      <c r="I31" s="28">
        <f t="shared" si="2"/>
        <v>300</v>
      </c>
      <c r="J31" s="9">
        <f t="shared" si="5"/>
        <v>-12.047966239137679</v>
      </c>
      <c r="K31" s="9">
        <f t="shared" si="5"/>
        <v>6.8013590267074164</v>
      </c>
      <c r="L31" s="9">
        <f t="shared" si="5"/>
        <v>24.069835166895245</v>
      </c>
      <c r="M31" s="9">
        <f t="shared" si="5"/>
        <v>39.054926493823558</v>
      </c>
      <c r="N31" s="9">
        <f t="shared" si="5"/>
        <v>50.39441740472941</v>
      </c>
      <c r="O31" s="9">
        <f t="shared" si="5"/>
        <v>55.468799208283201</v>
      </c>
      <c r="P31" s="9">
        <f t="shared" si="5"/>
        <v>49.092997776207142</v>
      </c>
      <c r="Q31" s="9">
        <f t="shared" si="5"/>
        <v>20.404077080122192</v>
      </c>
      <c r="R31" s="9">
        <f t="shared" si="5"/>
        <v>-55.407511598936935</v>
      </c>
      <c r="S31" s="9">
        <f t="shared" si="5"/>
        <v>-242.64993080792078</v>
      </c>
      <c r="T31" s="9">
        <f t="shared" si="5"/>
        <v>-743.46618992609547</v>
      </c>
      <c r="U31" s="9">
        <f t="shared" si="5"/>
        <v>-2437.5050203345809</v>
      </c>
      <c r="V31" s="9">
        <f t="shared" si="5"/>
        <v>-13000.784508960787</v>
      </c>
    </row>
    <row r="32" spans="1:22" x14ac:dyDescent="0.3">
      <c r="G32">
        <v>26</v>
      </c>
      <c r="I32" s="28">
        <f t="shared" si="2"/>
        <v>312</v>
      </c>
      <c r="J32" s="9">
        <f t="shared" si="5"/>
        <v>-18.850599858025674</v>
      </c>
      <c r="K32" s="9">
        <f t="shared" si="5"/>
        <v>0.15101856380022127</v>
      </c>
      <c r="L32" s="9">
        <f t="shared" si="5"/>
        <v>17.295343639656721</v>
      </c>
      <c r="M32" s="9">
        <f t="shared" si="5"/>
        <v>31.769845098627115</v>
      </c>
      <c r="N32" s="9">
        <f t="shared" si="5"/>
        <v>42.026601864955467</v>
      </c>
      <c r="O32" s="9">
        <f t="shared" si="5"/>
        <v>45.121968388103426</v>
      </c>
      <c r="P32" s="9">
        <f t="shared" si="5"/>
        <v>35.275699270604036</v>
      </c>
      <c r="Q32" s="9">
        <f t="shared" si="5"/>
        <v>0.45305569140055013</v>
      </c>
      <c r="R32" s="9">
        <f t="shared" si="5"/>
        <v>-86.692210913369308</v>
      </c>
      <c r="S32" s="9">
        <f t="shared" si="5"/>
        <v>-296.7386833566411</v>
      </c>
      <c r="T32" s="9">
        <f t="shared" si="5"/>
        <v>-850.70902510252495</v>
      </c>
      <c r="U32" s="9">
        <f t="shared" si="5"/>
        <v>-2707.1830271027125</v>
      </c>
      <c r="V32" s="9">
        <f t="shared" si="5"/>
        <v>-14204.295577630448</v>
      </c>
    </row>
    <row r="33" spans="7:22" x14ac:dyDescent="0.3">
      <c r="G33">
        <v>27</v>
      </c>
      <c r="I33" s="28">
        <f t="shared" si="2"/>
        <v>324</v>
      </c>
      <c r="J33" s="9">
        <f t="shared" si="5"/>
        <v>-26.139442320707758</v>
      </c>
      <c r="K33" s="9">
        <f t="shared" si="5"/>
        <v>-7.031813808643534</v>
      </c>
      <c r="L33" s="9">
        <f t="shared" si="5"/>
        <v>9.9256763482709687</v>
      </c>
      <c r="M33" s="9">
        <f t="shared" si="5"/>
        <v>23.804203822280641</v>
      </c>
      <c r="N33" s="9">
        <f t="shared" si="5"/>
        <v>32.860048460876499</v>
      </c>
      <c r="O33" s="9">
        <f t="shared" si="5"/>
        <v>33.808554276499592</v>
      </c>
      <c r="P33" s="9">
        <f t="shared" si="5"/>
        <v>20.244476271412452</v>
      </c>
      <c r="Q33" s="9">
        <f t="shared" si="5"/>
        <v>-21.095441425930744</v>
      </c>
      <c r="R33" s="9">
        <f t="shared" si="5"/>
        <v>-120.21294090860783</v>
      </c>
      <c r="S33" s="9">
        <f t="shared" si="5"/>
        <v>-354.24149400662259</v>
      </c>
      <c r="T33" s="9">
        <f t="shared" si="5"/>
        <v>-963.91372086198407</v>
      </c>
      <c r="U33" s="9">
        <f t="shared" si="5"/>
        <v>-2990.1054804827463</v>
      </c>
      <c r="V33" s="9">
        <f t="shared" si="5"/>
        <v>-15460.382006939431</v>
      </c>
    </row>
    <row r="34" spans="7:22" x14ac:dyDescent="0.3">
      <c r="G34">
        <v>28</v>
      </c>
      <c r="I34" s="28">
        <f t="shared" si="2"/>
        <v>336</v>
      </c>
      <c r="J34" s="9">
        <f t="shared" si="5"/>
        <v>-33.914493627183873</v>
      </c>
      <c r="K34" s="9">
        <f t="shared" si="5"/>
        <v>-14.747138090623878</v>
      </c>
      <c r="L34" s="9">
        <f t="shared" si="5"/>
        <v>1.9608332927379308</v>
      </c>
      <c r="M34" s="9">
        <f t="shared" si="5"/>
        <v>15.158002664784249</v>
      </c>
      <c r="N34" s="9">
        <f t="shared" si="5"/>
        <v>22.894757192492705</v>
      </c>
      <c r="O34" s="9">
        <f t="shared" si="5"/>
        <v>21.528556873471814</v>
      </c>
      <c r="P34" s="9">
        <f t="shared" si="5"/>
        <v>3.9993287786322185</v>
      </c>
      <c r="Q34" s="9">
        <f t="shared" si="5"/>
        <v>-44.241414271871804</v>
      </c>
      <c r="R34" s="9">
        <f t="shared" si="5"/>
        <v>-155.96970158465183</v>
      </c>
      <c r="S34" s="9">
        <f t="shared" si="5"/>
        <v>-415.15836275786614</v>
      </c>
      <c r="T34" s="9">
        <f t="shared" si="5"/>
        <v>-1083.0802772044717</v>
      </c>
      <c r="U34" s="9">
        <f t="shared" si="5"/>
        <v>-3286.2723804746838</v>
      </c>
      <c r="V34" s="9">
        <f t="shared" si="5"/>
        <v>-16769.043796887738</v>
      </c>
    </row>
    <row r="35" spans="7:22" x14ac:dyDescent="0.3">
      <c r="G35">
        <v>29</v>
      </c>
      <c r="I35" s="28">
        <f t="shared" si="2"/>
        <v>348</v>
      </c>
      <c r="J35" s="9">
        <f t="shared" si="5"/>
        <v>-42.175753777454048</v>
      </c>
      <c r="K35" s="9">
        <f t="shared" si="5"/>
        <v>-22.994954282140839</v>
      </c>
      <c r="L35" s="9">
        <f t="shared" si="5"/>
        <v>-6.5991855269424207</v>
      </c>
      <c r="M35" s="9">
        <f t="shared" si="5"/>
        <v>5.8312416261379099</v>
      </c>
      <c r="N35" s="9">
        <f t="shared" si="5"/>
        <v>12.130728059804028</v>
      </c>
      <c r="O35" s="9">
        <f t="shared" si="5"/>
        <v>8.2819761790202051</v>
      </c>
      <c r="P35" s="9">
        <f t="shared" si="5"/>
        <v>-13.459743207736494</v>
      </c>
      <c r="Q35" s="9">
        <f t="shared" si="5"/>
        <v>-68.984862846422629</v>
      </c>
      <c r="R35" s="9">
        <f t="shared" si="5"/>
        <v>-193.96249294150152</v>
      </c>
      <c r="S35" s="9">
        <f t="shared" si="5"/>
        <v>-479.48928961037177</v>
      </c>
      <c r="T35" s="9">
        <f t="shared" si="5"/>
        <v>-1208.2086941299899</v>
      </c>
      <c r="U35" s="9">
        <f t="shared" si="5"/>
        <v>-3595.6837270785254</v>
      </c>
      <c r="V35" s="9">
        <f t="shared" si="5"/>
        <v>-18130.280947475381</v>
      </c>
    </row>
    <row r="36" spans="7:22" x14ac:dyDescent="0.3">
      <c r="G36" s="28">
        <v>30</v>
      </c>
      <c r="H36" s="28"/>
      <c r="I36" s="28">
        <f t="shared" si="2"/>
        <v>360</v>
      </c>
      <c r="J36" s="9">
        <f t="shared" si="5"/>
        <v>-50.923222771518141</v>
      </c>
      <c r="K36" s="9">
        <f t="shared" si="5"/>
        <v>-31.775262383194331</v>
      </c>
      <c r="L36" s="9">
        <f t="shared" si="5"/>
        <v>-15.754380110769887</v>
      </c>
      <c r="M36" s="9">
        <f t="shared" si="5"/>
        <v>-4.1760792936584039</v>
      </c>
      <c r="N36" s="9">
        <f t="shared" si="5"/>
        <v>0.56796106281052516</v>
      </c>
      <c r="O36" s="9">
        <f t="shared" si="5"/>
        <v>-5.9311878068552915</v>
      </c>
      <c r="P36" s="9">
        <f t="shared" si="5"/>
        <v>-32.13273968769397</v>
      </c>
      <c r="Q36" s="9">
        <f t="shared" si="5"/>
        <v>-95.325787149583107</v>
      </c>
      <c r="R36" s="9">
        <f t="shared" si="5"/>
        <v>-234.19131497915726</v>
      </c>
      <c r="S36" s="9">
        <f t="shared" si="5"/>
        <v>-547.23427456413879</v>
      </c>
      <c r="T36" s="9">
        <f t="shared" si="5"/>
        <v>-1339.2989716385368</v>
      </c>
      <c r="U36" s="9">
        <f t="shared" si="5"/>
        <v>-3918.3395202942729</v>
      </c>
      <c r="V36" s="9">
        <f t="shared" si="5"/>
        <v>-19544.093458702344</v>
      </c>
    </row>
    <row r="37" spans="7:22" x14ac:dyDescent="0.3">
      <c r="G37">
        <v>31</v>
      </c>
      <c r="I37" s="28">
        <f t="shared" si="2"/>
        <v>372</v>
      </c>
      <c r="J37" s="9">
        <f t="shared" si="5"/>
        <v>-60.156900609376351</v>
      </c>
      <c r="K37" s="9">
        <f t="shared" si="5"/>
        <v>-41.088062393784412</v>
      </c>
      <c r="L37" s="9">
        <f t="shared" si="5"/>
        <v>-25.504750458744695</v>
      </c>
      <c r="M37" s="9">
        <f t="shared" si="5"/>
        <v>-14.863960094604579</v>
      </c>
      <c r="N37" s="9">
        <f t="shared" si="5"/>
        <v>-11.793543798487917</v>
      </c>
      <c r="O37" s="9">
        <f t="shared" si="5"/>
        <v>-21.110935084154733</v>
      </c>
      <c r="P37" s="9">
        <f t="shared" si="5"/>
        <v>-52.019660661239868</v>
      </c>
      <c r="Q37" s="9">
        <f t="shared" si="5"/>
        <v>-123.26418718135335</v>
      </c>
      <c r="R37" s="9">
        <f t="shared" si="5"/>
        <v>-276.6561676976188</v>
      </c>
      <c r="S37" s="9">
        <f t="shared" si="5"/>
        <v>-618.39331761916765</v>
      </c>
      <c r="T37" s="9">
        <f t="shared" si="5"/>
        <v>-1476.3511097301143</v>
      </c>
      <c r="U37" s="9">
        <f t="shared" si="5"/>
        <v>-4254.2397601219218</v>
      </c>
      <c r="V37" s="9">
        <f t="shared" si="5"/>
        <v>-21010.481330568629</v>
      </c>
    </row>
    <row r="38" spans="7:22" x14ac:dyDescent="0.3">
      <c r="G38">
        <v>32</v>
      </c>
      <c r="I38" s="28">
        <f t="shared" si="2"/>
        <v>384</v>
      </c>
      <c r="J38" s="9">
        <f t="shared" si="5"/>
        <v>-69.876787291028677</v>
      </c>
      <c r="K38" s="9">
        <f t="shared" si="5"/>
        <v>-50.933354313911082</v>
      </c>
      <c r="L38" s="9">
        <f t="shared" si="5"/>
        <v>-35.850296570866703</v>
      </c>
      <c r="M38" s="9">
        <f t="shared" si="5"/>
        <v>-26.232400776700729</v>
      </c>
      <c r="N38" s="9">
        <f t="shared" si="5"/>
        <v>-24.953786524091242</v>
      </c>
      <c r="O38" s="9">
        <f t="shared" si="5"/>
        <v>-37.257265652878289</v>
      </c>
      <c r="P38" s="9">
        <f t="shared" si="5"/>
        <v>-73.120506128374473</v>
      </c>
      <c r="Q38" s="9">
        <f t="shared" si="5"/>
        <v>-152.80006294173347</v>
      </c>
      <c r="R38" s="9">
        <f t="shared" si="5"/>
        <v>-321.3570510968857</v>
      </c>
      <c r="S38" s="9">
        <f t="shared" si="5"/>
        <v>-692.96641877545835</v>
      </c>
      <c r="T38" s="9">
        <f t="shared" si="5"/>
        <v>-1619.3651084047215</v>
      </c>
      <c r="U38" s="9">
        <f t="shared" si="5"/>
        <v>-4603.3844465614739</v>
      </c>
      <c r="V38" s="9">
        <f t="shared" si="5"/>
        <v>-22529.444563074241</v>
      </c>
    </row>
    <row r="39" spans="7:22" x14ac:dyDescent="0.3">
      <c r="G39">
        <v>33</v>
      </c>
      <c r="I39" s="28">
        <f t="shared" si="2"/>
        <v>396</v>
      </c>
      <c r="J39" s="9">
        <f t="shared" si="5"/>
        <v>-80.082882816474893</v>
      </c>
      <c r="K39" s="9">
        <f t="shared" si="5"/>
        <v>-61.311138143574311</v>
      </c>
      <c r="L39" s="9">
        <f t="shared" si="5"/>
        <v>-46.791018447136139</v>
      </c>
      <c r="M39" s="9">
        <f t="shared" si="5"/>
        <v>-38.281401339946854</v>
      </c>
      <c r="N39" s="9">
        <f t="shared" si="5"/>
        <v>-38.912767113999337</v>
      </c>
      <c r="O39" s="9">
        <f t="shared" si="5"/>
        <v>-54.370179513025562</v>
      </c>
      <c r="P39" s="9">
        <f t="shared" si="5"/>
        <v>-95.435276089097442</v>
      </c>
      <c r="Q39" s="9">
        <f t="shared" si="5"/>
        <v>-183.93341443072302</v>
      </c>
      <c r="R39" s="9">
        <f t="shared" si="5"/>
        <v>-368.29396517695886</v>
      </c>
      <c r="S39" s="9">
        <f t="shared" si="5"/>
        <v>-770.9535780330109</v>
      </c>
      <c r="T39" s="9">
        <f t="shared" si="5"/>
        <v>-1768.340967662358</v>
      </c>
      <c r="U39" s="9">
        <f t="shared" si="5"/>
        <v>-4965.7735796129309</v>
      </c>
      <c r="V39" s="9">
        <f t="shared" si="5"/>
        <v>-24100.983156219187</v>
      </c>
    </row>
    <row r="40" spans="7:22" x14ac:dyDescent="0.3">
      <c r="G40">
        <v>34</v>
      </c>
      <c r="I40" s="28">
        <f t="shared" si="2"/>
        <v>408</v>
      </c>
      <c r="J40" s="9">
        <f t="shared" si="5"/>
        <v>-90.775187185715282</v>
      </c>
      <c r="K40" s="9">
        <f t="shared" si="5"/>
        <v>-72.221413882774101</v>
      </c>
      <c r="L40" s="9">
        <f t="shared" si="5"/>
        <v>-58.326916087552718</v>
      </c>
      <c r="M40" s="9">
        <f t="shared" si="5"/>
        <v>-51.01096178434301</v>
      </c>
      <c r="N40" s="9">
        <f t="shared" si="5"/>
        <v>-53.670485568212371</v>
      </c>
      <c r="O40" s="9">
        <f t="shared" si="5"/>
        <v>-72.449676664596893</v>
      </c>
      <c r="P40" s="9">
        <f t="shared" si="5"/>
        <v>-118.963970543409</v>
      </c>
      <c r="Q40" s="9">
        <f t="shared" si="5"/>
        <v>-216.66424164832279</v>
      </c>
      <c r="R40" s="9">
        <f t="shared" si="5"/>
        <v>-417.46690993783761</v>
      </c>
      <c r="S40" s="9">
        <f t="shared" si="5"/>
        <v>-852.35479539182552</v>
      </c>
      <c r="T40" s="9">
        <f t="shared" si="5"/>
        <v>-1923.2786875030231</v>
      </c>
      <c r="U40" s="9">
        <f t="shared" si="5"/>
        <v>-5341.4071592762903</v>
      </c>
      <c r="V40" s="9">
        <f t="shared" si="5"/>
        <v>-25725.097110003451</v>
      </c>
    </row>
    <row r="41" spans="7:22" x14ac:dyDescent="0.3">
      <c r="G41">
        <v>35</v>
      </c>
      <c r="I41" s="28">
        <f t="shared" si="2"/>
        <v>420</v>
      </c>
      <c r="J41" s="9">
        <f t="shared" ref="J41:V46" si="6">TAN(J$5)*$I41-(0.5*$B$24)*POWER($I41/($B$21*COS(J$5)), 2)</f>
        <v>-101.95370039874953</v>
      </c>
      <c r="K41" s="9">
        <f t="shared" si="6"/>
        <v>-83.664181531510508</v>
      </c>
      <c r="L41" s="9">
        <f t="shared" si="6"/>
        <v>-70.457989492116496</v>
      </c>
      <c r="M41" s="9">
        <f t="shared" si="6"/>
        <v>-64.421082109888971</v>
      </c>
      <c r="N41" s="9">
        <f t="shared" si="6"/>
        <v>-69.226941886730231</v>
      </c>
      <c r="O41" s="9">
        <f t="shared" si="6"/>
        <v>-91.495757107592055</v>
      </c>
      <c r="P41" s="9">
        <f t="shared" si="6"/>
        <v>-143.70658949130916</v>
      </c>
      <c r="Q41" s="9">
        <f t="shared" si="6"/>
        <v>-250.99254459453175</v>
      </c>
      <c r="R41" s="9">
        <f t="shared" si="6"/>
        <v>-468.87588537952183</v>
      </c>
      <c r="S41" s="9">
        <f t="shared" si="6"/>
        <v>-937.17007085190153</v>
      </c>
      <c r="T41" s="9">
        <f t="shared" si="6"/>
        <v>-2084.1782679267189</v>
      </c>
      <c r="U41" s="9">
        <f t="shared" si="6"/>
        <v>-5730.2851855515537</v>
      </c>
      <c r="V41" s="9">
        <f t="shared" si="6"/>
        <v>-27401.786424427046</v>
      </c>
    </row>
    <row r="42" spans="7:22" x14ac:dyDescent="0.3">
      <c r="G42">
        <v>36</v>
      </c>
      <c r="I42" s="28">
        <f t="shared" si="2"/>
        <v>432</v>
      </c>
      <c r="J42" s="9">
        <f t="shared" si="6"/>
        <v>-113.61842245557798</v>
      </c>
      <c r="K42" s="9">
        <f t="shared" si="6"/>
        <v>-95.639441089783503</v>
      </c>
      <c r="L42" s="9">
        <f t="shared" si="6"/>
        <v>-83.184238660827646</v>
      </c>
      <c r="M42" s="9">
        <f t="shared" si="6"/>
        <v>-78.51176231658502</v>
      </c>
      <c r="N42" s="9">
        <f t="shared" si="6"/>
        <v>-85.582136069552746</v>
      </c>
      <c r="O42" s="9">
        <f t="shared" si="6"/>
        <v>-111.50842084201145</v>
      </c>
      <c r="P42" s="9">
        <f t="shared" si="6"/>
        <v>-169.66313293279813</v>
      </c>
      <c r="Q42" s="9">
        <f t="shared" si="6"/>
        <v>-286.91832326935059</v>
      </c>
      <c r="R42" s="9">
        <f t="shared" si="6"/>
        <v>-522.52089150201232</v>
      </c>
      <c r="S42" s="9">
        <f t="shared" si="6"/>
        <v>-1025.3994044132394</v>
      </c>
      <c r="T42" s="9">
        <f t="shared" si="6"/>
        <v>-2251.0397089334438</v>
      </c>
      <c r="U42" s="9">
        <f t="shared" si="6"/>
        <v>-6132.4076584387203</v>
      </c>
      <c r="V42" s="9">
        <f t="shared" si="6"/>
        <v>-29131.05109948996</v>
      </c>
    </row>
    <row r="43" spans="7:22" x14ac:dyDescent="0.3">
      <c r="G43">
        <v>37</v>
      </c>
      <c r="I43" s="28">
        <f t="shared" si="2"/>
        <v>444</v>
      </c>
      <c r="J43" s="9">
        <f t="shared" si="6"/>
        <v>-125.76935335620053</v>
      </c>
      <c r="K43" s="9">
        <f t="shared" si="6"/>
        <v>-108.14719255759303</v>
      </c>
      <c r="L43" s="9">
        <f t="shared" si="6"/>
        <v>-96.505663593685995</v>
      </c>
      <c r="M43" s="9">
        <f t="shared" si="6"/>
        <v>-93.283002404430931</v>
      </c>
      <c r="N43" s="9">
        <f t="shared" si="6"/>
        <v>-102.73606811668043</v>
      </c>
      <c r="O43" s="9">
        <f t="shared" si="6"/>
        <v>-132.4876678678545</v>
      </c>
      <c r="P43" s="9">
        <f t="shared" si="6"/>
        <v>-196.83360086787548</v>
      </c>
      <c r="Q43" s="9">
        <f t="shared" si="6"/>
        <v>-324.44157767277943</v>
      </c>
      <c r="R43" s="9">
        <f t="shared" si="6"/>
        <v>-578.40192830530839</v>
      </c>
      <c r="S43" s="9">
        <f t="shared" si="6"/>
        <v>-1117.0427960758389</v>
      </c>
      <c r="T43" s="9">
        <f t="shared" si="6"/>
        <v>-2423.8630105231996</v>
      </c>
      <c r="U43" s="9">
        <f t="shared" si="6"/>
        <v>-6547.7745779377919</v>
      </c>
      <c r="V43" s="9">
        <f t="shared" si="6"/>
        <v>-30912.8911351922</v>
      </c>
    </row>
    <row r="44" spans="7:22" x14ac:dyDescent="0.3">
      <c r="G44">
        <v>38</v>
      </c>
      <c r="I44" s="28">
        <f t="shared" si="2"/>
        <v>456</v>
      </c>
      <c r="J44" s="9">
        <f t="shared" si="6"/>
        <v>-138.4064931006169</v>
      </c>
      <c r="K44" s="9">
        <f t="shared" si="6"/>
        <v>-121.18743593493912</v>
      </c>
      <c r="L44" s="9">
        <f t="shared" si="6"/>
        <v>-110.42226429069149</v>
      </c>
      <c r="M44" s="9">
        <f t="shared" si="6"/>
        <v>-108.73480237342682</v>
      </c>
      <c r="N44" s="9">
        <f t="shared" si="6"/>
        <v>-120.68873802811294</v>
      </c>
      <c r="O44" s="9">
        <f t="shared" si="6"/>
        <v>-154.43349818512149</v>
      </c>
      <c r="P44" s="9">
        <f t="shared" si="6"/>
        <v>-225.21799329654095</v>
      </c>
      <c r="Q44" s="9">
        <f t="shared" si="6"/>
        <v>-363.56230780481769</v>
      </c>
      <c r="R44" s="9">
        <f t="shared" si="6"/>
        <v>-636.51899578941038</v>
      </c>
      <c r="S44" s="9">
        <f t="shared" si="6"/>
        <v>-1212.1002458396999</v>
      </c>
      <c r="T44" s="9">
        <f t="shared" si="6"/>
        <v>-2602.6481726959846</v>
      </c>
      <c r="U44" s="9">
        <f t="shared" si="6"/>
        <v>-6976.3859440487668</v>
      </c>
      <c r="V44" s="9">
        <f t="shared" si="6"/>
        <v>-32747.306531533766</v>
      </c>
    </row>
    <row r="45" spans="7:22" x14ac:dyDescent="0.3">
      <c r="G45">
        <v>39</v>
      </c>
      <c r="I45" s="28">
        <f t="shared" si="2"/>
        <v>468</v>
      </c>
      <c r="J45" s="9">
        <f t="shared" si="6"/>
        <v>-151.52984168882745</v>
      </c>
      <c r="K45" s="9">
        <f t="shared" si="6"/>
        <v>-134.76017122182185</v>
      </c>
      <c r="L45" s="9">
        <f t="shared" si="6"/>
        <v>-124.93404075184446</v>
      </c>
      <c r="M45" s="9">
        <f t="shared" si="6"/>
        <v>-124.86716222357262</v>
      </c>
      <c r="N45" s="9">
        <f t="shared" si="6"/>
        <v>-139.44014580385016</v>
      </c>
      <c r="O45" s="9">
        <f t="shared" si="6"/>
        <v>-177.34591179381255</v>
      </c>
      <c r="P45" s="9">
        <f t="shared" si="6"/>
        <v>-254.81631021879537</v>
      </c>
      <c r="Q45" s="9">
        <f t="shared" si="6"/>
        <v>-404.28051366546561</v>
      </c>
      <c r="R45" s="9">
        <f t="shared" si="6"/>
        <v>-696.87209395431785</v>
      </c>
      <c r="S45" s="9">
        <f t="shared" si="6"/>
        <v>-1310.5717537048229</v>
      </c>
      <c r="T45" s="9">
        <f t="shared" si="6"/>
        <v>-2787.395195451797</v>
      </c>
      <c r="U45" s="9">
        <f t="shared" si="6"/>
        <v>-7418.2417567716457</v>
      </c>
      <c r="V45" s="9">
        <f t="shared" si="6"/>
        <v>-34634.297288514652</v>
      </c>
    </row>
    <row r="46" spans="7:22" x14ac:dyDescent="0.3">
      <c r="G46">
        <v>40</v>
      </c>
      <c r="I46" s="28">
        <f t="shared" si="2"/>
        <v>480</v>
      </c>
      <c r="J46" s="9">
        <f t="shared" si="6"/>
        <v>-165.13939912083208</v>
      </c>
      <c r="K46" s="9">
        <f t="shared" si="6"/>
        <v>-148.86539841824123</v>
      </c>
      <c r="L46" s="9">
        <f t="shared" si="6"/>
        <v>-140.04099297714458</v>
      </c>
      <c r="M46" s="9">
        <f t="shared" si="6"/>
        <v>-141.6800819548684</v>
      </c>
      <c r="N46" s="9">
        <f t="shared" si="6"/>
        <v>-158.99029144389243</v>
      </c>
      <c r="O46" s="9">
        <f t="shared" si="6"/>
        <v>-201.22490869392743</v>
      </c>
      <c r="P46" s="9">
        <f t="shared" si="6"/>
        <v>-285.62855163463848</v>
      </c>
      <c r="Q46" s="9">
        <f t="shared" si="6"/>
        <v>-446.59619525472385</v>
      </c>
      <c r="R46" s="9">
        <f t="shared" si="6"/>
        <v>-759.46122280003124</v>
      </c>
      <c r="S46" s="9">
        <f t="shared" si="6"/>
        <v>-1412.4573196712086</v>
      </c>
      <c r="T46" s="9">
        <f t="shared" si="6"/>
        <v>-2978.1040787906422</v>
      </c>
      <c r="U46" s="9">
        <f t="shared" si="6"/>
        <v>-7873.3420161064278</v>
      </c>
      <c r="V46" s="9">
        <f t="shared" si="6"/>
        <v>-36573.863406134871</v>
      </c>
    </row>
  </sheetData>
  <conditionalFormatting sqref="J6:V46">
    <cfRule type="cellIs" dxfId="1" priority="1" operator="between">
      <formula>68</formula>
      <formula>80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5BA8-4B69-4A45-80A0-4FF32D00F639}">
  <dimension ref="A1:AE50"/>
  <sheetViews>
    <sheetView topLeftCell="A5" zoomScale="84" workbookViewId="0">
      <selection activeCell="B14" sqref="B14"/>
    </sheetView>
  </sheetViews>
  <sheetFormatPr defaultRowHeight="14.4" x14ac:dyDescent="0.3"/>
  <cols>
    <col min="1" max="1" width="25.21875" customWidth="1"/>
    <col min="2" max="4" width="9" bestFit="1" customWidth="1"/>
    <col min="6" max="6" width="10.88671875" bestFit="1" customWidth="1"/>
    <col min="7" max="7" width="10.88671875" customWidth="1"/>
    <col min="8" max="8" width="9" customWidth="1"/>
    <col min="9" max="9" width="9" hidden="1" customWidth="1"/>
    <col min="10" max="10" width="10.77734375" customWidth="1"/>
    <col min="11" max="11" width="9.5546875" customWidth="1"/>
    <col min="12" max="12" width="12.21875" bestFit="1" customWidth="1"/>
    <col min="13" max="15" width="11.21875" bestFit="1" customWidth="1"/>
    <col min="16" max="16" width="13.33203125" bestFit="1" customWidth="1"/>
    <col min="17" max="17" width="12.21875" bestFit="1" customWidth="1"/>
    <col min="18" max="18" width="11.21875" bestFit="1" customWidth="1"/>
    <col min="19" max="23" width="9" bestFit="1" customWidth="1"/>
    <col min="24" max="24" width="9.77734375" bestFit="1" customWidth="1"/>
  </cols>
  <sheetData>
    <row r="1" spans="1:31" ht="18" x14ac:dyDescent="0.35">
      <c r="A1" s="1" t="s">
        <v>0</v>
      </c>
    </row>
    <row r="2" spans="1:31" ht="18" x14ac:dyDescent="0.35">
      <c r="A2" s="1" t="s">
        <v>1</v>
      </c>
    </row>
    <row r="3" spans="1:31" ht="18" x14ac:dyDescent="0.35">
      <c r="A3" s="1" t="s">
        <v>76</v>
      </c>
    </row>
    <row r="4" spans="1:31" x14ac:dyDescent="0.3"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31" ht="15" thickBot="1" x14ac:dyDescent="0.35">
      <c r="A5" s="2" t="s">
        <v>10</v>
      </c>
      <c r="B5" s="12">
        <v>8</v>
      </c>
      <c r="C5" t="s">
        <v>3</v>
      </c>
      <c r="D5" s="12">
        <v>2.25</v>
      </c>
      <c r="E5" t="s">
        <v>4</v>
      </c>
      <c r="G5" s="2" t="s">
        <v>80</v>
      </c>
      <c r="H5" s="2" t="s">
        <v>79</v>
      </c>
      <c r="I5" s="2"/>
      <c r="J5" s="34"/>
      <c r="K5" s="35"/>
      <c r="L5" s="36"/>
      <c r="M5" s="36"/>
      <c r="N5" s="36"/>
      <c r="O5" s="36"/>
      <c r="P5" s="36"/>
      <c r="Q5" s="36"/>
      <c r="R5" s="36"/>
      <c r="S5" s="9"/>
      <c r="T5" s="2" t="s">
        <v>84</v>
      </c>
      <c r="U5" s="2" t="s">
        <v>79</v>
      </c>
      <c r="V5" s="2"/>
      <c r="W5" s="34"/>
      <c r="X5" s="35"/>
      <c r="Y5" s="36"/>
      <c r="Z5" s="36"/>
      <c r="AA5" s="36"/>
      <c r="AB5" s="36"/>
      <c r="AC5" s="36"/>
      <c r="AD5" s="36"/>
      <c r="AE5" s="36"/>
    </row>
    <row r="6" spans="1:31" ht="16.2" thickBot="1" x14ac:dyDescent="0.4">
      <c r="B6" s="13">
        <f>B5*12+D5</f>
        <v>98.25</v>
      </c>
      <c r="C6" t="s">
        <v>4</v>
      </c>
      <c r="G6" s="2" t="s">
        <v>78</v>
      </c>
      <c r="H6" s="31"/>
      <c r="I6" s="31"/>
      <c r="J6" s="37">
        <v>35</v>
      </c>
      <c r="K6" s="38">
        <v>40</v>
      </c>
      <c r="L6" s="39">
        <v>45</v>
      </c>
      <c r="M6" s="39">
        <v>50</v>
      </c>
      <c r="N6" s="38">
        <v>55</v>
      </c>
      <c r="O6" s="39">
        <v>60</v>
      </c>
      <c r="P6" s="39">
        <v>65</v>
      </c>
      <c r="Q6" s="38">
        <v>70</v>
      </c>
      <c r="R6" s="40">
        <v>75</v>
      </c>
      <c r="S6" s="9"/>
      <c r="T6" s="46" t="s">
        <v>85</v>
      </c>
      <c r="U6" s="31"/>
      <c r="V6" s="31"/>
      <c r="W6" s="37">
        <v>35</v>
      </c>
      <c r="X6" s="38">
        <v>40</v>
      </c>
      <c r="Y6" s="39">
        <v>45</v>
      </c>
      <c r="Z6" s="39">
        <v>50</v>
      </c>
      <c r="AA6" s="38">
        <v>55</v>
      </c>
      <c r="AB6" s="39">
        <v>60</v>
      </c>
      <c r="AC6" s="39">
        <v>65</v>
      </c>
      <c r="AD6" s="38">
        <v>70</v>
      </c>
      <c r="AE6" s="40">
        <v>75</v>
      </c>
    </row>
    <row r="7" spans="1:31" x14ac:dyDescent="0.3">
      <c r="G7" s="33"/>
      <c r="H7" s="41">
        <v>0.7</v>
      </c>
      <c r="I7" s="45">
        <f>H7*B$17*B$20*B$22/(60)</f>
        <v>318.48900835415679</v>
      </c>
      <c r="J7" s="9">
        <f>TAN(RADIANS(J$6))*$B$14 - 0.5*$B$28*POWER($B$14/(COS(RADIANS(J$6))*$I7), 2)</f>
        <v>-70.829714762295396</v>
      </c>
      <c r="K7" s="9">
        <f t="shared" ref="K7:R7" si="0">TAN(RADIANS(K$6))*$B$14 - 0.5*$B$28*POWER($B$14/(COS(RADIANS(K$6))*$I7), 2)</f>
        <v>-68.536383088491675</v>
      </c>
      <c r="L7" s="9">
        <f t="shared" si="0"/>
        <v>-75.515313091646021</v>
      </c>
      <c r="M7" s="9">
        <f t="shared" si="0"/>
        <v>-97.340622894239175</v>
      </c>
      <c r="N7" s="9">
        <f t="shared" si="0"/>
        <v>-144.46476285376531</v>
      </c>
      <c r="O7" s="9">
        <f t="shared" si="0"/>
        <v>-237.8461645309759</v>
      </c>
      <c r="P7" s="9">
        <f t="shared" si="0"/>
        <v>-423.60488500500742</v>
      </c>
      <c r="Q7" s="9">
        <f t="shared" si="0"/>
        <v>-817.47204513064162</v>
      </c>
      <c r="R7" s="9">
        <f t="shared" si="0"/>
        <v>-1772.8384320673058</v>
      </c>
      <c r="S7" s="9"/>
      <c r="T7" s="9"/>
      <c r="U7" s="9"/>
      <c r="V7" s="9"/>
      <c r="W7" s="9"/>
      <c r="X7" s="9"/>
    </row>
    <row r="8" spans="1:31" x14ac:dyDescent="0.3">
      <c r="A8" s="2" t="s">
        <v>7</v>
      </c>
      <c r="B8" s="12">
        <v>24</v>
      </c>
      <c r="C8" t="s">
        <v>4</v>
      </c>
      <c r="G8" s="34"/>
      <c r="H8" s="42">
        <v>0.71</v>
      </c>
      <c r="I8" s="45">
        <f t="shared" ref="I8:I37" si="1">H8*B$17*B$20*B$22/(60)</f>
        <v>323.03885133064472</v>
      </c>
      <c r="J8" s="9">
        <f t="shared" ref="J8:R37" si="2">TAN(RADIANS(J$6))*$B$14 - 0.5*$B$28*POWER($B$14/(COS(RADIANS(J$6))*$I8), 2)</f>
        <v>-62.502940122926987</v>
      </c>
      <c r="K8" s="9">
        <f t="shared" si="2"/>
        <v>-59.015046534994212</v>
      </c>
      <c r="L8" s="9">
        <f t="shared" si="2"/>
        <v>-64.3406137966806</v>
      </c>
      <c r="M8" s="9">
        <f t="shared" si="2"/>
        <v>-83.81769114415755</v>
      </c>
      <c r="N8" s="9">
        <f t="shared" si="2"/>
        <v>-127.48141726709861</v>
      </c>
      <c r="O8" s="9">
        <f t="shared" si="2"/>
        <v>-215.4967659410446</v>
      </c>
      <c r="P8" s="9">
        <f t="shared" si="2"/>
        <v>-392.32181756952514</v>
      </c>
      <c r="Q8" s="9">
        <f t="shared" si="2"/>
        <v>-769.70784818682432</v>
      </c>
      <c r="R8" s="9">
        <f t="shared" si="2"/>
        <v>-1689.4293410110749</v>
      </c>
      <c r="S8" s="9"/>
      <c r="T8" s="9"/>
      <c r="U8" s="9"/>
      <c r="V8" s="9"/>
      <c r="W8" s="9"/>
      <c r="X8" s="9"/>
    </row>
    <row r="9" spans="1:31" x14ac:dyDescent="0.3">
      <c r="G9" s="34"/>
      <c r="H9" s="43">
        <v>0.72</v>
      </c>
      <c r="I9" s="45">
        <f t="shared" si="1"/>
        <v>327.58869430713264</v>
      </c>
      <c r="J9" s="9">
        <f t="shared" si="2"/>
        <v>-54.520699363299173</v>
      </c>
      <c r="K9" s="9">
        <f t="shared" si="2"/>
        <v>-49.887670808487883</v>
      </c>
      <c r="L9" s="9">
        <f t="shared" si="2"/>
        <v>-53.628285908384839</v>
      </c>
      <c r="M9" s="9">
        <f t="shared" si="2"/>
        <v>-70.854292747998556</v>
      </c>
      <c r="N9" s="9">
        <f t="shared" si="2"/>
        <v>-111.20078529997471</v>
      </c>
      <c r="O9" s="9">
        <f t="shared" si="2"/>
        <v>-194.07211016445319</v>
      </c>
      <c r="P9" s="9">
        <f t="shared" si="2"/>
        <v>-362.33313806460819</v>
      </c>
      <c r="Q9" s="9">
        <f t="shared" si="2"/>
        <v>-723.91997278387589</v>
      </c>
      <c r="R9" s="9">
        <f t="shared" si="2"/>
        <v>-1609.4714371181608</v>
      </c>
      <c r="S9" s="9"/>
      <c r="T9" s="9"/>
      <c r="U9" s="9"/>
      <c r="V9" s="9"/>
      <c r="W9" s="9"/>
      <c r="X9" s="9"/>
    </row>
    <row r="10" spans="1:31" x14ac:dyDescent="0.3">
      <c r="A10" s="14" t="s">
        <v>2</v>
      </c>
      <c r="B10" s="13">
        <f>B6-B8</f>
        <v>74.25</v>
      </c>
      <c r="C10" t="s">
        <v>4</v>
      </c>
      <c r="G10" s="34"/>
      <c r="H10" s="42">
        <v>0.73</v>
      </c>
      <c r="I10" s="45">
        <f t="shared" si="1"/>
        <v>332.13853728362056</v>
      </c>
      <c r="J10" s="9">
        <f t="shared" si="2"/>
        <v>-46.864243827031487</v>
      </c>
      <c r="K10" s="9">
        <f t="shared" si="2"/>
        <v>-41.132817563988169</v>
      </c>
      <c r="L10" s="9">
        <f t="shared" si="2"/>
        <v>-43.353168352236253</v>
      </c>
      <c r="M10" s="9">
        <f t="shared" si="2"/>
        <v>-58.419979325492363</v>
      </c>
      <c r="N10" s="9">
        <f t="shared" si="2"/>
        <v>-95.584627066677569</v>
      </c>
      <c r="O10" s="9">
        <f t="shared" si="2"/>
        <v>-173.52187505215625</v>
      </c>
      <c r="P10" s="9">
        <f t="shared" si="2"/>
        <v>-333.56840919523165</v>
      </c>
      <c r="Q10" s="9">
        <f t="shared" si="2"/>
        <v>-680.0008725362427</v>
      </c>
      <c r="R10" s="9">
        <f t="shared" si="2"/>
        <v>-1532.7769155715823</v>
      </c>
      <c r="S10" s="9"/>
      <c r="T10" s="9"/>
      <c r="U10" s="9"/>
      <c r="V10" s="9"/>
      <c r="W10" s="9"/>
      <c r="X10" s="9"/>
    </row>
    <row r="11" spans="1:31" x14ac:dyDescent="0.3">
      <c r="A11" s="14" t="s">
        <v>81</v>
      </c>
      <c r="B11" s="32">
        <v>10</v>
      </c>
      <c r="C11" t="s">
        <v>4</v>
      </c>
      <c r="G11" s="34"/>
      <c r="H11" s="42">
        <v>0.74</v>
      </c>
      <c r="I11" s="45">
        <f t="shared" si="1"/>
        <v>336.6883802601086</v>
      </c>
      <c r="J11" s="9">
        <f t="shared" si="2"/>
        <v>-39.516083039517582</v>
      </c>
      <c r="K11" s="9">
        <f t="shared" si="2"/>
        <v>-32.73048713746897</v>
      </c>
      <c r="L11" s="9">
        <f t="shared" si="2"/>
        <v>-33.491788558996745</v>
      </c>
      <c r="M11" s="9">
        <f t="shared" si="2"/>
        <v>-46.486345821305804</v>
      </c>
      <c r="N11" s="9">
        <f t="shared" si="2"/>
        <v>-80.597268877503723</v>
      </c>
      <c r="O11" s="9">
        <f t="shared" si="2"/>
        <v>-153.79911546567735</v>
      </c>
      <c r="P11" s="9">
        <f t="shared" si="2"/>
        <v>-305.96192056087648</v>
      </c>
      <c r="Q11" s="9">
        <f t="shared" si="2"/>
        <v>-637.85021826366824</v>
      </c>
      <c r="R11" s="9">
        <f t="shared" si="2"/>
        <v>-1459.1705747293763</v>
      </c>
      <c r="S11" s="9"/>
      <c r="T11" s="9"/>
      <c r="U11" s="9"/>
      <c r="V11" s="9"/>
      <c r="W11" s="9"/>
      <c r="X11" s="9"/>
    </row>
    <row r="12" spans="1:31" x14ac:dyDescent="0.3">
      <c r="A12" s="14" t="s">
        <v>82</v>
      </c>
      <c r="B12" s="30">
        <f>B10-B11</f>
        <v>64.25</v>
      </c>
      <c r="C12" t="s">
        <v>83</v>
      </c>
      <c r="D12" s="13">
        <f>B10+B11</f>
        <v>84.25</v>
      </c>
      <c r="G12" s="34"/>
      <c r="H12" s="42">
        <v>0.75</v>
      </c>
      <c r="I12" s="45">
        <f t="shared" si="1"/>
        <v>341.23822323659653</v>
      </c>
      <c r="J12" s="9">
        <f t="shared" si="2"/>
        <v>-32.459884730628744</v>
      </c>
      <c r="K12" s="9">
        <f t="shared" si="2"/>
        <v>-24.662004225789474</v>
      </c>
      <c r="L12" s="9">
        <f t="shared" si="2"/>
        <v>-24.022228293167416</v>
      </c>
      <c r="M12" s="9">
        <f t="shared" si="2"/>
        <v>-35.026868138914267</v>
      </c>
      <c r="N12" s="9">
        <f t="shared" si="2"/>
        <v>-66.205399324396069</v>
      </c>
      <c r="O12" s="9">
        <f t="shared" si="2"/>
        <v>-134.85999493401857</v>
      </c>
      <c r="P12" s="9">
        <f t="shared" si="2"/>
        <v>-279.45231304832714</v>
      </c>
      <c r="Q12" s="9">
        <f t="shared" si="2"/>
        <v>-597.37432449960102</v>
      </c>
      <c r="R12" s="9">
        <f t="shared" si="2"/>
        <v>-1388.488814654555</v>
      </c>
      <c r="S12" s="9"/>
      <c r="T12" s="9"/>
      <c r="U12" s="9"/>
      <c r="V12" s="9"/>
      <c r="W12" s="9"/>
      <c r="X12" s="9"/>
    </row>
    <row r="13" spans="1:31" x14ac:dyDescent="0.3">
      <c r="A13" s="14" t="s">
        <v>73</v>
      </c>
      <c r="B13" s="12">
        <v>27</v>
      </c>
      <c r="C13" t="s">
        <v>3</v>
      </c>
      <c r="D13" s="12"/>
      <c r="E13" t="s">
        <v>4</v>
      </c>
      <c r="G13" s="34"/>
      <c r="H13" s="42">
        <v>0.76</v>
      </c>
      <c r="I13" s="45">
        <f t="shared" si="1"/>
        <v>345.78806621308451</v>
      </c>
      <c r="J13" s="9">
        <f t="shared" si="2"/>
        <v>-25.68038400457317</v>
      </c>
      <c r="K13" s="9">
        <f t="shared" si="2"/>
        <v>-16.909914026029867</v>
      </c>
      <c r="L13" s="9">
        <f t="shared" si="2"/>
        <v>-14.924001757109863</v>
      </c>
      <c r="M13" s="9">
        <f t="shared" si="2"/>
        <v>-24.016755629728777</v>
      </c>
      <c r="N13" s="9">
        <f t="shared" si="2"/>
        <v>-52.377884023177955</v>
      </c>
      <c r="O13" s="9">
        <f t="shared" si="2"/>
        <v>-116.66354186190335</v>
      </c>
      <c r="P13" s="9">
        <f t="shared" si="2"/>
        <v>-253.98223758965219</v>
      </c>
      <c r="Q13" s="9">
        <f t="shared" si="2"/>
        <v>-558.48562846967752</v>
      </c>
      <c r="R13" s="9">
        <f t="shared" si="2"/>
        <v>-1320.5787272718785</v>
      </c>
      <c r="S13" s="9"/>
      <c r="T13" s="9"/>
      <c r="U13" s="9"/>
      <c r="V13" s="9"/>
      <c r="W13" s="9"/>
      <c r="X13" s="9"/>
    </row>
    <row r="14" spans="1:31" x14ac:dyDescent="0.3">
      <c r="A14" s="14"/>
      <c r="B14" s="30">
        <f>B13*12+D13</f>
        <v>324</v>
      </c>
      <c r="C14" t="s">
        <v>4</v>
      </c>
      <c r="D14" s="29"/>
      <c r="G14" s="34"/>
      <c r="H14" s="43">
        <v>0.77</v>
      </c>
      <c r="I14" s="45">
        <f t="shared" si="1"/>
        <v>350.33790918957249</v>
      </c>
      <c r="J14" s="9">
        <f t="shared" si="2"/>
        <v>-19.16330071281547</v>
      </c>
      <c r="K14" s="9">
        <f t="shared" si="2"/>
        <v>-9.4578877547020852</v>
      </c>
      <c r="L14" s="9">
        <f t="shared" si="2"/>
        <v>-6.1779447038397279</v>
      </c>
      <c r="M14" s="9">
        <f t="shared" si="2"/>
        <v>-13.432816904238905</v>
      </c>
      <c r="N14" s="9">
        <f t="shared" si="2"/>
        <v>-39.085597086803034</v>
      </c>
      <c r="O14" s="9">
        <f t="shared" si="2"/>
        <v>-99.171427755363197</v>
      </c>
      <c r="P14" s="9">
        <f t="shared" si="2"/>
        <v>-229.49804473845995</v>
      </c>
      <c r="Q14" s="9">
        <f t="shared" si="2"/>
        <v>-521.10221612475152</v>
      </c>
      <c r="R14" s="9">
        <f t="shared" si="2"/>
        <v>-1255.297268694479</v>
      </c>
      <c r="S14" s="9"/>
      <c r="T14" s="9"/>
      <c r="U14" s="9"/>
      <c r="V14" s="9"/>
      <c r="W14" s="9"/>
      <c r="X14" s="9"/>
    </row>
    <row r="15" spans="1:31" x14ac:dyDescent="0.3">
      <c r="G15" s="34"/>
      <c r="H15" s="42">
        <v>0.78</v>
      </c>
      <c r="I15" s="45">
        <f t="shared" si="1"/>
        <v>354.88775216606041</v>
      </c>
      <c r="J15" s="9">
        <f t="shared" si="2"/>
        <v>-12.895264194180044</v>
      </c>
      <c r="K15" s="9">
        <f t="shared" si="2"/>
        <v>-2.2906365910430395</v>
      </c>
      <c r="L15" s="9">
        <f t="shared" si="2"/>
        <v>2.2338865632698344</v>
      </c>
      <c r="M15" s="9">
        <f t="shared" si="2"/>
        <v>-3.2533376076843297</v>
      </c>
      <c r="N15" s="9">
        <f t="shared" si="2"/>
        <v>-26.301267624764478</v>
      </c>
      <c r="O15" s="9">
        <f t="shared" si="2"/>
        <v>-82.347765221143959</v>
      </c>
      <c r="P15" s="9">
        <f t="shared" si="2"/>
        <v>-205.94950192411898</v>
      </c>
      <c r="Q15" s="9">
        <f t="shared" si="2"/>
        <v>-485.14739043370173</v>
      </c>
      <c r="R15" s="9">
        <f t="shared" si="2"/>
        <v>-1192.5105053473799</v>
      </c>
      <c r="S15" s="9"/>
      <c r="T15" s="9"/>
      <c r="U15" s="9"/>
      <c r="V15" s="9"/>
      <c r="W15" s="9"/>
      <c r="X15" s="9"/>
    </row>
    <row r="16" spans="1:31" x14ac:dyDescent="0.3">
      <c r="A16" s="2" t="s">
        <v>19</v>
      </c>
      <c r="B16" s="12">
        <v>6</v>
      </c>
      <c r="C16" t="s">
        <v>4</v>
      </c>
      <c r="G16" s="34"/>
      <c r="H16" s="42">
        <v>0.79</v>
      </c>
      <c r="I16" s="45">
        <f t="shared" si="1"/>
        <v>359.43759514254833</v>
      </c>
      <c r="J16" s="9">
        <f t="shared" si="2"/>
        <v>-6.8637446408813219</v>
      </c>
      <c r="K16" s="9">
        <f t="shared" si="2"/>
        <v>4.6061668032078273</v>
      </c>
      <c r="L16" s="9">
        <f t="shared" si="2"/>
        <v>10.328307298659411</v>
      </c>
      <c r="M16" s="9">
        <f t="shared" si="2"/>
        <v>6.5420310435715692</v>
      </c>
      <c r="N16" s="9">
        <f t="shared" si="2"/>
        <v>-13.999339756787435</v>
      </c>
      <c r="O16" s="9">
        <f t="shared" si="2"/>
        <v>-66.15892375036492</v>
      </c>
      <c r="P16" s="9">
        <f t="shared" si="2"/>
        <v>-183.28953559908041</v>
      </c>
      <c r="Q16" s="9">
        <f t="shared" si="2"/>
        <v>-450.54927768399693</v>
      </c>
      <c r="R16" s="9">
        <f t="shared" si="2"/>
        <v>-1132.0929264627539</v>
      </c>
      <c r="S16" s="9"/>
      <c r="T16" s="9"/>
      <c r="U16" s="9"/>
      <c r="V16" s="9"/>
      <c r="W16" s="9"/>
      <c r="X16" s="9"/>
    </row>
    <row r="17" spans="1:24" x14ac:dyDescent="0.3">
      <c r="A17" s="2" t="s">
        <v>74</v>
      </c>
      <c r="B17" s="12">
        <v>6380</v>
      </c>
      <c r="G17" s="34"/>
      <c r="H17" s="42">
        <v>0.8</v>
      </c>
      <c r="I17" s="45">
        <f t="shared" si="1"/>
        <v>363.98743811903637</v>
      </c>
      <c r="J17" s="9">
        <f t="shared" si="2"/>
        <v>-1.0569904320825287</v>
      </c>
      <c r="K17" s="9">
        <f t="shared" si="2"/>
        <v>11.245959940398336</v>
      </c>
      <c r="L17" s="9">
        <f t="shared" si="2"/>
        <v>18.12108841420843</v>
      </c>
      <c r="M17" s="9">
        <f t="shared" si="2"/>
        <v>15.972374034220991</v>
      </c>
      <c r="N17" s="9">
        <f t="shared" si="2"/>
        <v>-2.1558447979346056</v>
      </c>
      <c r="O17" s="9">
        <f t="shared" si="2"/>
        <v>-50.573361519266882</v>
      </c>
      <c r="P17" s="9">
        <f t="shared" si="2"/>
        <v>-161.47399580576382</v>
      </c>
      <c r="Q17" s="9">
        <f t="shared" si="2"/>
        <v>-417.24046801331201</v>
      </c>
      <c r="R17" s="9">
        <f t="shared" si="2"/>
        <v>-1073.926816351769</v>
      </c>
      <c r="S17" s="9"/>
      <c r="T17" s="9"/>
      <c r="U17" s="9"/>
      <c r="V17" s="9"/>
      <c r="W17" s="9"/>
      <c r="X17" s="9"/>
    </row>
    <row r="18" spans="1:24" x14ac:dyDescent="0.3">
      <c r="A18" s="2" t="s">
        <v>75</v>
      </c>
      <c r="B18" s="12">
        <v>0.81</v>
      </c>
      <c r="G18" s="34"/>
      <c r="H18" s="42">
        <v>0.81</v>
      </c>
      <c r="I18" s="45">
        <f t="shared" si="1"/>
        <v>368.53728109552424</v>
      </c>
      <c r="J18" s="9">
        <f t="shared" si="2"/>
        <v>4.5360291507151942</v>
      </c>
      <c r="K18" s="9">
        <f t="shared" si="2"/>
        <v>17.641356009644966</v>
      </c>
      <c r="L18" s="9">
        <f t="shared" si="2"/>
        <v>25.627033356337904</v>
      </c>
      <c r="M18" s="9">
        <f t="shared" si="2"/>
        <v>25.055605581938266</v>
      </c>
      <c r="N18" s="9">
        <f t="shared" si="2"/>
        <v>9.2517155794715222</v>
      </c>
      <c r="O18" s="9">
        <f t="shared" si="2"/>
        <v>-35.56147163500782</v>
      </c>
      <c r="P18" s="9">
        <f t="shared" si="2"/>
        <v>-140.46144096257149</v>
      </c>
      <c r="Q18" s="9">
        <f t="shared" si="2"/>
        <v>-385.15768681249347</v>
      </c>
      <c r="R18" s="9">
        <f t="shared" si="2"/>
        <v>-1017.9016805860851</v>
      </c>
      <c r="S18" s="9"/>
      <c r="T18" s="9"/>
      <c r="U18" s="9"/>
      <c r="V18" s="9"/>
      <c r="W18" s="9"/>
      <c r="X18" s="9"/>
    </row>
    <row r="19" spans="1:24" x14ac:dyDescent="0.3">
      <c r="A19" s="14" t="s">
        <v>23</v>
      </c>
      <c r="B19" s="30">
        <f>B17*B18</f>
        <v>5167.8</v>
      </c>
      <c r="G19" s="34"/>
      <c r="H19" s="43">
        <v>0.82</v>
      </c>
      <c r="I19" s="45">
        <f t="shared" si="1"/>
        <v>373.08712407201222</v>
      </c>
      <c r="J19" s="9">
        <f t="shared" si="2"/>
        <v>9.9256763482709687</v>
      </c>
      <c r="K19" s="9">
        <f t="shared" si="2"/>
        <v>23.804203822280641</v>
      </c>
      <c r="L19" s="9">
        <f t="shared" si="2"/>
        <v>32.860048460876499</v>
      </c>
      <c r="M19" s="9">
        <f t="shared" si="2"/>
        <v>33.808554276499592</v>
      </c>
      <c r="N19" s="9">
        <f t="shared" si="2"/>
        <v>20.244476271412452</v>
      </c>
      <c r="O19" s="9">
        <f t="shared" si="2"/>
        <v>-21.095441425930744</v>
      </c>
      <c r="P19" s="9">
        <f t="shared" si="2"/>
        <v>-120.21294090860783</v>
      </c>
      <c r="Q19" s="9">
        <f t="shared" si="2"/>
        <v>-354.24149400662259</v>
      </c>
      <c r="R19" s="9">
        <f t="shared" si="2"/>
        <v>-963.91372086198407</v>
      </c>
      <c r="S19" s="9"/>
      <c r="T19" s="9"/>
      <c r="U19" s="9"/>
      <c r="V19" s="9"/>
      <c r="W19" s="9"/>
      <c r="X19" s="9"/>
    </row>
    <row r="20" spans="1:24" x14ac:dyDescent="0.3">
      <c r="A20" s="14" t="s">
        <v>22</v>
      </c>
      <c r="B20" s="13">
        <f>PI()*B16</f>
        <v>18.849555921538759</v>
      </c>
      <c r="C20" t="s">
        <v>4</v>
      </c>
      <c r="G20" s="34"/>
      <c r="H20" s="42">
        <v>0.83</v>
      </c>
      <c r="I20" s="45">
        <f t="shared" si="1"/>
        <v>377.63696704850014</v>
      </c>
      <c r="J20" s="9">
        <f t="shared" si="2"/>
        <v>15.121692953761794</v>
      </c>
      <c r="K20" s="9">
        <f t="shared" si="2"/>
        <v>29.745642732436067</v>
      </c>
      <c r="L20" s="9">
        <f t="shared" si="2"/>
        <v>39.833207410499767</v>
      </c>
      <c r="M20" s="9">
        <f t="shared" si="2"/>
        <v>42.247041082199132</v>
      </c>
      <c r="N20" s="9">
        <f t="shared" si="2"/>
        <v>30.842306704806106</v>
      </c>
      <c r="O20" s="9">
        <f t="shared" si="2"/>
        <v>-7.1491235266840931</v>
      </c>
      <c r="P20" s="9">
        <f t="shared" si="2"/>
        <v>-100.69189645798212</v>
      </c>
      <c r="Q20" s="9">
        <f t="shared" si="2"/>
        <v>-324.436008543546</v>
      </c>
      <c r="R20" s="9">
        <f t="shared" si="2"/>
        <v>-911.86535388348784</v>
      </c>
      <c r="S20" s="9"/>
      <c r="T20" s="9"/>
      <c r="U20" s="9"/>
      <c r="V20" s="9"/>
      <c r="W20" s="9"/>
      <c r="X20" s="9"/>
    </row>
    <row r="21" spans="1:24" x14ac:dyDescent="0.3">
      <c r="G21" s="34"/>
      <c r="H21" s="42">
        <v>0.84</v>
      </c>
      <c r="I21" s="45">
        <f t="shared" si="1"/>
        <v>382.18681002498812</v>
      </c>
      <c r="J21" s="9">
        <f t="shared" si="2"/>
        <v>20.133244364500598</v>
      </c>
      <c r="K21" s="9">
        <f t="shared" si="2"/>
        <v>35.47615300843151</v>
      </c>
      <c r="L21" s="9">
        <f t="shared" si="2"/>
        <v>46.558810353023489</v>
      </c>
      <c r="M21" s="9">
        <f t="shared" si="2"/>
        <v>50.385950879160646</v>
      </c>
      <c r="N21" s="9">
        <f t="shared" si="2"/>
        <v>41.063900685687827</v>
      </c>
      <c r="O21" s="9">
        <f t="shared" si="2"/>
        <v>6.3020823583632364</v>
      </c>
      <c r="P21" s="9">
        <f t="shared" si="2"/>
        <v>-81.863873900808812</v>
      </c>
      <c r="Q21" s="9">
        <f t="shared" si="2"/>
        <v>-295.68865570360504</v>
      </c>
      <c r="R21" s="9">
        <f t="shared" si="2"/>
        <v>-861.66477009742175</v>
      </c>
      <c r="S21" s="9"/>
      <c r="T21" s="9"/>
      <c r="U21" s="9"/>
      <c r="V21" s="9"/>
      <c r="W21" s="9"/>
      <c r="X21" s="9"/>
    </row>
    <row r="22" spans="1:24" x14ac:dyDescent="0.3">
      <c r="A22" s="14" t="s">
        <v>33</v>
      </c>
      <c r="B22" s="12">
        <v>0.22700000000000001</v>
      </c>
      <c r="G22" s="34"/>
      <c r="H22" s="42">
        <v>0.85</v>
      </c>
      <c r="I22" s="45">
        <f t="shared" si="1"/>
        <v>386.7366530014761</v>
      </c>
      <c r="J22" s="9">
        <f t="shared" si="2"/>
        <v>24.968960027422412</v>
      </c>
      <c r="K22" s="9">
        <f t="shared" si="2"/>
        <v>41.0056020805863</v>
      </c>
      <c r="L22" s="9">
        <f t="shared" si="2"/>
        <v>53.048438180060089</v>
      </c>
      <c r="M22" s="9">
        <f t="shared" si="2"/>
        <v>58.239298148020282</v>
      </c>
      <c r="N22" s="9">
        <f t="shared" si="2"/>
        <v>50.926858892094799</v>
      </c>
      <c r="O22" s="9">
        <f t="shared" si="2"/>
        <v>19.281338012436436</v>
      </c>
      <c r="P22" s="9">
        <f t="shared" si="2"/>
        <v>-63.696453052551533</v>
      </c>
      <c r="Q22" s="9">
        <f t="shared" si="2"/>
        <v>-267.94993509549863</v>
      </c>
      <c r="R22" s="9">
        <f t="shared" si="2"/>
        <v>-813.22552855199524</v>
      </c>
      <c r="S22" s="9"/>
      <c r="T22" s="9"/>
      <c r="U22" s="9"/>
      <c r="V22" s="9"/>
      <c r="W22" s="9"/>
      <c r="X22" s="9"/>
    </row>
    <row r="23" spans="1:24" x14ac:dyDescent="0.3">
      <c r="A23" s="2" t="s">
        <v>20</v>
      </c>
      <c r="B23" s="13">
        <f>B19*B20</f>
        <v>97410.735091327995</v>
      </c>
      <c r="C23" t="s">
        <v>24</v>
      </c>
      <c r="G23" s="34"/>
      <c r="H23" s="42">
        <v>0.86</v>
      </c>
      <c r="I23" s="45">
        <f t="shared" si="1"/>
        <v>391.28649597796408</v>
      </c>
      <c r="J23" s="9">
        <f t="shared" si="2"/>
        <v>29.636970611830463</v>
      </c>
      <c r="K23" s="9">
        <f t="shared" si="2"/>
        <v>46.343287046779579</v>
      </c>
      <c r="L23" s="9">
        <f t="shared" si="2"/>
        <v>59.313002413593097</v>
      </c>
      <c r="M23" s="9">
        <f t="shared" si="2"/>
        <v>65.820287339580432</v>
      </c>
      <c r="N23" s="9">
        <f t="shared" si="2"/>
        <v>60.447764691850296</v>
      </c>
      <c r="O23" s="9">
        <f t="shared" si="2"/>
        <v>31.810466479502338</v>
      </c>
      <c r="P23" s="9">
        <f t="shared" si="2"/>
        <v>-46.159087598806536</v>
      </c>
      <c r="Q23" s="9">
        <f t="shared" si="2"/>
        <v>-241.17320742529932</v>
      </c>
      <c r="R23" s="9">
        <f t="shared" si="2"/>
        <v>-766.46618453834685</v>
      </c>
      <c r="S23" s="9"/>
      <c r="T23" s="9"/>
      <c r="U23" s="9"/>
      <c r="V23" s="9"/>
      <c r="W23" s="9"/>
      <c r="X23" s="9"/>
    </row>
    <row r="24" spans="1:24" x14ac:dyDescent="0.3">
      <c r="A24" s="2" t="s">
        <v>77</v>
      </c>
      <c r="B24" s="15">
        <f>($B$22*B23)/(12*60)</f>
        <v>30.711440091293689</v>
      </c>
      <c r="C24" t="s">
        <v>21</v>
      </c>
      <c r="G24" s="34"/>
      <c r="H24" s="43">
        <v>0.87</v>
      </c>
      <c r="I24" s="45">
        <f t="shared" si="1"/>
        <v>395.836338954452</v>
      </c>
      <c r="J24" s="9">
        <f t="shared" si="2"/>
        <v>34.144942208591431</v>
      </c>
      <c r="K24" s="9">
        <f t="shared" si="2"/>
        <v>51.497973777874307</v>
      </c>
      <c r="L24" s="9">
        <f t="shared" si="2"/>
        <v>65.362791101986261</v>
      </c>
      <c r="M24" s="9">
        <f t="shared" si="2"/>
        <v>73.141368415329111</v>
      </c>
      <c r="N24" s="9">
        <f t="shared" si="2"/>
        <v>69.642253895472834</v>
      </c>
      <c r="O24" s="9">
        <f t="shared" si="2"/>
        <v>43.91004385628878</v>
      </c>
      <c r="P24" s="9">
        <f t="shared" si="2"/>
        <v>-29.222976611490594</v>
      </c>
      <c r="Q24" s="9">
        <f t="shared" si="2"/>
        <v>-215.31449832239969</v>
      </c>
      <c r="R24" s="9">
        <f t="shared" si="2"/>
        <v>-721.30994701806958</v>
      </c>
      <c r="S24" s="9"/>
      <c r="T24" s="9"/>
      <c r="U24" s="9"/>
      <c r="V24" s="9"/>
      <c r="W24" s="9"/>
      <c r="X24" s="9"/>
    </row>
    <row r="25" spans="1:24" x14ac:dyDescent="0.3">
      <c r="A25" s="2"/>
      <c r="B25" s="13">
        <f>B24*12</f>
        <v>368.53728109552424</v>
      </c>
      <c r="C25" t="s">
        <v>71</v>
      </c>
      <c r="G25" s="34"/>
      <c r="H25" s="42">
        <v>0.88</v>
      </c>
      <c r="I25" s="45">
        <f t="shared" si="1"/>
        <v>400.38618193093993</v>
      </c>
      <c r="J25" s="9">
        <f t="shared" si="2"/>
        <v>38.50010782455044</v>
      </c>
      <c r="K25" s="9">
        <f t="shared" si="2"/>
        <v>56.477932930330951</v>
      </c>
      <c r="L25" s="9">
        <f t="shared" si="2"/>
        <v>71.207511086122565</v>
      </c>
      <c r="M25" s="9">
        <f t="shared" si="2"/>
        <v>80.214287995314692</v>
      </c>
      <c r="N25" s="9">
        <f t="shared" si="2"/>
        <v>78.525078992395549</v>
      </c>
      <c r="O25" s="9">
        <f t="shared" si="2"/>
        <v>55.599483824561617</v>
      </c>
      <c r="P25" s="9">
        <f t="shared" si="2"/>
        <v>-12.860946226689066</v>
      </c>
      <c r="Q25" s="9">
        <f t="shared" si="2"/>
        <v>-190.33231768067753</v>
      </c>
      <c r="R25" s="9">
        <f t="shared" si="2"/>
        <v>-677.68436314444898</v>
      </c>
      <c r="S25" s="9"/>
      <c r="T25" s="9"/>
      <c r="U25" s="9"/>
      <c r="V25" s="9"/>
      <c r="W25" s="9"/>
      <c r="X25" s="9"/>
    </row>
    <row r="26" spans="1:24" x14ac:dyDescent="0.3">
      <c r="G26" s="34"/>
      <c r="H26" s="42">
        <v>0.89</v>
      </c>
      <c r="I26" s="45">
        <f t="shared" si="1"/>
        <v>404.93602490742791</v>
      </c>
      <c r="J26" s="9">
        <f t="shared" si="2"/>
        <v>42.709296413908476</v>
      </c>
      <c r="K26" s="9">
        <f t="shared" si="2"/>
        <v>61.290973142436229</v>
      </c>
      <c r="L26" s="9">
        <f t="shared" si="2"/>
        <v>76.856326960097732</v>
      </c>
      <c r="M26" s="9">
        <f t="shared" si="2"/>
        <v>87.050136505972887</v>
      </c>
      <c r="N26" s="9">
        <f t="shared" si="2"/>
        <v>87.110168363559865</v>
      </c>
      <c r="O26" s="9">
        <f t="shared" si="2"/>
        <v>66.897115572511609</v>
      </c>
      <c r="P26" s="9">
        <f t="shared" si="2"/>
        <v>2.9526594240503528</v>
      </c>
      <c r="Q26" s="9">
        <f t="shared" si="2"/>
        <v>-166.18749312817636</v>
      </c>
      <c r="R26" s="9">
        <f t="shared" si="2"/>
        <v>-635.52102745589582</v>
      </c>
      <c r="S26" s="9"/>
      <c r="T26" s="9"/>
      <c r="U26" s="9"/>
      <c r="V26" s="9"/>
      <c r="W26" s="9"/>
      <c r="X26" s="9"/>
    </row>
    <row r="27" spans="1:24" x14ac:dyDescent="0.3">
      <c r="A27" s="2" t="s">
        <v>29</v>
      </c>
      <c r="B27">
        <v>32.17</v>
      </c>
      <c r="C27" t="s">
        <v>27</v>
      </c>
      <c r="G27" s="34"/>
      <c r="H27" s="42">
        <v>0.9</v>
      </c>
      <c r="I27" s="45">
        <f t="shared" si="1"/>
        <v>409.48586788391583</v>
      </c>
      <c r="J27" s="9">
        <f t="shared" si="2"/>
        <v>46.778959664269024</v>
      </c>
      <c r="K27" s="9">
        <f t="shared" si="2"/>
        <v>65.94447166308575</v>
      </c>
      <c r="L27" s="9">
        <f t="shared" si="2"/>
        <v>82.317897018633715</v>
      </c>
      <c r="M27" s="9">
        <f t="shared" si="2"/>
        <v>93.659391681469629</v>
      </c>
      <c r="N27" s="9">
        <f t="shared" si="2"/>
        <v>95.410680914416446</v>
      </c>
      <c r="O27" s="9">
        <f t="shared" si="2"/>
        <v>77.82025568958386</v>
      </c>
      <c r="P27" s="9">
        <f t="shared" si="2"/>
        <v>18.242078846885761</v>
      </c>
      <c r="Q27" s="9">
        <f t="shared" si="2"/>
        <v>-142.84301637649355</v>
      </c>
      <c r="R27" s="9">
        <f t="shared" si="2"/>
        <v>-594.75531356078886</v>
      </c>
      <c r="S27" s="9"/>
      <c r="T27" s="9"/>
      <c r="U27" s="9"/>
      <c r="V27" s="9"/>
      <c r="W27" s="9"/>
      <c r="X27" s="9"/>
    </row>
    <row r="28" spans="1:24" x14ac:dyDescent="0.3">
      <c r="B28">
        <f>B27*12</f>
        <v>386.04</v>
      </c>
      <c r="C28" t="s">
        <v>28</v>
      </c>
      <c r="G28" s="34"/>
      <c r="H28" s="42">
        <v>0.91</v>
      </c>
      <c r="I28" s="45">
        <f t="shared" si="1"/>
        <v>414.03571086040381</v>
      </c>
      <c r="J28" s="9">
        <f t="shared" si="2"/>
        <v>50.715196733649293</v>
      </c>
      <c r="K28" s="9">
        <f t="shared" si="2"/>
        <v>70.445402637574631</v>
      </c>
      <c r="L28" s="9">
        <f t="shared" si="2"/>
        <v>87.600406454647242</v>
      </c>
      <c r="M28" s="9">
        <f t="shared" si="2"/>
        <v>100.0519587373505</v>
      </c>
      <c r="N28" s="9">
        <f t="shared" si="2"/>
        <v>103.43905652869927</v>
      </c>
      <c r="O28" s="9">
        <f t="shared" si="2"/>
        <v>88.385274561610743</v>
      </c>
      <c r="P28" s="9">
        <f t="shared" si="2"/>
        <v>33.030226120774955</v>
      </c>
      <c r="Q28" s="9">
        <f t="shared" si="2"/>
        <v>-120.26390132388576</v>
      </c>
      <c r="R28" s="9">
        <f t="shared" si="2"/>
        <v>-555.32612634746079</v>
      </c>
      <c r="S28" s="9"/>
      <c r="T28" s="9"/>
      <c r="U28" s="9"/>
      <c r="V28" s="9"/>
      <c r="W28" s="9"/>
      <c r="X28" s="9"/>
    </row>
    <row r="29" spans="1:24" x14ac:dyDescent="0.3">
      <c r="G29" s="34"/>
      <c r="H29" s="43">
        <v>0.92</v>
      </c>
      <c r="I29" s="45">
        <f t="shared" si="1"/>
        <v>418.58555383689179</v>
      </c>
      <c r="J29" s="9">
        <f t="shared" si="2"/>
        <v>54.523777115652223</v>
      </c>
      <c r="K29" s="9">
        <f t="shared" si="2"/>
        <v>74.80036325301495</v>
      </c>
      <c r="L29" s="9">
        <f t="shared" si="2"/>
        <v>92.71159804477</v>
      </c>
      <c r="M29" s="9">
        <f t="shared" si="2"/>
        <v>106.23720750426463</v>
      </c>
      <c r="N29" s="9">
        <f t="shared" si="2"/>
        <v>111.20706270438467</v>
      </c>
      <c r="O29" s="9">
        <f t="shared" si="2"/>
        <v>98.607657741856485</v>
      </c>
      <c r="P29" s="9">
        <f t="shared" si="2"/>
        <v>47.338776800211576</v>
      </c>
      <c r="Q29" s="9">
        <f t="shared" si="2"/>
        <v>-98.417052895651295</v>
      </c>
      <c r="R29" s="9">
        <f t="shared" si="2"/>
        <v>-517.17567294434548</v>
      </c>
      <c r="S29" s="9"/>
      <c r="T29" s="9"/>
      <c r="U29" s="9"/>
      <c r="V29" s="9"/>
      <c r="W29" s="9"/>
      <c r="X29" s="9"/>
    </row>
    <row r="30" spans="1:24" x14ac:dyDescent="0.3">
      <c r="G30" s="34"/>
      <c r="H30" s="42">
        <v>0.93</v>
      </c>
      <c r="I30" s="45">
        <f t="shared" si="1"/>
        <v>423.13539681337977</v>
      </c>
      <c r="J30" s="9">
        <f t="shared" si="2"/>
        <v>58.210161792943694</v>
      </c>
      <c r="K30" s="9">
        <f t="shared" si="2"/>
        <v>79.01559792649843</v>
      </c>
      <c r="L30" s="9">
        <f t="shared" si="2"/>
        <v>97.658800537742337</v>
      </c>
      <c r="M30" s="9">
        <f t="shared" si="2"/>
        <v>112.22400678184675</v>
      </c>
      <c r="N30" s="9">
        <f t="shared" si="2"/>
        <v>118.72583769846625</v>
      </c>
      <c r="O30" s="9">
        <f t="shared" si="2"/>
        <v>108.5020627278011</v>
      </c>
      <c r="P30" s="9">
        <f t="shared" si="2"/>
        <v>61.188247387251067</v>
      </c>
      <c r="Q30" s="9">
        <f t="shared" si="2"/>
        <v>-77.271145703165757</v>
      </c>
      <c r="R30" s="9">
        <f t="shared" si="2"/>
        <v>-480.24925082613754</v>
      </c>
      <c r="S30" s="9"/>
      <c r="T30" s="9"/>
      <c r="U30" s="9"/>
      <c r="V30" s="9"/>
      <c r="W30" s="9"/>
      <c r="X30" s="9"/>
    </row>
    <row r="31" spans="1:24" x14ac:dyDescent="0.3">
      <c r="G31" s="34"/>
      <c r="H31" s="42">
        <v>0.94</v>
      </c>
      <c r="I31" s="45">
        <f t="shared" si="1"/>
        <v>427.68523978986764</v>
      </c>
      <c r="J31" s="9">
        <f t="shared" si="2"/>
        <v>61.779522823927067</v>
      </c>
      <c r="K31" s="9">
        <f t="shared" si="2"/>
        <v>83.097020701681004</v>
      </c>
      <c r="L31" s="9">
        <f t="shared" si="2"/>
        <v>102.44895494012377</v>
      </c>
      <c r="M31" s="9">
        <f t="shared" si="2"/>
        <v>118.02075614806358</v>
      </c>
      <c r="N31" s="9">
        <f t="shared" si="2"/>
        <v>126.00593047606674</v>
      </c>
      <c r="O31" s="9">
        <f t="shared" si="2"/>
        <v>118.08237153256374</v>
      </c>
      <c r="P31" s="9">
        <f t="shared" si="2"/>
        <v>74.598068917175738</v>
      </c>
      <c r="Q31" s="9">
        <f t="shared" si="2"/>
        <v>-56.796511690444731</v>
      </c>
      <c r="R31" s="9">
        <f t="shared" si="2"/>
        <v>-444.49505161456341</v>
      </c>
      <c r="S31" s="9"/>
      <c r="T31" s="9"/>
      <c r="U31" s="9"/>
      <c r="V31" s="9"/>
      <c r="W31" s="9"/>
      <c r="X31" s="9"/>
    </row>
    <row r="32" spans="1:24" x14ac:dyDescent="0.3">
      <c r="G32" s="34"/>
      <c r="H32" s="42">
        <v>0.95</v>
      </c>
      <c r="I32" s="45">
        <f t="shared" si="1"/>
        <v>432.23508276635567</v>
      </c>
      <c r="J32" s="9">
        <f t="shared" si="2"/>
        <v>65.23676149385372</v>
      </c>
      <c r="K32" s="9">
        <f t="shared" si="2"/>
        <v>87.050236003858828</v>
      </c>
      <c r="L32" s="9">
        <f t="shared" si="2"/>
        <v>107.08863887544979</v>
      </c>
      <c r="M32" s="9">
        <f t="shared" si="2"/>
        <v>123.63541543716235</v>
      </c>
      <c r="N32" s="9">
        <f t="shared" si="2"/>
        <v>133.05733773156635</v>
      </c>
      <c r="O32" s="9">
        <f t="shared" si="2"/>
        <v>127.36173940321584</v>
      </c>
      <c r="P32" s="9">
        <f t="shared" si="2"/>
        <v>87.586655150857723</v>
      </c>
      <c r="Q32" s="9">
        <f t="shared" si="2"/>
        <v>-36.965036015406326</v>
      </c>
      <c r="R32" s="9">
        <f t="shared" si="2"/>
        <v>-409.86397925916845</v>
      </c>
      <c r="S32" s="9"/>
      <c r="T32" s="9"/>
      <c r="U32" s="9"/>
      <c r="V32" s="9"/>
      <c r="W32" s="9"/>
      <c r="X32" s="9"/>
    </row>
    <row r="33" spans="7:24" x14ac:dyDescent="0.3">
      <c r="G33" s="34"/>
      <c r="H33" s="42">
        <v>0.96</v>
      </c>
      <c r="I33" s="45">
        <f t="shared" si="1"/>
        <v>436.78492574284354</v>
      </c>
      <c r="J33" s="9">
        <f t="shared" si="2"/>
        <v>68.586525149370573</v>
      </c>
      <c r="K33" s="9">
        <f t="shared" si="2"/>
        <v>90.880557889605029</v>
      </c>
      <c r="L33" s="9">
        <f t="shared" si="2"/>
        <v>111.58408917653352</v>
      </c>
      <c r="M33" s="9">
        <f t="shared" si="2"/>
        <v>129.07553207948007</v>
      </c>
      <c r="N33" s="9">
        <f t="shared" si="2"/>
        <v>139.88953822445893</v>
      </c>
      <c r="O33" s="9">
        <f t="shared" si="2"/>
        <v>136.35264000538336</v>
      </c>
      <c r="P33" s="9">
        <f t="shared" si="2"/>
        <v>100.17146582088787</v>
      </c>
      <c r="Q33" s="9">
        <f t="shared" si="2"/>
        <v>-17.750060483237689</v>
      </c>
      <c r="R33" s="9">
        <f t="shared" si="2"/>
        <v>-376.30948140607734</v>
      </c>
      <c r="S33" s="9"/>
      <c r="T33" s="9"/>
      <c r="U33" s="9"/>
      <c r="V33" s="9"/>
      <c r="W33" s="9"/>
      <c r="X33" s="9"/>
    </row>
    <row r="34" spans="7:24" x14ac:dyDescent="0.3">
      <c r="G34" s="34"/>
      <c r="H34" s="43">
        <v>0.97</v>
      </c>
      <c r="I34" s="45">
        <f t="shared" si="1"/>
        <v>441.33476871933152</v>
      </c>
      <c r="J34" s="9">
        <f t="shared" si="2"/>
        <v>71.833222824522181</v>
      </c>
      <c r="K34" s="9">
        <f t="shared" si="2"/>
        <v>94.593027914483741</v>
      </c>
      <c r="L34" s="9">
        <f t="shared" si="2"/>
        <v>115.94122285587551</v>
      </c>
      <c r="M34" s="9">
        <f t="shared" si="2"/>
        <v>134.34826647854078</v>
      </c>
      <c r="N34" s="9">
        <f t="shared" si="2"/>
        <v>146.51152465025098</v>
      </c>
      <c r="O34" s="9">
        <f t="shared" si="2"/>
        <v>145.0669073640675</v>
      </c>
      <c r="P34" s="9">
        <f t="shared" si="2"/>
        <v>112.36906533729484</v>
      </c>
      <c r="Q34" s="9">
        <f t="shared" si="2"/>
        <v>0.87370608776939207</v>
      </c>
      <c r="R34" s="9">
        <f t="shared" si="2"/>
        <v>-343.78739287272901</v>
      </c>
      <c r="S34" s="9"/>
      <c r="T34" s="9"/>
      <c r="U34" s="9"/>
      <c r="V34" s="9"/>
      <c r="W34" s="9"/>
      <c r="X34" s="9"/>
    </row>
    <row r="35" spans="7:24" x14ac:dyDescent="0.3">
      <c r="G35" s="34"/>
      <c r="H35" s="42">
        <v>0.98</v>
      </c>
      <c r="I35" s="45">
        <f t="shared" si="1"/>
        <v>445.88461169581944</v>
      </c>
      <c r="J35" s="9">
        <f t="shared" si="2"/>
        <v>74.981039756353368</v>
      </c>
      <c r="K35" s="9">
        <f t="shared" si="2"/>
        <v>98.192431731066023</v>
      </c>
      <c r="L35" s="9">
        <f t="shared" si="2"/>
        <v>120.16565658589477</v>
      </c>
      <c r="M35" s="9">
        <f t="shared" si="2"/>
        <v>139.46041558482841</v>
      </c>
      <c r="N35" s="9">
        <f t="shared" si="2"/>
        <v>152.93183324658253</v>
      </c>
      <c r="O35" s="9">
        <f t="shared" si="2"/>
        <v>153.51577482410568</v>
      </c>
      <c r="P35" s="9">
        <f t="shared" si="2"/>
        <v>124.19517732157442</v>
      </c>
      <c r="Q35" s="9">
        <f t="shared" si="2"/>
        <v>18.930271130879191</v>
      </c>
      <c r="R35" s="9">
        <f t="shared" si="2"/>
        <v>-312.25579024545073</v>
      </c>
      <c r="S35" s="9"/>
      <c r="T35" s="9"/>
      <c r="U35" s="9"/>
      <c r="V35" s="9"/>
      <c r="W35" s="9"/>
      <c r="X35" s="9"/>
    </row>
    <row r="36" spans="7:24" x14ac:dyDescent="0.3">
      <c r="G36" s="34"/>
      <c r="H36" s="42">
        <v>0.99</v>
      </c>
      <c r="I36" s="45">
        <f t="shared" si="1"/>
        <v>450.43445467230742</v>
      </c>
      <c r="J36" s="9">
        <f t="shared" si="2"/>
        <v>78.033950879386538</v>
      </c>
      <c r="K36" s="9">
        <f t="shared" si="2"/>
        <v>101.6833145193288</v>
      </c>
      <c r="L36" s="9">
        <f t="shared" ref="K36:R37" si="3">TAN(RADIANS(L$6))*$B$14 - 0.5*$B$28*POWER($B$14/(COS(RADIANS(L$6))*$I36), 2)</f>
        <v>124.26272480878828</v>
      </c>
      <c r="M36" s="9">
        <f t="shared" si="3"/>
        <v>144.41843481122285</v>
      </c>
      <c r="N36" s="9">
        <f t="shared" si="3"/>
        <v>159.15857131665274</v>
      </c>
      <c r="O36" s="9">
        <f t="shared" si="3"/>
        <v>161.70991126989281</v>
      </c>
      <c r="P36" s="9">
        <f t="shared" si="3"/>
        <v>135.66473530442659</v>
      </c>
      <c r="Q36" s="9">
        <f t="shared" si="3"/>
        <v>36.442435738181075</v>
      </c>
      <c r="R36" s="9">
        <f t="shared" si="3"/>
        <v>-281.67485670562201</v>
      </c>
      <c r="S36" s="9"/>
      <c r="T36" s="9"/>
      <c r="U36" s="9"/>
      <c r="V36" s="9"/>
      <c r="W36" s="9"/>
      <c r="X36" s="9"/>
    </row>
    <row r="37" spans="7:24" ht="15" thickBot="1" x14ac:dyDescent="0.35">
      <c r="G37" s="34"/>
      <c r="H37" s="44">
        <v>1</v>
      </c>
      <c r="I37" s="45">
        <f t="shared" si="1"/>
        <v>454.9842976487954</v>
      </c>
      <c r="J37" s="9">
        <f t="shared" si="2"/>
        <v>80.995733380247714</v>
      </c>
      <c r="K37" s="9">
        <f t="shared" si="3"/>
        <v>105.06999534237283</v>
      </c>
      <c r="L37" s="9">
        <f t="shared" si="3"/>
        <v>128.23749658509334</v>
      </c>
      <c r="M37" s="9">
        <f t="shared" si="3"/>
        <v>149.22845842209003</v>
      </c>
      <c r="N37" s="9">
        <f t="shared" si="3"/>
        <v>165.19944283572192</v>
      </c>
      <c r="O37" s="9">
        <f t="shared" si="3"/>
        <v>169.65945482250299</v>
      </c>
      <c r="P37" s="9">
        <f t="shared" si="3"/>
        <v>146.79192989254591</v>
      </c>
      <c r="Q37" s="9">
        <f t="shared" si="3"/>
        <v>53.431866676667028</v>
      </c>
      <c r="R37" s="9">
        <f t="shared" si="3"/>
        <v>-252.00675627029864</v>
      </c>
      <c r="S37" s="9"/>
      <c r="T37" s="9"/>
      <c r="U37" s="9"/>
      <c r="V37" s="9"/>
      <c r="W37" s="9"/>
      <c r="X37" s="9"/>
    </row>
    <row r="38" spans="7:24" x14ac:dyDescent="0.3">
      <c r="K38" s="2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7:24" x14ac:dyDescent="0.3">
      <c r="K39" s="2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7:24" x14ac:dyDescent="0.3">
      <c r="H40" s="28"/>
      <c r="I40" s="28"/>
      <c r="J40" s="28"/>
      <c r="K40" s="2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7:24" x14ac:dyDescent="0.3">
      <c r="K41" s="2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7:24" x14ac:dyDescent="0.3">
      <c r="K42" s="2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7:24" x14ac:dyDescent="0.3">
      <c r="K43" s="2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7:24" x14ac:dyDescent="0.3">
      <c r="K44" s="2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7:24" x14ac:dyDescent="0.3">
      <c r="K45" s="2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7:24" x14ac:dyDescent="0.3">
      <c r="K46" s="2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7:24" x14ac:dyDescent="0.3">
      <c r="K47" s="2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7:24" x14ac:dyDescent="0.3">
      <c r="K48" s="2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1:24" x14ac:dyDescent="0.3">
      <c r="K49" s="2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1:24" x14ac:dyDescent="0.3">
      <c r="K50" s="2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</sheetData>
  <conditionalFormatting sqref="J7:R37">
    <cfRule type="cellIs" dxfId="0" priority="1" operator="between">
      <formula>$B$12</formula>
      <formula>$D$12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D1B9-AB1F-4E81-B4BB-AF8902B9204F}">
  <dimension ref="A1:E7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62</v>
      </c>
    </row>
    <row r="2" spans="1:5" x14ac:dyDescent="0.3">
      <c r="A2" t="s">
        <v>44</v>
      </c>
      <c r="B2" t="s">
        <v>61</v>
      </c>
    </row>
    <row r="3" spans="1:5" x14ac:dyDescent="0.3">
      <c r="A3">
        <v>33</v>
      </c>
      <c r="B3">
        <v>0.95</v>
      </c>
      <c r="C3" t="s">
        <v>63</v>
      </c>
      <c r="E3" t="s">
        <v>64</v>
      </c>
    </row>
    <row r="4" spans="1:5" x14ac:dyDescent="0.3">
      <c r="A4">
        <v>28</v>
      </c>
      <c r="B4">
        <v>0.83</v>
      </c>
      <c r="C4" t="s">
        <v>66</v>
      </c>
      <c r="E4" t="s">
        <v>65</v>
      </c>
    </row>
    <row r="5" spans="1:5" x14ac:dyDescent="0.3">
      <c r="A5">
        <v>28</v>
      </c>
      <c r="B5">
        <v>0.9</v>
      </c>
      <c r="C5" t="s">
        <v>67</v>
      </c>
    </row>
    <row r="6" spans="1:5" x14ac:dyDescent="0.3">
      <c r="A6">
        <v>28</v>
      </c>
      <c r="B6">
        <v>0.92</v>
      </c>
      <c r="C6" t="s">
        <v>68</v>
      </c>
    </row>
    <row r="7" spans="1:5" x14ac:dyDescent="0.3">
      <c r="A7">
        <v>28</v>
      </c>
      <c r="B7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4D8-D7E0-465A-92B3-61F1DC1412F6}">
  <dimension ref="A1:J15"/>
  <sheetViews>
    <sheetView workbookViewId="0">
      <selection activeCell="I13" sqref="I13"/>
    </sheetView>
  </sheetViews>
  <sheetFormatPr defaultRowHeight="14.4" x14ac:dyDescent="0.3"/>
  <cols>
    <col min="3" max="3" width="14.5546875" customWidth="1"/>
  </cols>
  <sheetData>
    <row r="1" spans="1:10" x14ac:dyDescent="0.3">
      <c r="A1" t="s">
        <v>48</v>
      </c>
    </row>
    <row r="3" spans="1:10" ht="18" x14ac:dyDescent="0.35">
      <c r="A3" s="1" t="s">
        <v>52</v>
      </c>
      <c r="G3" s="1" t="s">
        <v>56</v>
      </c>
    </row>
    <row r="5" spans="1:10" ht="15.6" x14ac:dyDescent="0.3">
      <c r="A5" s="2" t="s">
        <v>53</v>
      </c>
      <c r="B5" s="12">
        <v>30</v>
      </c>
      <c r="C5" t="s">
        <v>4</v>
      </c>
      <c r="H5" s="27" t="s">
        <v>60</v>
      </c>
    </row>
    <row r="6" spans="1:10" x14ac:dyDescent="0.3">
      <c r="A6" s="2" t="s">
        <v>54</v>
      </c>
      <c r="B6" s="12">
        <v>30</v>
      </c>
      <c r="C6" t="s">
        <v>4</v>
      </c>
      <c r="H6" t="s">
        <v>5</v>
      </c>
      <c r="I6" s="10">
        <f>ATAN((D11-B5/2)/D13)*57.2958</f>
        <v>21.088242348926485</v>
      </c>
      <c r="J6" t="s">
        <v>42</v>
      </c>
    </row>
    <row r="7" spans="1:10" x14ac:dyDescent="0.3">
      <c r="H7" t="s">
        <v>44</v>
      </c>
      <c r="I7" s="10">
        <f>SQRT((D11-B5/2)^2+D13^2)</f>
        <v>221.39756209136542</v>
      </c>
      <c r="J7" t="s">
        <v>4</v>
      </c>
    </row>
    <row r="8" spans="1:10" x14ac:dyDescent="0.3">
      <c r="I8" s="10">
        <f>ROUND(I7/12,1)</f>
        <v>18.399999999999999</v>
      </c>
      <c r="J8" t="s">
        <v>3</v>
      </c>
    </row>
    <row r="9" spans="1:10" ht="18" x14ac:dyDescent="0.35">
      <c r="A9" s="1" t="s">
        <v>55</v>
      </c>
    </row>
    <row r="10" spans="1:10" x14ac:dyDescent="0.3">
      <c r="H10" s="2" t="s">
        <v>59</v>
      </c>
    </row>
    <row r="11" spans="1:10" x14ac:dyDescent="0.3">
      <c r="A11" s="2" t="s">
        <v>49</v>
      </c>
      <c r="D11" s="12">
        <v>94.66</v>
      </c>
      <c r="E11" t="s">
        <v>4</v>
      </c>
      <c r="H11" t="s">
        <v>5</v>
      </c>
      <c r="I11" s="10">
        <f>ATAN((D11-B5/2)/(D13+D14-D15-B6))*57.2958</f>
        <v>8.6904758463773213</v>
      </c>
      <c r="J11" t="s">
        <v>42</v>
      </c>
    </row>
    <row r="12" spans="1:10" x14ac:dyDescent="0.3">
      <c r="A12" s="2" t="s">
        <v>50</v>
      </c>
      <c r="D12" s="12">
        <v>120</v>
      </c>
      <c r="E12" t="s">
        <v>4</v>
      </c>
      <c r="H12" t="s">
        <v>44</v>
      </c>
      <c r="I12" s="10">
        <f>SQRT((D11-B5/2)^2+(D13+D14-D15-B6)^2)</f>
        <v>527.21291827875382</v>
      </c>
      <c r="J12" t="s">
        <v>4</v>
      </c>
    </row>
    <row r="13" spans="1:10" x14ac:dyDescent="0.3">
      <c r="A13" s="2" t="s">
        <v>51</v>
      </c>
      <c r="D13" s="12">
        <v>206.57</v>
      </c>
      <c r="E13" t="s">
        <v>4</v>
      </c>
      <c r="I13" s="10">
        <f>I12/12</f>
        <v>43.934409856562816</v>
      </c>
      <c r="J13" t="s">
        <v>3</v>
      </c>
    </row>
    <row r="14" spans="1:10" x14ac:dyDescent="0.3">
      <c r="A14" s="2" t="s">
        <v>57</v>
      </c>
      <c r="D14" s="12">
        <v>374.59</v>
      </c>
      <c r="E14" t="s">
        <v>4</v>
      </c>
    </row>
    <row r="15" spans="1:10" x14ac:dyDescent="0.3">
      <c r="A15" s="2" t="s">
        <v>58</v>
      </c>
      <c r="D15" s="12">
        <v>30</v>
      </c>
      <c r="E1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684-C6B9-48D0-BA62-41E5059F4BE2}">
  <dimension ref="A1:P75"/>
  <sheetViews>
    <sheetView topLeftCell="A4" workbookViewId="0">
      <selection activeCell="D28" sqref="D28:D30"/>
    </sheetView>
  </sheetViews>
  <sheetFormatPr defaultRowHeight="14.4" x14ac:dyDescent="0.3"/>
  <cols>
    <col min="1" max="1" width="10.21875" customWidth="1"/>
    <col min="2" max="2" width="11.88671875" customWidth="1"/>
    <col min="3" max="3" width="12.88671875" customWidth="1"/>
    <col min="8" max="12" width="14.5546875" style="3" customWidth="1"/>
    <col min="13" max="13" width="17.6640625" style="3" customWidth="1"/>
    <col min="14" max="14" width="14.5546875" customWidth="1"/>
  </cols>
  <sheetData>
    <row r="1" spans="1:16" ht="18" x14ac:dyDescent="0.35">
      <c r="A1" s="1" t="s">
        <v>0</v>
      </c>
    </row>
    <row r="2" spans="1:16" ht="18" x14ac:dyDescent="0.35">
      <c r="A2" s="1" t="s">
        <v>1</v>
      </c>
    </row>
    <row r="4" spans="1:16" x14ac:dyDescent="0.3">
      <c r="A4" s="2" t="s">
        <v>10</v>
      </c>
      <c r="C4">
        <v>8</v>
      </c>
      <c r="D4" t="s">
        <v>3</v>
      </c>
      <c r="E4">
        <f>C4*12+C5</f>
        <v>98.25</v>
      </c>
      <c r="F4" t="s">
        <v>4</v>
      </c>
      <c r="H4" s="4" t="s">
        <v>2</v>
      </c>
      <c r="I4" s="3">
        <f>E5-E7</f>
        <v>188.595</v>
      </c>
      <c r="J4" s="3" t="s">
        <v>9</v>
      </c>
      <c r="K4" s="3">
        <f>E4-C7</f>
        <v>74.25</v>
      </c>
      <c r="L4" s="3" t="s">
        <v>4</v>
      </c>
    </row>
    <row r="5" spans="1:16" x14ac:dyDescent="0.3">
      <c r="C5">
        <v>2.25</v>
      </c>
      <c r="D5" t="s">
        <v>4</v>
      </c>
      <c r="E5">
        <f>E4*2.54</f>
        <v>249.55500000000001</v>
      </c>
      <c r="F5" t="s">
        <v>9</v>
      </c>
    </row>
    <row r="6" spans="1:16" x14ac:dyDescent="0.3">
      <c r="H6" s="4" t="s">
        <v>6</v>
      </c>
      <c r="I6" s="4" t="s">
        <v>6</v>
      </c>
      <c r="J6" s="4" t="s">
        <v>8</v>
      </c>
      <c r="K6" s="4" t="s">
        <v>8</v>
      </c>
      <c r="L6" s="4" t="s">
        <v>15</v>
      </c>
      <c r="M6" s="4" t="s">
        <v>15</v>
      </c>
      <c r="N6" s="4" t="s">
        <v>15</v>
      </c>
    </row>
    <row r="7" spans="1:16" ht="15" thickBot="1" x14ac:dyDescent="0.35">
      <c r="A7" s="2" t="s">
        <v>7</v>
      </c>
      <c r="C7">
        <v>24</v>
      </c>
      <c r="D7" t="s">
        <v>4</v>
      </c>
      <c r="E7">
        <f>C7*2.54</f>
        <v>60.96</v>
      </c>
      <c r="F7" t="s">
        <v>9</v>
      </c>
      <c r="H7" s="5" t="s">
        <v>17</v>
      </c>
      <c r="I7" s="5" t="s">
        <v>5</v>
      </c>
      <c r="J7" s="5" t="s">
        <v>14</v>
      </c>
      <c r="K7" s="5" t="s">
        <v>16</v>
      </c>
      <c r="L7" s="5" t="s">
        <v>14</v>
      </c>
      <c r="M7" s="5" t="s">
        <v>16</v>
      </c>
      <c r="N7" s="5" t="s">
        <v>18</v>
      </c>
    </row>
    <row r="8" spans="1:16" x14ac:dyDescent="0.3">
      <c r="H8" s="3">
        <v>5</v>
      </c>
      <c r="I8" s="3">
        <v>10</v>
      </c>
      <c r="J8" s="6">
        <f t="shared" ref="J8:J15" si="0">((H8*12*2.54)^2*SIN(I8*0.01745)^2)/(2*$C$10)</f>
        <v>0.35681999715249701</v>
      </c>
      <c r="K8" s="7">
        <f>J8/2.54</f>
        <v>0.14048031383956575</v>
      </c>
      <c r="L8" s="7">
        <f t="shared" ref="L8:L15" si="1">(((H8*12*2.54)^2)/$C$10)*SIN(2*I8*0.01745)/2</f>
        <v>4.0480329036253302</v>
      </c>
      <c r="M8" s="7">
        <f>L8/2.54</f>
        <v>1.5937137415847757</v>
      </c>
      <c r="N8" s="8">
        <f>M8/12</f>
        <v>0.13280947846539798</v>
      </c>
      <c r="P8">
        <f>$K$4</f>
        <v>74.25</v>
      </c>
    </row>
    <row r="9" spans="1:16" x14ac:dyDescent="0.3">
      <c r="A9" s="2" t="s">
        <v>11</v>
      </c>
      <c r="C9">
        <v>9.81</v>
      </c>
      <c r="D9" t="s">
        <v>12</v>
      </c>
      <c r="H9" s="3">
        <v>5</v>
      </c>
      <c r="I9" s="3">
        <v>20</v>
      </c>
      <c r="J9" s="6">
        <f t="shared" si="0"/>
        <v>1.3842583021132988</v>
      </c>
      <c r="K9" s="7">
        <f t="shared" ref="K9:K15" si="2">J9/2.54</f>
        <v>0.54498358350917275</v>
      </c>
      <c r="L9" s="7">
        <f t="shared" si="1"/>
        <v>7.6079956208882571</v>
      </c>
      <c r="M9" s="7">
        <f t="shared" ref="M9:M15" si="3">L9/2.54</f>
        <v>2.9952738664914396</v>
      </c>
      <c r="N9" s="8">
        <f t="shared" ref="N9:N15" si="4">M9/12</f>
        <v>0.24960615554095331</v>
      </c>
      <c r="P9">
        <f t="shared" ref="P9:P15" si="5">$K$4</f>
        <v>74.25</v>
      </c>
    </row>
    <row r="10" spans="1:16" x14ac:dyDescent="0.3">
      <c r="C10">
        <f>C9*100</f>
        <v>981</v>
      </c>
      <c r="D10" t="s">
        <v>13</v>
      </c>
      <c r="H10" s="3">
        <v>5</v>
      </c>
      <c r="I10" s="3">
        <v>30</v>
      </c>
      <c r="J10" s="6">
        <f t="shared" si="0"/>
        <v>2.9584369680087543</v>
      </c>
      <c r="K10" s="7">
        <f t="shared" si="2"/>
        <v>1.1647389637829741</v>
      </c>
      <c r="L10" s="7">
        <f t="shared" si="1"/>
        <v>10.250664450246822</v>
      </c>
      <c r="M10" s="7">
        <f t="shared" si="3"/>
        <v>4.0356946654515049</v>
      </c>
      <c r="N10" s="8">
        <f t="shared" si="4"/>
        <v>0.33630788878762541</v>
      </c>
      <c r="P10">
        <f t="shared" si="5"/>
        <v>74.25</v>
      </c>
    </row>
    <row r="11" spans="1:16" x14ac:dyDescent="0.3">
      <c r="H11" s="3">
        <v>5</v>
      </c>
      <c r="I11" s="3">
        <v>40</v>
      </c>
      <c r="J11" s="6">
        <f t="shared" si="0"/>
        <v>4.8895577167311863</v>
      </c>
      <c r="K11" s="7">
        <f t="shared" si="2"/>
        <v>1.9250227231225143</v>
      </c>
      <c r="L11" s="7">
        <f t="shared" si="1"/>
        <v>11.657413555709415</v>
      </c>
      <c r="M11" s="7">
        <f t="shared" si="3"/>
        <v>4.5895328959485884</v>
      </c>
      <c r="N11" s="8">
        <f t="shared" si="4"/>
        <v>0.38246107466238238</v>
      </c>
      <c r="P11">
        <f t="shared" si="5"/>
        <v>74.25</v>
      </c>
    </row>
    <row r="12" spans="1:16" x14ac:dyDescent="0.3">
      <c r="H12" s="3">
        <v>5</v>
      </c>
      <c r="I12" s="3">
        <v>50</v>
      </c>
      <c r="J12" s="6">
        <f t="shared" si="0"/>
        <v>6.9447858638408624</v>
      </c>
      <c r="K12" s="7">
        <f t="shared" si="2"/>
        <v>2.7341676629294733</v>
      </c>
      <c r="L12" s="7">
        <f t="shared" si="1"/>
        <v>11.658631594084296</v>
      </c>
      <c r="M12" s="7">
        <f t="shared" si="3"/>
        <v>4.5900124386158643</v>
      </c>
      <c r="N12" s="8">
        <f t="shared" si="4"/>
        <v>0.382501036551322</v>
      </c>
      <c r="P12">
        <f t="shared" si="5"/>
        <v>74.25</v>
      </c>
    </row>
    <row r="13" spans="1:16" x14ac:dyDescent="0.3">
      <c r="H13" s="3">
        <v>5</v>
      </c>
      <c r="I13" s="3">
        <v>60</v>
      </c>
      <c r="J13" s="6">
        <f t="shared" si="0"/>
        <v>8.876323130850782</v>
      </c>
      <c r="K13" s="7">
        <f t="shared" si="2"/>
        <v>3.4946154058467647</v>
      </c>
      <c r="L13" s="7">
        <f t="shared" si="1"/>
        <v>10.254171706827876</v>
      </c>
      <c r="M13" s="7">
        <f t="shared" si="3"/>
        <v>4.0370754751290852</v>
      </c>
      <c r="N13" s="8">
        <f t="shared" si="4"/>
        <v>0.33642295626075708</v>
      </c>
      <c r="P13">
        <f t="shared" si="5"/>
        <v>74.25</v>
      </c>
    </row>
    <row r="14" spans="1:16" x14ac:dyDescent="0.3">
      <c r="H14" s="3">
        <v>5</v>
      </c>
      <c r="I14" s="3">
        <v>70</v>
      </c>
      <c r="J14" s="6">
        <f t="shared" si="0"/>
        <v>10.45128461382868</v>
      </c>
      <c r="K14" s="7">
        <f t="shared" si="2"/>
        <v>4.1146789818223146</v>
      </c>
      <c r="L14" s="7">
        <f t="shared" si="1"/>
        <v>7.6133692267379294</v>
      </c>
      <c r="M14" s="7">
        <f t="shared" si="3"/>
        <v>2.9973894593456416</v>
      </c>
      <c r="N14" s="8">
        <f t="shared" si="4"/>
        <v>0.24978245494547013</v>
      </c>
      <c r="P14">
        <f t="shared" si="5"/>
        <v>74.25</v>
      </c>
    </row>
    <row r="15" spans="1:16" x14ac:dyDescent="0.3">
      <c r="H15" s="3">
        <v>5</v>
      </c>
      <c r="I15" s="3">
        <v>80</v>
      </c>
      <c r="J15" s="6">
        <f t="shared" si="0"/>
        <v>11.479777650631862</v>
      </c>
      <c r="K15" s="7">
        <f t="shared" si="2"/>
        <v>4.5195975002487643</v>
      </c>
      <c r="L15" s="7">
        <f t="shared" si="1"/>
        <v>4.0546249646007331</v>
      </c>
      <c r="M15" s="7">
        <f t="shared" si="3"/>
        <v>1.5963090411813909</v>
      </c>
      <c r="N15" s="8">
        <f t="shared" si="4"/>
        <v>0.13302575343178258</v>
      </c>
      <c r="P15">
        <f t="shared" si="5"/>
        <v>74.25</v>
      </c>
    </row>
    <row r="17" spans="1:14" ht="18" x14ac:dyDescent="0.35">
      <c r="A17" s="1" t="s">
        <v>43</v>
      </c>
    </row>
    <row r="18" spans="1:14" x14ac:dyDescent="0.3">
      <c r="H18" s="4" t="s">
        <v>6</v>
      </c>
      <c r="I18" s="4" t="s">
        <v>6</v>
      </c>
      <c r="J18" s="4" t="s">
        <v>8</v>
      </c>
      <c r="K18" s="4" t="s">
        <v>8</v>
      </c>
      <c r="L18" s="4" t="s">
        <v>15</v>
      </c>
      <c r="M18" s="4" t="s">
        <v>15</v>
      </c>
      <c r="N18" s="4" t="s">
        <v>15</v>
      </c>
    </row>
    <row r="19" spans="1:14" ht="15" thickBot="1" x14ac:dyDescent="0.35">
      <c r="A19" s="2" t="s">
        <v>46</v>
      </c>
      <c r="C19" s="12">
        <v>45</v>
      </c>
      <c r="D19" t="s">
        <v>4</v>
      </c>
      <c r="H19" s="5" t="s">
        <v>17</v>
      </c>
      <c r="I19" s="5" t="s">
        <v>5</v>
      </c>
      <c r="J19" s="5" t="s">
        <v>14</v>
      </c>
      <c r="K19" s="5" t="s">
        <v>16</v>
      </c>
      <c r="L19" s="5" t="s">
        <v>14</v>
      </c>
      <c r="M19" s="5" t="s">
        <v>16</v>
      </c>
      <c r="N19" s="5" t="s">
        <v>18</v>
      </c>
    </row>
    <row r="20" spans="1:14" x14ac:dyDescent="0.3">
      <c r="A20" s="2" t="s">
        <v>47</v>
      </c>
      <c r="C20" s="12">
        <v>7</v>
      </c>
      <c r="D20" t="s">
        <v>4</v>
      </c>
      <c r="H20" s="3">
        <v>10</v>
      </c>
      <c r="I20" s="3">
        <v>10</v>
      </c>
      <c r="J20" s="6">
        <f t="shared" ref="J20:J27" si="6">((H20*12*2.54)^2*SIN(I20*0.01745)^2)/(2*$C$10)</f>
        <v>1.4272799886099881</v>
      </c>
      <c r="K20" s="7">
        <f>J20/2.54</f>
        <v>0.56192125535826298</v>
      </c>
      <c r="L20" s="7">
        <f t="shared" ref="L20:L27" si="7">(((H20*12*2.54)^2)/$C$10)*SIN(2*I20*0.01745)/2</f>
        <v>16.192131614501321</v>
      </c>
      <c r="M20" s="7">
        <f>L20/2.54</f>
        <v>6.374854966339103</v>
      </c>
      <c r="N20" s="8">
        <f>M20/12</f>
        <v>0.53123791386159191</v>
      </c>
    </row>
    <row r="21" spans="1:14" x14ac:dyDescent="0.3">
      <c r="H21" s="3">
        <v>10</v>
      </c>
      <c r="I21" s="3">
        <v>20</v>
      </c>
      <c r="J21" s="6">
        <f t="shared" si="6"/>
        <v>5.5370332084531952</v>
      </c>
      <c r="K21" s="7">
        <f t="shared" ref="K21:K27" si="8">J21/2.54</f>
        <v>2.179934334036691</v>
      </c>
      <c r="L21" s="7">
        <f t="shared" si="7"/>
        <v>30.431982483553028</v>
      </c>
      <c r="M21" s="7">
        <f t="shared" ref="M21:M27" si="9">L21/2.54</f>
        <v>11.981095465965758</v>
      </c>
      <c r="N21" s="8">
        <f t="shared" ref="N21:N27" si="10">M21/12</f>
        <v>0.99842462216381322</v>
      </c>
    </row>
    <row r="22" spans="1:14" x14ac:dyDescent="0.3">
      <c r="A22" s="4" t="s">
        <v>6</v>
      </c>
      <c r="B22" s="4" t="s">
        <v>45</v>
      </c>
      <c r="C22" s="4" t="s">
        <v>45</v>
      </c>
      <c r="H22" s="3">
        <v>10</v>
      </c>
      <c r="I22" s="3">
        <v>30</v>
      </c>
      <c r="J22" s="6">
        <f t="shared" si="6"/>
        <v>11.833747872035017</v>
      </c>
      <c r="K22" s="7">
        <f t="shared" si="8"/>
        <v>4.6589558551318966</v>
      </c>
      <c r="L22" s="7">
        <f t="shared" si="7"/>
        <v>41.002657800987286</v>
      </c>
      <c r="M22" s="7">
        <f t="shared" si="9"/>
        <v>16.14277866180602</v>
      </c>
      <c r="N22" s="8">
        <f t="shared" si="10"/>
        <v>1.3452315551505016</v>
      </c>
    </row>
    <row r="23" spans="1:14" ht="15" thickBot="1" x14ac:dyDescent="0.35">
      <c r="A23" s="5" t="s">
        <v>5</v>
      </c>
      <c r="B23" s="5" t="s">
        <v>31</v>
      </c>
      <c r="C23" s="5" t="s">
        <v>34</v>
      </c>
      <c r="H23" s="3">
        <v>10</v>
      </c>
      <c r="I23" s="3">
        <v>40</v>
      </c>
      <c r="J23" s="6">
        <f t="shared" si="6"/>
        <v>19.558230866924745</v>
      </c>
      <c r="K23" s="7">
        <f t="shared" si="8"/>
        <v>7.7000908924900573</v>
      </c>
      <c r="L23" s="7">
        <f t="shared" si="7"/>
        <v>46.629654222837658</v>
      </c>
      <c r="M23" s="7">
        <f t="shared" si="9"/>
        <v>18.358131583794354</v>
      </c>
      <c r="N23" s="8">
        <f t="shared" si="10"/>
        <v>1.5298442986495295</v>
      </c>
    </row>
    <row r="24" spans="1:14" x14ac:dyDescent="0.3">
      <c r="A24" s="3">
        <v>20</v>
      </c>
      <c r="B24" s="26">
        <f>($C$19-$C$7+$C$20/2)/TAN(A24*0.01745)</f>
        <v>67.326991077892842</v>
      </c>
      <c r="C24" s="26">
        <f>B24/12</f>
        <v>5.6105825898244035</v>
      </c>
      <c r="H24" s="3">
        <v>10</v>
      </c>
      <c r="I24" s="3">
        <v>50</v>
      </c>
      <c r="J24" s="6">
        <f t="shared" si="6"/>
        <v>27.77914345536345</v>
      </c>
      <c r="K24" s="7">
        <f t="shared" si="8"/>
        <v>10.936670651717893</v>
      </c>
      <c r="L24" s="7">
        <f t="shared" si="7"/>
        <v>46.634526376337185</v>
      </c>
      <c r="M24" s="7">
        <f t="shared" si="9"/>
        <v>18.360049754463457</v>
      </c>
      <c r="N24" s="8">
        <f t="shared" si="10"/>
        <v>1.530004146205288</v>
      </c>
    </row>
    <row r="25" spans="1:14" x14ac:dyDescent="0.3">
      <c r="A25" s="3">
        <v>25</v>
      </c>
      <c r="B25" s="26">
        <f t="shared" ref="B25:B36" si="11">($C$19-$C$7+$C$20/2)/TAN(A25*0.01745)</f>
        <v>52.551712691083466</v>
      </c>
      <c r="C25" s="26">
        <f t="shared" ref="C25:C36" si="12">B25/12</f>
        <v>4.3793093909236225</v>
      </c>
      <c r="H25" s="3">
        <v>10</v>
      </c>
      <c r="I25" s="3">
        <v>60</v>
      </c>
      <c r="J25" s="6">
        <f t="shared" si="6"/>
        <v>35.505292523403128</v>
      </c>
      <c r="K25" s="7">
        <f t="shared" si="8"/>
        <v>13.978461623387059</v>
      </c>
      <c r="L25" s="7">
        <f t="shared" si="7"/>
        <v>41.016686827311503</v>
      </c>
      <c r="M25" s="7">
        <f t="shared" si="9"/>
        <v>16.148301900516341</v>
      </c>
      <c r="N25" s="8">
        <f t="shared" si="10"/>
        <v>1.3456918250430283</v>
      </c>
    </row>
    <row r="26" spans="1:14" x14ac:dyDescent="0.3">
      <c r="A26" s="3">
        <v>30</v>
      </c>
      <c r="B26" s="26">
        <f t="shared" si="11"/>
        <v>42.444926450483692</v>
      </c>
      <c r="C26" s="26">
        <f t="shared" si="12"/>
        <v>3.5370772042069745</v>
      </c>
      <c r="H26" s="3">
        <v>10</v>
      </c>
      <c r="I26" s="3">
        <v>70</v>
      </c>
      <c r="J26" s="6">
        <f t="shared" si="6"/>
        <v>41.805138455314719</v>
      </c>
      <c r="K26" s="7">
        <f t="shared" si="8"/>
        <v>16.458715927289258</v>
      </c>
      <c r="L26" s="7">
        <f t="shared" si="7"/>
        <v>30.453476906951717</v>
      </c>
      <c r="M26" s="7">
        <f t="shared" si="9"/>
        <v>11.989557837382566</v>
      </c>
      <c r="N26" s="8">
        <f t="shared" si="10"/>
        <v>0.99912981978188053</v>
      </c>
    </row>
    <row r="27" spans="1:14" x14ac:dyDescent="0.3">
      <c r="A27" s="3">
        <v>35</v>
      </c>
      <c r="B27" s="26">
        <f t="shared" si="11"/>
        <v>34.998209408478502</v>
      </c>
      <c r="C27" s="26">
        <f t="shared" si="12"/>
        <v>2.9165174507065417</v>
      </c>
      <c r="H27" s="3">
        <v>10</v>
      </c>
      <c r="I27" s="3">
        <v>80</v>
      </c>
      <c r="J27" s="6">
        <f t="shared" si="6"/>
        <v>45.919110602527446</v>
      </c>
      <c r="K27" s="7">
        <f t="shared" si="8"/>
        <v>18.078390000995057</v>
      </c>
      <c r="L27" s="7">
        <f t="shared" si="7"/>
        <v>16.218499858402932</v>
      </c>
      <c r="M27" s="7">
        <f t="shared" si="9"/>
        <v>6.3852361647255638</v>
      </c>
      <c r="N27" s="8">
        <f t="shared" si="10"/>
        <v>0.53210301372713031</v>
      </c>
    </row>
    <row r="28" spans="1:14" x14ac:dyDescent="0.3">
      <c r="A28" s="3">
        <v>40</v>
      </c>
      <c r="B28" s="26">
        <f t="shared" si="11"/>
        <v>29.205773677400945</v>
      </c>
      <c r="C28" s="26">
        <f t="shared" si="12"/>
        <v>2.4338144731167453</v>
      </c>
    </row>
    <row r="29" spans="1:14" x14ac:dyDescent="0.3">
      <c r="A29" s="3">
        <v>45</v>
      </c>
      <c r="B29" s="26">
        <f t="shared" si="11"/>
        <v>24.507261082354731</v>
      </c>
      <c r="C29" s="26">
        <f t="shared" si="12"/>
        <v>2.0422717568628941</v>
      </c>
    </row>
    <row r="30" spans="1:14" x14ac:dyDescent="0.3">
      <c r="A30" s="3">
        <v>50</v>
      </c>
      <c r="B30" s="26">
        <f t="shared" si="11"/>
        <v>20.564815075312634</v>
      </c>
      <c r="C30" s="26">
        <f t="shared" si="12"/>
        <v>1.7137345896093861</v>
      </c>
      <c r="H30" s="4" t="s">
        <v>6</v>
      </c>
      <c r="I30" s="4" t="s">
        <v>6</v>
      </c>
      <c r="J30" s="4" t="s">
        <v>8</v>
      </c>
      <c r="K30" s="4" t="s">
        <v>8</v>
      </c>
      <c r="L30" s="4" t="s">
        <v>15</v>
      </c>
      <c r="M30" s="4" t="s">
        <v>15</v>
      </c>
      <c r="N30" s="4" t="s">
        <v>15</v>
      </c>
    </row>
    <row r="31" spans="1:14" ht="15" thickBot="1" x14ac:dyDescent="0.35">
      <c r="A31" s="3">
        <v>55</v>
      </c>
      <c r="B31" s="26">
        <f t="shared" si="11"/>
        <v>17.161697453216796</v>
      </c>
      <c r="C31" s="26">
        <f t="shared" si="12"/>
        <v>1.4301414544347331</v>
      </c>
      <c r="H31" s="5" t="s">
        <v>17</v>
      </c>
      <c r="I31" s="5" t="s">
        <v>5</v>
      </c>
      <c r="J31" s="5" t="s">
        <v>14</v>
      </c>
      <c r="K31" s="5" t="s">
        <v>16</v>
      </c>
      <c r="L31" s="5" t="s">
        <v>14</v>
      </c>
      <c r="M31" s="5" t="s">
        <v>16</v>
      </c>
      <c r="N31" s="5" t="s">
        <v>18</v>
      </c>
    </row>
    <row r="32" spans="1:14" x14ac:dyDescent="0.3">
      <c r="A32" s="3">
        <v>60</v>
      </c>
      <c r="B32" s="26">
        <f t="shared" si="11"/>
        <v>14.151535670446192</v>
      </c>
      <c r="C32" s="26">
        <f t="shared" si="12"/>
        <v>1.1792946392038492</v>
      </c>
      <c r="H32" s="3">
        <v>20</v>
      </c>
      <c r="I32" s="3">
        <v>10</v>
      </c>
      <c r="J32" s="6">
        <f t="shared" ref="J32:J39" si="13">((H32*12*2.54)^2*SIN(I32*0.01745)^2)/(2*$C$10)</f>
        <v>5.7091199544399522</v>
      </c>
      <c r="K32" s="7">
        <f>J32/2.54</f>
        <v>2.2476850214330519</v>
      </c>
      <c r="L32" s="7">
        <f t="shared" ref="L32:L39" si="14">(((H32*12*2.54)^2)/$C$10)*SIN(2*I32*0.01745)/2</f>
        <v>64.768526458005283</v>
      </c>
      <c r="M32" s="7">
        <f>L32/2.54</f>
        <v>25.499419865356412</v>
      </c>
      <c r="N32" s="8">
        <f>M32/12</f>
        <v>2.1249516554463677</v>
      </c>
    </row>
    <row r="33" spans="1:14" x14ac:dyDescent="0.3">
      <c r="A33" s="3">
        <v>65</v>
      </c>
      <c r="B33" s="26">
        <f t="shared" si="11"/>
        <v>11.430921726280408</v>
      </c>
      <c r="C33" s="26">
        <f t="shared" si="12"/>
        <v>0.95257681052336729</v>
      </c>
      <c r="H33" s="3">
        <v>20</v>
      </c>
      <c r="I33" s="3">
        <v>20</v>
      </c>
      <c r="J33" s="6">
        <f t="shared" si="13"/>
        <v>22.148132833812781</v>
      </c>
      <c r="K33" s="7">
        <f t="shared" ref="K33:K39" si="15">J33/2.54</f>
        <v>8.7197373361467641</v>
      </c>
      <c r="L33" s="7">
        <f t="shared" si="14"/>
        <v>121.72792993421211</v>
      </c>
      <c r="M33" s="7">
        <f t="shared" ref="M33:M39" si="16">L33/2.54</f>
        <v>47.924381863863033</v>
      </c>
      <c r="N33" s="8">
        <f t="shared" ref="N33:N39" si="17">M33/12</f>
        <v>3.9936984886552529</v>
      </c>
    </row>
    <row r="34" spans="1:14" x14ac:dyDescent="0.3">
      <c r="A34" s="3">
        <v>70</v>
      </c>
      <c r="B34" s="26">
        <f t="shared" si="11"/>
        <v>8.9236659868718071</v>
      </c>
      <c r="C34" s="26">
        <f t="shared" si="12"/>
        <v>0.74363883223931726</v>
      </c>
      <c r="H34" s="3">
        <v>20</v>
      </c>
      <c r="I34" s="3">
        <v>30</v>
      </c>
      <c r="J34" s="6">
        <f t="shared" si="13"/>
        <v>47.334991488140069</v>
      </c>
      <c r="K34" s="7">
        <f t="shared" si="15"/>
        <v>18.635823420527586</v>
      </c>
      <c r="L34" s="7">
        <f t="shared" si="14"/>
        <v>164.01063120394915</v>
      </c>
      <c r="M34" s="7">
        <f t="shared" si="16"/>
        <v>64.571114647224078</v>
      </c>
      <c r="N34" s="8">
        <f t="shared" si="17"/>
        <v>5.3809262206020065</v>
      </c>
    </row>
    <row r="35" spans="1:14" x14ac:dyDescent="0.3">
      <c r="A35" s="3">
        <v>75</v>
      </c>
      <c r="B35" s="26">
        <f t="shared" si="11"/>
        <v>6.5712400200151571</v>
      </c>
      <c r="C35" s="26">
        <f t="shared" si="12"/>
        <v>0.54760333500126313</v>
      </c>
      <c r="H35" s="3">
        <v>20</v>
      </c>
      <c r="I35" s="3">
        <v>40</v>
      </c>
      <c r="J35" s="6">
        <f t="shared" si="13"/>
        <v>78.232923467698981</v>
      </c>
      <c r="K35" s="7">
        <f t="shared" si="15"/>
        <v>30.800363569960229</v>
      </c>
      <c r="L35" s="7">
        <f t="shared" si="14"/>
        <v>186.51861689135063</v>
      </c>
      <c r="M35" s="7">
        <f t="shared" si="16"/>
        <v>73.432526335177414</v>
      </c>
      <c r="N35" s="8">
        <f t="shared" si="17"/>
        <v>6.1193771945981181</v>
      </c>
    </row>
    <row r="36" spans="1:14" x14ac:dyDescent="0.3">
      <c r="A36" s="3">
        <v>80</v>
      </c>
      <c r="B36" s="26">
        <f t="shared" si="11"/>
        <v>4.3266653177402903</v>
      </c>
      <c r="C36" s="26">
        <f t="shared" si="12"/>
        <v>0.36055544314502419</v>
      </c>
      <c r="H36" s="3">
        <v>20</v>
      </c>
      <c r="I36" s="3">
        <v>50</v>
      </c>
      <c r="J36" s="6">
        <f t="shared" si="13"/>
        <v>111.1165738214538</v>
      </c>
      <c r="K36" s="7">
        <f t="shared" si="15"/>
        <v>43.746682606871573</v>
      </c>
      <c r="L36" s="7">
        <f t="shared" si="14"/>
        <v>186.53810550534874</v>
      </c>
      <c r="M36" s="7">
        <f t="shared" si="16"/>
        <v>73.440199017853828</v>
      </c>
      <c r="N36" s="8">
        <f t="shared" si="17"/>
        <v>6.1200165848211521</v>
      </c>
    </row>
    <row r="37" spans="1:14" x14ac:dyDescent="0.3">
      <c r="A37" s="3"/>
      <c r="B37" s="3"/>
      <c r="H37" s="3">
        <v>20</v>
      </c>
      <c r="I37" s="3">
        <v>60</v>
      </c>
      <c r="J37" s="6">
        <f t="shared" si="13"/>
        <v>142.02117009361251</v>
      </c>
      <c r="K37" s="7">
        <f t="shared" si="15"/>
        <v>55.913846493548235</v>
      </c>
      <c r="L37" s="7">
        <f t="shared" si="14"/>
        <v>164.06674730924601</v>
      </c>
      <c r="M37" s="7">
        <f t="shared" si="16"/>
        <v>64.593207602065362</v>
      </c>
      <c r="N37" s="8">
        <f t="shared" si="17"/>
        <v>5.3827673001721132</v>
      </c>
    </row>
    <row r="38" spans="1:14" x14ac:dyDescent="0.3">
      <c r="A38" s="3"/>
      <c r="B38" s="3"/>
      <c r="H38" s="3">
        <v>20</v>
      </c>
      <c r="I38" s="3">
        <v>70</v>
      </c>
      <c r="J38" s="6">
        <f t="shared" si="13"/>
        <v>167.22055382125887</v>
      </c>
      <c r="K38" s="7">
        <f t="shared" si="15"/>
        <v>65.834863709157034</v>
      </c>
      <c r="L38" s="7">
        <f t="shared" si="14"/>
        <v>121.81390762780687</v>
      </c>
      <c r="M38" s="7">
        <f t="shared" si="16"/>
        <v>47.958231349530266</v>
      </c>
      <c r="N38" s="8">
        <f t="shared" si="17"/>
        <v>3.9965192791275221</v>
      </c>
    </row>
    <row r="39" spans="1:14" x14ac:dyDescent="0.3">
      <c r="A39" s="3"/>
      <c r="B39" s="3"/>
      <c r="H39" s="3">
        <v>20</v>
      </c>
      <c r="I39" s="3">
        <v>80</v>
      </c>
      <c r="J39" s="6">
        <f t="shared" si="13"/>
        <v>183.67644241010979</v>
      </c>
      <c r="K39" s="7">
        <f t="shared" si="15"/>
        <v>72.313560003980228</v>
      </c>
      <c r="L39" s="7">
        <f t="shared" si="14"/>
        <v>64.873999433611729</v>
      </c>
      <c r="M39" s="7">
        <f t="shared" si="16"/>
        <v>25.540944658902255</v>
      </c>
      <c r="N39" s="8">
        <f t="shared" si="17"/>
        <v>2.1284120549085213</v>
      </c>
    </row>
    <row r="40" spans="1:14" x14ac:dyDescent="0.3">
      <c r="A40" s="3"/>
      <c r="B40" s="3"/>
    </row>
    <row r="41" spans="1:14" x14ac:dyDescent="0.3">
      <c r="A41" s="3"/>
      <c r="B41" s="3"/>
    </row>
    <row r="42" spans="1:14" x14ac:dyDescent="0.3">
      <c r="A42" s="3"/>
      <c r="B42" s="3"/>
      <c r="H42" s="4" t="s">
        <v>6</v>
      </c>
      <c r="I42" s="4" t="s">
        <v>6</v>
      </c>
      <c r="J42" s="4" t="s">
        <v>8</v>
      </c>
      <c r="K42" s="4" t="s">
        <v>8</v>
      </c>
      <c r="L42" s="4" t="s">
        <v>15</v>
      </c>
      <c r="M42" s="4" t="s">
        <v>15</v>
      </c>
      <c r="N42" s="4" t="s">
        <v>15</v>
      </c>
    </row>
    <row r="43" spans="1:14" ht="15" thickBot="1" x14ac:dyDescent="0.35">
      <c r="A43" s="3"/>
      <c r="B43" s="3"/>
      <c r="H43" s="5" t="s">
        <v>17</v>
      </c>
      <c r="I43" s="5" t="s">
        <v>5</v>
      </c>
      <c r="J43" s="5" t="s">
        <v>14</v>
      </c>
      <c r="K43" s="5" t="s">
        <v>16</v>
      </c>
      <c r="L43" s="5" t="s">
        <v>14</v>
      </c>
      <c r="M43" s="5" t="s">
        <v>16</v>
      </c>
      <c r="N43" s="5" t="s">
        <v>18</v>
      </c>
    </row>
    <row r="44" spans="1:14" x14ac:dyDescent="0.3">
      <c r="A44" s="3"/>
      <c r="B44" s="3"/>
      <c r="H44" s="3">
        <v>30</v>
      </c>
      <c r="I44" s="3">
        <v>10</v>
      </c>
      <c r="J44" s="6">
        <f t="shared" ref="J44:J51" si="18">((H44*12*2.54)^2*SIN(I44*0.01745)^2)/(2*$C$10)</f>
        <v>12.84551989748989</v>
      </c>
      <c r="K44" s="7">
        <f>J44/2.54</f>
        <v>5.0572912982243663</v>
      </c>
      <c r="L44" s="7">
        <f t="shared" ref="L44:L51" si="19">(((H44*12*2.54)^2)/$C$10)*SIN(2*I44*0.01745)/2</f>
        <v>145.72918453051187</v>
      </c>
      <c r="M44" s="7">
        <f>L44/2.54</f>
        <v>57.373694697051917</v>
      </c>
      <c r="N44" s="8">
        <f>M44/12</f>
        <v>4.7811412247543261</v>
      </c>
    </row>
    <row r="45" spans="1:14" x14ac:dyDescent="0.3">
      <c r="A45" s="3"/>
      <c r="B45" s="3"/>
      <c r="H45" s="3">
        <v>30</v>
      </c>
      <c r="I45" s="3">
        <v>20</v>
      </c>
      <c r="J45" s="6">
        <f t="shared" si="18"/>
        <v>49.83329887607875</v>
      </c>
      <c r="K45" s="7">
        <f t="shared" ref="K45:K51" si="20">J45/2.54</f>
        <v>19.619409006330216</v>
      </c>
      <c r="L45" s="7">
        <f t="shared" si="19"/>
        <v>273.88784235197727</v>
      </c>
      <c r="M45" s="7">
        <f t="shared" ref="M45:M51" si="21">L45/2.54</f>
        <v>107.82985919369183</v>
      </c>
      <c r="N45" s="8">
        <f t="shared" ref="N45:N51" si="22">M45/12</f>
        <v>8.9858215994743187</v>
      </c>
    </row>
    <row r="46" spans="1:14" x14ac:dyDescent="0.3">
      <c r="A46" s="3"/>
      <c r="B46" s="3"/>
      <c r="H46" s="3">
        <v>30</v>
      </c>
      <c r="I46" s="3">
        <v>30</v>
      </c>
      <c r="J46" s="6">
        <f t="shared" si="18"/>
        <v>106.50373084831516</v>
      </c>
      <c r="K46" s="7">
        <f t="shared" si="20"/>
        <v>41.930602696187073</v>
      </c>
      <c r="L46" s="7">
        <f t="shared" si="19"/>
        <v>369.02392020888556</v>
      </c>
      <c r="M46" s="7">
        <f t="shared" si="21"/>
        <v>145.28500795625416</v>
      </c>
      <c r="N46" s="8">
        <f t="shared" si="22"/>
        <v>12.107083996354513</v>
      </c>
    </row>
    <row r="47" spans="1:14" x14ac:dyDescent="0.3">
      <c r="A47" s="3"/>
      <c r="B47" s="3"/>
      <c r="H47" s="3">
        <v>30</v>
      </c>
      <c r="I47" s="3">
        <v>40</v>
      </c>
      <c r="J47" s="6">
        <f t="shared" si="18"/>
        <v>176.02407780232269</v>
      </c>
      <c r="K47" s="7">
        <f t="shared" si="20"/>
        <v>69.300818032410504</v>
      </c>
      <c r="L47" s="7">
        <f t="shared" si="19"/>
        <v>419.66688800553896</v>
      </c>
      <c r="M47" s="7">
        <f t="shared" si="21"/>
        <v>165.2231842541492</v>
      </c>
      <c r="N47" s="8">
        <f t="shared" si="22"/>
        <v>13.768598687845767</v>
      </c>
    </row>
    <row r="48" spans="1:14" x14ac:dyDescent="0.3">
      <c r="A48" s="3"/>
      <c r="B48" s="3"/>
      <c r="H48" s="3">
        <v>30</v>
      </c>
      <c r="I48" s="3">
        <v>50</v>
      </c>
      <c r="J48" s="6">
        <f t="shared" si="18"/>
        <v>250.01229109827099</v>
      </c>
      <c r="K48" s="7">
        <f t="shared" si="20"/>
        <v>98.430035865461022</v>
      </c>
      <c r="L48" s="7">
        <f t="shared" si="19"/>
        <v>419.71073738703467</v>
      </c>
      <c r="M48" s="7">
        <f t="shared" si="21"/>
        <v>165.24044779017112</v>
      </c>
      <c r="N48" s="8">
        <f t="shared" si="22"/>
        <v>13.770037315847594</v>
      </c>
    </row>
    <row r="49" spans="1:14" x14ac:dyDescent="0.3">
      <c r="A49" s="3"/>
      <c r="B49" s="3"/>
      <c r="H49" s="3">
        <v>30</v>
      </c>
      <c r="I49" s="3">
        <v>60</v>
      </c>
      <c r="J49" s="6">
        <f t="shared" si="18"/>
        <v>319.54763271062814</v>
      </c>
      <c r="K49" s="7">
        <f t="shared" si="20"/>
        <v>125.80615461048352</v>
      </c>
      <c r="L49" s="7">
        <f t="shared" si="19"/>
        <v>369.15018144580347</v>
      </c>
      <c r="M49" s="7">
        <f t="shared" si="21"/>
        <v>145.33471710464704</v>
      </c>
      <c r="N49" s="8">
        <f t="shared" si="22"/>
        <v>12.111226425387253</v>
      </c>
    </row>
    <row r="50" spans="1:14" x14ac:dyDescent="0.3">
      <c r="H50" s="3">
        <v>30</v>
      </c>
      <c r="I50" s="3">
        <v>70</v>
      </c>
      <c r="J50" s="6">
        <f t="shared" si="18"/>
        <v>376.24624609783245</v>
      </c>
      <c r="K50" s="7">
        <f t="shared" si="20"/>
        <v>148.12844334560333</v>
      </c>
      <c r="L50" s="7">
        <f t="shared" si="19"/>
        <v>274.08129216256549</v>
      </c>
      <c r="M50" s="7">
        <f t="shared" si="21"/>
        <v>107.90602053644311</v>
      </c>
      <c r="N50" s="8">
        <f t="shared" si="22"/>
        <v>8.9921683780369257</v>
      </c>
    </row>
    <row r="51" spans="1:14" x14ac:dyDescent="0.3">
      <c r="H51" s="3">
        <v>30</v>
      </c>
      <c r="I51" s="3">
        <v>80</v>
      </c>
      <c r="J51" s="6">
        <f t="shared" si="18"/>
        <v>413.27199542274695</v>
      </c>
      <c r="K51" s="7">
        <f t="shared" si="20"/>
        <v>162.70551000895549</v>
      </c>
      <c r="L51" s="7">
        <f t="shared" si="19"/>
        <v>145.96649872562639</v>
      </c>
      <c r="M51" s="7">
        <f t="shared" si="21"/>
        <v>57.467125482530072</v>
      </c>
      <c r="N51" s="8">
        <f t="shared" si="22"/>
        <v>4.7889271235441724</v>
      </c>
    </row>
    <row r="54" spans="1:14" x14ac:dyDescent="0.3">
      <c r="H54" s="4" t="s">
        <v>6</v>
      </c>
      <c r="I54" s="4" t="s">
        <v>6</v>
      </c>
      <c r="J54" s="4" t="s">
        <v>8</v>
      </c>
      <c r="K54" s="4" t="s">
        <v>8</v>
      </c>
      <c r="L54" s="4" t="s">
        <v>15</v>
      </c>
      <c r="M54" s="4" t="s">
        <v>15</v>
      </c>
      <c r="N54" s="4" t="s">
        <v>15</v>
      </c>
    </row>
    <row r="55" spans="1:14" ht="15" thickBot="1" x14ac:dyDescent="0.35">
      <c r="H55" s="5" t="s">
        <v>17</v>
      </c>
      <c r="I55" s="5" t="s">
        <v>5</v>
      </c>
      <c r="J55" s="5" t="s">
        <v>14</v>
      </c>
      <c r="K55" s="5" t="s">
        <v>16</v>
      </c>
      <c r="L55" s="5" t="s">
        <v>14</v>
      </c>
      <c r="M55" s="5" t="s">
        <v>16</v>
      </c>
      <c r="N55" s="5" t="s">
        <v>18</v>
      </c>
    </row>
    <row r="56" spans="1:14" x14ac:dyDescent="0.3">
      <c r="H56" s="3">
        <v>40</v>
      </c>
      <c r="I56" s="3">
        <v>10</v>
      </c>
      <c r="J56" s="6">
        <f t="shared" ref="J56:J63" si="23">((H56*12*2.54)^2*SIN(I56*0.01745)^2)/(2*$C$10)</f>
        <v>22.836479817759809</v>
      </c>
      <c r="K56" s="7">
        <f>J56/2.54</f>
        <v>8.9907400857322077</v>
      </c>
      <c r="L56" s="7">
        <f t="shared" ref="L56:L63" si="24">(((H56*12*2.54)^2)/$C$10)*SIN(2*I56*0.01745)/2</f>
        <v>259.07410583202113</v>
      </c>
      <c r="M56" s="7">
        <f>L56/2.54</f>
        <v>101.99767946142565</v>
      </c>
      <c r="N56" s="8">
        <f>M56/12</f>
        <v>8.4998066217854706</v>
      </c>
    </row>
    <row r="57" spans="1:14" x14ac:dyDescent="0.3">
      <c r="H57" s="3">
        <v>40</v>
      </c>
      <c r="I57" s="3">
        <v>20</v>
      </c>
      <c r="J57" s="6">
        <f t="shared" si="23"/>
        <v>88.592531335251124</v>
      </c>
      <c r="K57" s="7">
        <f t="shared" ref="K57:K63" si="25">J57/2.54</f>
        <v>34.878949344587056</v>
      </c>
      <c r="L57" s="7">
        <f t="shared" si="24"/>
        <v>486.91171973684845</v>
      </c>
      <c r="M57" s="7">
        <f t="shared" ref="M57:M63" si="26">L57/2.54</f>
        <v>191.69752745545213</v>
      </c>
      <c r="N57" s="8">
        <f t="shared" ref="N57:N63" si="27">M57/12</f>
        <v>15.974793954621012</v>
      </c>
    </row>
    <row r="58" spans="1:14" x14ac:dyDescent="0.3">
      <c r="H58" s="3">
        <v>40</v>
      </c>
      <c r="I58" s="3">
        <v>30</v>
      </c>
      <c r="J58" s="6">
        <f t="shared" si="23"/>
        <v>189.33996595256028</v>
      </c>
      <c r="K58" s="7">
        <f t="shared" si="25"/>
        <v>74.543293682110345</v>
      </c>
      <c r="L58" s="7">
        <f t="shared" si="24"/>
        <v>656.04252481579658</v>
      </c>
      <c r="M58" s="7">
        <f t="shared" si="26"/>
        <v>258.28445858889631</v>
      </c>
      <c r="N58" s="8">
        <f t="shared" si="27"/>
        <v>21.523704882408026</v>
      </c>
    </row>
    <row r="59" spans="1:14" x14ac:dyDescent="0.3">
      <c r="H59" s="3">
        <v>40</v>
      </c>
      <c r="I59" s="3">
        <v>40</v>
      </c>
      <c r="J59" s="6">
        <f t="shared" si="23"/>
        <v>312.93169387079593</v>
      </c>
      <c r="K59" s="7">
        <f t="shared" si="25"/>
        <v>123.20145427984092</v>
      </c>
      <c r="L59" s="7">
        <f t="shared" si="24"/>
        <v>746.07446756540253</v>
      </c>
      <c r="M59" s="7">
        <f t="shared" si="26"/>
        <v>293.73010534070966</v>
      </c>
      <c r="N59" s="8">
        <f t="shared" si="27"/>
        <v>24.477508778392473</v>
      </c>
    </row>
    <row r="60" spans="1:14" x14ac:dyDescent="0.3">
      <c r="H60" s="3">
        <v>40</v>
      </c>
      <c r="I60" s="3">
        <v>50</v>
      </c>
      <c r="J60" s="6">
        <f t="shared" si="23"/>
        <v>444.46629528581519</v>
      </c>
      <c r="K60" s="7">
        <f t="shared" si="25"/>
        <v>174.98673042748629</v>
      </c>
      <c r="L60" s="7">
        <f t="shared" si="24"/>
        <v>746.15242202139495</v>
      </c>
      <c r="M60" s="7">
        <f t="shared" si="26"/>
        <v>293.76079607141531</v>
      </c>
      <c r="N60" s="8">
        <f t="shared" si="27"/>
        <v>24.480066339284608</v>
      </c>
    </row>
    <row r="61" spans="1:14" x14ac:dyDescent="0.3">
      <c r="H61" s="3">
        <v>40</v>
      </c>
      <c r="I61" s="3">
        <v>60</v>
      </c>
      <c r="J61" s="6">
        <f t="shared" si="23"/>
        <v>568.08468037445004</v>
      </c>
      <c r="K61" s="7">
        <f t="shared" si="25"/>
        <v>223.65538597419294</v>
      </c>
      <c r="L61" s="7">
        <f t="shared" si="24"/>
        <v>656.26698923698405</v>
      </c>
      <c r="M61" s="7">
        <f t="shared" si="26"/>
        <v>258.37283040826145</v>
      </c>
      <c r="N61" s="8">
        <f t="shared" si="27"/>
        <v>21.531069200688453</v>
      </c>
    </row>
    <row r="62" spans="1:14" x14ac:dyDescent="0.3">
      <c r="H62" s="3">
        <v>40</v>
      </c>
      <c r="I62" s="3">
        <v>70</v>
      </c>
      <c r="J62" s="6">
        <f t="shared" si="23"/>
        <v>668.8822152850355</v>
      </c>
      <c r="K62" s="7">
        <f t="shared" si="25"/>
        <v>263.33945483662814</v>
      </c>
      <c r="L62" s="7">
        <f t="shared" si="24"/>
        <v>487.25563051122748</v>
      </c>
      <c r="M62" s="7">
        <f t="shared" si="26"/>
        <v>191.83292539812106</v>
      </c>
      <c r="N62" s="8">
        <f t="shared" si="27"/>
        <v>15.986077116510089</v>
      </c>
    </row>
    <row r="63" spans="1:14" x14ac:dyDescent="0.3">
      <c r="H63" s="3">
        <v>40</v>
      </c>
      <c r="I63" s="3">
        <v>80</v>
      </c>
      <c r="J63" s="6">
        <f t="shared" si="23"/>
        <v>734.70576964043914</v>
      </c>
      <c r="K63" s="7">
        <f t="shared" si="25"/>
        <v>289.25424001592091</v>
      </c>
      <c r="L63" s="7">
        <f t="shared" si="24"/>
        <v>259.49599773444692</v>
      </c>
      <c r="M63" s="7">
        <f t="shared" si="26"/>
        <v>102.16377863560902</v>
      </c>
      <c r="N63" s="8">
        <f t="shared" si="27"/>
        <v>8.513648219634085</v>
      </c>
    </row>
    <row r="66" spans="8:14" x14ac:dyDescent="0.3">
      <c r="H66" s="4" t="s">
        <v>6</v>
      </c>
      <c r="I66" s="4" t="s">
        <v>6</v>
      </c>
      <c r="J66" s="4" t="s">
        <v>8</v>
      </c>
      <c r="K66" s="4" t="s">
        <v>8</v>
      </c>
      <c r="L66" s="4" t="s">
        <v>15</v>
      </c>
      <c r="M66" s="4" t="s">
        <v>15</v>
      </c>
      <c r="N66" s="4" t="s">
        <v>15</v>
      </c>
    </row>
    <row r="67" spans="8:14" ht="15" thickBot="1" x14ac:dyDescent="0.35">
      <c r="H67" s="5" t="s">
        <v>17</v>
      </c>
      <c r="I67" s="5" t="s">
        <v>5</v>
      </c>
      <c r="J67" s="5" t="s">
        <v>14</v>
      </c>
      <c r="K67" s="5" t="s">
        <v>16</v>
      </c>
      <c r="L67" s="5" t="s">
        <v>14</v>
      </c>
      <c r="M67" s="5" t="s">
        <v>16</v>
      </c>
      <c r="N67" s="5" t="s">
        <v>18</v>
      </c>
    </row>
    <row r="68" spans="8:14" x14ac:dyDescent="0.3">
      <c r="H68" s="3">
        <v>50</v>
      </c>
      <c r="I68" s="3">
        <v>10</v>
      </c>
      <c r="J68" s="6">
        <f t="shared" ref="J68:J75" si="28">((H68*12*2.54)^2*SIN(I68*0.01745)^2)/(2*$C$10)</f>
        <v>35.681999715249695</v>
      </c>
      <c r="K68" s="7">
        <f>J68/2.54</f>
        <v>14.048031383956573</v>
      </c>
      <c r="L68" s="7">
        <f t="shared" ref="L68:L75" si="29">(((H68*12*2.54)^2)/$C$10)*SIN(2*I68*0.01745)/2</f>
        <v>404.80329036253301</v>
      </c>
      <c r="M68" s="7">
        <f>L68/2.54</f>
        <v>159.37137415847755</v>
      </c>
      <c r="N68" s="8">
        <f>M68/12</f>
        <v>13.280947846539796</v>
      </c>
    </row>
    <row r="69" spans="8:14" x14ac:dyDescent="0.3">
      <c r="H69" s="3">
        <v>50</v>
      </c>
      <c r="I69" s="3">
        <v>20</v>
      </c>
      <c r="J69" s="6">
        <f t="shared" si="28"/>
        <v>138.42583021132987</v>
      </c>
      <c r="K69" s="7">
        <f t="shared" ref="K69:K75" si="30">J69/2.54</f>
        <v>54.498358350917272</v>
      </c>
      <c r="L69" s="7">
        <f t="shared" si="29"/>
        <v>760.79956208882572</v>
      </c>
      <c r="M69" s="7">
        <f t="shared" ref="M69:M75" si="31">L69/2.54</f>
        <v>299.52738664914398</v>
      </c>
      <c r="N69" s="8">
        <f t="shared" ref="N69:N75" si="32">M69/12</f>
        <v>24.96061555409533</v>
      </c>
    </row>
    <row r="70" spans="8:14" x14ac:dyDescent="0.3">
      <c r="H70" s="3">
        <v>50</v>
      </c>
      <c r="I70" s="3">
        <v>30</v>
      </c>
      <c r="J70" s="6">
        <f t="shared" si="28"/>
        <v>295.84369680087542</v>
      </c>
      <c r="K70" s="7">
        <f t="shared" si="30"/>
        <v>116.47389637829741</v>
      </c>
      <c r="L70" s="7">
        <f t="shared" si="29"/>
        <v>1025.066445024682</v>
      </c>
      <c r="M70" s="7">
        <f t="shared" si="31"/>
        <v>403.56946654515042</v>
      </c>
      <c r="N70" s="8">
        <f t="shared" si="32"/>
        <v>33.630788878762537</v>
      </c>
    </row>
    <row r="71" spans="8:14" x14ac:dyDescent="0.3">
      <c r="H71" s="3">
        <v>50</v>
      </c>
      <c r="I71" s="3">
        <v>40</v>
      </c>
      <c r="J71" s="6">
        <f t="shared" si="28"/>
        <v>488.95577167311859</v>
      </c>
      <c r="K71" s="7">
        <f t="shared" si="30"/>
        <v>192.50227231225142</v>
      </c>
      <c r="L71" s="7">
        <f t="shared" si="29"/>
        <v>1165.7413555709416</v>
      </c>
      <c r="M71" s="7">
        <f t="shared" si="31"/>
        <v>458.95328959485886</v>
      </c>
      <c r="N71" s="8">
        <f t="shared" si="32"/>
        <v>38.246107466238236</v>
      </c>
    </row>
    <row r="72" spans="8:14" x14ac:dyDescent="0.3">
      <c r="H72" s="3">
        <v>50</v>
      </c>
      <c r="I72" s="3">
        <v>50</v>
      </c>
      <c r="J72" s="6">
        <f t="shared" si="28"/>
        <v>694.47858638408616</v>
      </c>
      <c r="K72" s="7">
        <f t="shared" si="30"/>
        <v>273.41676629294733</v>
      </c>
      <c r="L72" s="7">
        <f t="shared" si="29"/>
        <v>1165.8631594084295</v>
      </c>
      <c r="M72" s="7">
        <f t="shared" si="31"/>
        <v>459.00124386158643</v>
      </c>
      <c r="N72" s="8">
        <f t="shared" si="32"/>
        <v>38.2501036551322</v>
      </c>
    </row>
    <row r="73" spans="8:14" x14ac:dyDescent="0.3">
      <c r="H73" s="3">
        <v>50</v>
      </c>
      <c r="I73" s="3">
        <v>60</v>
      </c>
      <c r="J73" s="6">
        <f t="shared" si="28"/>
        <v>887.63231308507829</v>
      </c>
      <c r="K73" s="7">
        <f t="shared" si="30"/>
        <v>349.46154058467647</v>
      </c>
      <c r="L73" s="7">
        <f t="shared" si="29"/>
        <v>1025.4171706827874</v>
      </c>
      <c r="M73" s="7">
        <f t="shared" si="31"/>
        <v>403.70754751290843</v>
      </c>
      <c r="N73" s="8">
        <f t="shared" si="32"/>
        <v>33.6422956260757</v>
      </c>
    </row>
    <row r="74" spans="8:14" x14ac:dyDescent="0.3">
      <c r="H74" s="3">
        <v>50</v>
      </c>
      <c r="I74" s="3">
        <v>70</v>
      </c>
      <c r="J74" s="6">
        <f t="shared" si="28"/>
        <v>1045.128461382868</v>
      </c>
      <c r="K74" s="7">
        <f t="shared" si="30"/>
        <v>411.46789818223147</v>
      </c>
      <c r="L74" s="7">
        <f t="shared" si="29"/>
        <v>761.33692267379297</v>
      </c>
      <c r="M74" s="7">
        <f t="shared" si="31"/>
        <v>299.73894593456419</v>
      </c>
      <c r="N74" s="8">
        <f t="shared" si="32"/>
        <v>24.978245494547014</v>
      </c>
    </row>
    <row r="75" spans="8:14" x14ac:dyDescent="0.3">
      <c r="H75" s="3">
        <v>50</v>
      </c>
      <c r="I75" s="3">
        <v>80</v>
      </c>
      <c r="J75" s="6">
        <f t="shared" si="28"/>
        <v>1147.9777650631861</v>
      </c>
      <c r="K75" s="7">
        <f t="shared" si="30"/>
        <v>451.95975002487643</v>
      </c>
      <c r="L75" s="7">
        <f t="shared" si="29"/>
        <v>405.46249646007334</v>
      </c>
      <c r="M75" s="7">
        <f t="shared" si="31"/>
        <v>159.63090411813911</v>
      </c>
      <c r="N75" s="8">
        <f t="shared" si="32"/>
        <v>13.30257534317826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60CE-2D6D-4E8B-AFF0-30C50443C3C8}">
  <dimension ref="A2:F7"/>
  <sheetViews>
    <sheetView workbookViewId="0">
      <selection activeCell="B2" sqref="B2:D7"/>
    </sheetView>
  </sheetViews>
  <sheetFormatPr defaultRowHeight="14.4" x14ac:dyDescent="0.3"/>
  <cols>
    <col min="2" max="2" width="19.5546875" bestFit="1" customWidth="1"/>
    <col min="4" max="4" width="6.77734375" customWidth="1"/>
    <col min="6" max="6" width="4.21875" customWidth="1"/>
  </cols>
  <sheetData>
    <row r="2" spans="1:6" x14ac:dyDescent="0.3">
      <c r="A2" s="11" t="s">
        <v>25</v>
      </c>
      <c r="B2" t="s">
        <v>19</v>
      </c>
      <c r="C2">
        <v>1</v>
      </c>
      <c r="D2" t="s">
        <v>4</v>
      </c>
      <c r="E2">
        <f>C2*2.54</f>
        <v>2.54</v>
      </c>
      <c r="F2" t="s">
        <v>9</v>
      </c>
    </row>
    <row r="3" spans="1:6" x14ac:dyDescent="0.3">
      <c r="A3" s="11" t="s">
        <v>25</v>
      </c>
      <c r="B3" t="s">
        <v>23</v>
      </c>
      <c r="C3">
        <v>8000</v>
      </c>
    </row>
    <row r="4" spans="1:6" x14ac:dyDescent="0.3">
      <c r="A4" s="11" t="s">
        <v>26</v>
      </c>
      <c r="B4" t="s">
        <v>22</v>
      </c>
      <c r="C4">
        <f>3.14*C2</f>
        <v>3.14</v>
      </c>
      <c r="D4" t="s">
        <v>4</v>
      </c>
      <c r="E4" s="10">
        <f>C4*2.54</f>
        <v>7.9756</v>
      </c>
      <c r="F4" t="s">
        <v>9</v>
      </c>
    </row>
    <row r="5" spans="1:6" x14ac:dyDescent="0.3">
      <c r="A5" s="11"/>
      <c r="E5" s="10"/>
    </row>
    <row r="6" spans="1:6" x14ac:dyDescent="0.3">
      <c r="A6" s="11" t="s">
        <v>26</v>
      </c>
      <c r="B6" t="s">
        <v>20</v>
      </c>
      <c r="C6">
        <f>C3*C4</f>
        <v>25120</v>
      </c>
      <c r="D6" t="s">
        <v>24</v>
      </c>
      <c r="E6" s="10"/>
    </row>
    <row r="7" spans="1:6" x14ac:dyDescent="0.3">
      <c r="A7" s="11" t="s">
        <v>26</v>
      </c>
      <c r="B7" t="s">
        <v>20</v>
      </c>
      <c r="C7" s="9">
        <f>C6/12/60</f>
        <v>34.888888888888893</v>
      </c>
      <c r="D7" t="s">
        <v>21</v>
      </c>
      <c r="E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</vt:vector>
  </HeadingPairs>
  <TitlesOfParts>
    <vt:vector size="10" baseType="lpstr">
      <vt:lpstr>Ballistics</vt:lpstr>
      <vt:lpstr>Ballistics2</vt:lpstr>
      <vt:lpstr>Ballistics3</vt:lpstr>
      <vt:lpstr>DistanceSpeedTesting</vt:lpstr>
      <vt:lpstr>Locations</vt:lpstr>
      <vt:lpstr>Plot Data</vt:lpstr>
      <vt:lpstr>Motor Speed Estimator</vt:lpstr>
      <vt:lpstr>Height</vt:lpstr>
      <vt:lpstr>Distance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Fuller</dc:creator>
  <cp:lastModifiedBy>Jonas Muhlenkamp</cp:lastModifiedBy>
  <dcterms:created xsi:type="dcterms:W3CDTF">2020-01-05T23:35:41Z</dcterms:created>
  <dcterms:modified xsi:type="dcterms:W3CDTF">2020-02-28T01:34:28Z</dcterms:modified>
</cp:coreProperties>
</file>