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Code\FRC\2020-Robot\"/>
    </mc:Choice>
  </mc:AlternateContent>
  <xr:revisionPtr revIDLastSave="0" documentId="13_ncr:1_{951B34F8-DED6-4CB8-B383-6A159B79CC23}" xr6:coauthVersionLast="45" xr6:coauthVersionMax="45" xr10:uidLastSave="{00000000-0000-0000-0000-000000000000}"/>
  <bookViews>
    <workbookView xWindow="-108" yWindow="-108" windowWidth="23256" windowHeight="13176" firstSheet="1" activeTab="4" xr2:uid="{6505FE35-6DDB-4B85-B29F-6D89AE1E982C}"/>
  </bookViews>
  <sheets>
    <sheet name="Height" sheetId="2" r:id="rId1"/>
    <sheet name="Ballistics" sheetId="7" r:id="rId2"/>
    <sheet name="Ballistics2" sheetId="11" r:id="rId3"/>
    <sheet name="Ballistics3" sheetId="12" r:id="rId4"/>
    <sheet name="RobotSpeedAdjusted" sheetId="13" r:id="rId5"/>
    <sheet name="DistanceSpeedTesting" sheetId="10" r:id="rId6"/>
    <sheet name="Distance" sheetId="3" r:id="rId7"/>
    <sheet name="Defense" sheetId="8" r:id="rId8"/>
    <sheet name="Locations" sheetId="9" r:id="rId9"/>
    <sheet name="Plot Data" sheetId="1" r:id="rId10"/>
    <sheet name="Motor Speed Estimator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13" l="1"/>
  <c r="AC13" i="13"/>
  <c r="AC12" i="13"/>
  <c r="AC6" i="13"/>
  <c r="K8" i="13"/>
  <c r="L8" i="13"/>
  <c r="M8" i="13"/>
  <c r="J8" i="13"/>
  <c r="I8" i="13"/>
  <c r="I7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I6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7" i="13"/>
  <c r="B27" i="13"/>
  <c r="B20" i="13"/>
  <c r="B19" i="13"/>
  <c r="B22" i="13" s="1"/>
  <c r="B23" i="13" s="1"/>
  <c r="B24" i="13" s="1"/>
  <c r="AC8" i="13" s="1"/>
  <c r="B14" i="13"/>
  <c r="B10" i="13"/>
  <c r="D12" i="13" s="1"/>
  <c r="B6" i="13"/>
  <c r="AC9" i="13" l="1"/>
  <c r="AC11" i="13" s="1"/>
  <c r="AC14" i="13" s="1"/>
  <c r="AC16" i="13" s="1"/>
  <c r="AC18" i="13" s="1"/>
  <c r="AD18" i="13" s="1"/>
  <c r="B12" i="13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7" i="12"/>
  <c r="B12" i="12"/>
  <c r="B19" i="12"/>
  <c r="B23" i="12" s="1"/>
  <c r="B24" i="12" s="1"/>
  <c r="B25" i="12" s="1"/>
  <c r="B28" i="12"/>
  <c r="B20" i="12"/>
  <c r="B6" i="12"/>
  <c r="B10" i="12" s="1"/>
  <c r="D12" i="12" s="1"/>
  <c r="AC15" i="13" l="1"/>
  <c r="AC17" i="13" s="1"/>
  <c r="AC19" i="13" s="1"/>
  <c r="AD19" i="13" s="1"/>
  <c r="I44" i="11"/>
  <c r="I45" i="11"/>
  <c r="I46" i="11"/>
  <c r="I39" i="11"/>
  <c r="I40" i="11"/>
  <c r="I41" i="11"/>
  <c r="I42" i="11"/>
  <c r="I43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6" i="11"/>
  <c r="B24" i="11"/>
  <c r="B16" i="11"/>
  <c r="B15" i="11"/>
  <c r="B8" i="11"/>
  <c r="B12" i="11" s="1"/>
  <c r="B14" i="7"/>
  <c r="B19" i="11" l="1"/>
  <c r="B20" i="11" s="1"/>
  <c r="B21" i="11" s="1"/>
  <c r="J6" i="11" s="1"/>
  <c r="B13" i="7"/>
  <c r="L44" i="11" l="1"/>
  <c r="V45" i="11"/>
  <c r="T45" i="11"/>
  <c r="Q46" i="11"/>
  <c r="O46" i="11"/>
  <c r="S46" i="11"/>
  <c r="N45" i="11"/>
  <c r="U45" i="11"/>
  <c r="Q44" i="11"/>
  <c r="U44" i="11"/>
  <c r="T46" i="11"/>
  <c r="P44" i="11"/>
  <c r="R46" i="11"/>
  <c r="V44" i="11"/>
  <c r="P45" i="11"/>
  <c r="K45" i="11"/>
  <c r="N44" i="11"/>
  <c r="R45" i="11"/>
  <c r="M45" i="11"/>
  <c r="L45" i="11"/>
  <c r="K44" i="11"/>
  <c r="S45" i="11"/>
  <c r="M44" i="11"/>
  <c r="P39" i="11"/>
  <c r="J46" i="11"/>
  <c r="K46" i="11"/>
  <c r="L46" i="11"/>
  <c r="M46" i="11"/>
  <c r="O45" i="11"/>
  <c r="N46" i="11"/>
  <c r="U46" i="11"/>
  <c r="R44" i="11"/>
  <c r="V46" i="11"/>
  <c r="T44" i="11"/>
  <c r="O44" i="11"/>
  <c r="J44" i="11"/>
  <c r="S44" i="11"/>
  <c r="P46" i="11"/>
  <c r="J45" i="11"/>
  <c r="Q45" i="11"/>
  <c r="S43" i="11"/>
  <c r="J40" i="11"/>
  <c r="V40" i="11"/>
  <c r="L42" i="11"/>
  <c r="M43" i="11"/>
  <c r="O41" i="11"/>
  <c r="V39" i="11"/>
  <c r="N43" i="11"/>
  <c r="R40" i="11"/>
  <c r="S40" i="11"/>
  <c r="P43" i="11"/>
  <c r="S41" i="11"/>
  <c r="P42" i="11"/>
  <c r="Q39" i="11"/>
  <c r="J43" i="11"/>
  <c r="K40" i="11"/>
  <c r="J39" i="11"/>
  <c r="P41" i="11"/>
  <c r="M42" i="11"/>
  <c r="N39" i="11"/>
  <c r="N42" i="11"/>
  <c r="S42" i="11"/>
  <c r="M39" i="11"/>
  <c r="Q43" i="11"/>
  <c r="V43" i="11"/>
  <c r="T41" i="11"/>
  <c r="T43" i="11"/>
  <c r="K39" i="11"/>
  <c r="Q42" i="11"/>
  <c r="M40" i="11"/>
  <c r="M41" i="11"/>
  <c r="N40" i="11"/>
  <c r="N41" i="11"/>
  <c r="O40" i="11"/>
  <c r="Q41" i="11"/>
  <c r="P40" i="11"/>
  <c r="R41" i="11"/>
  <c r="Q40" i="11"/>
  <c r="U41" i="11"/>
  <c r="O42" i="11"/>
  <c r="K41" i="11"/>
  <c r="L40" i="11"/>
  <c r="U42" i="11"/>
  <c r="T40" i="11"/>
  <c r="V41" i="11"/>
  <c r="U40" i="11"/>
  <c r="R39" i="11"/>
  <c r="T39" i="11"/>
  <c r="K42" i="11"/>
  <c r="J41" i="11"/>
  <c r="T42" i="11"/>
  <c r="L41" i="11"/>
  <c r="O39" i="11"/>
  <c r="U39" i="11"/>
  <c r="R42" i="11"/>
  <c r="J42" i="11"/>
  <c r="R43" i="11"/>
  <c r="K43" i="11"/>
  <c r="S39" i="11"/>
  <c r="L39" i="11"/>
  <c r="U43" i="11"/>
  <c r="L43" i="11"/>
  <c r="O43" i="11"/>
  <c r="V42" i="11"/>
  <c r="T8" i="11"/>
  <c r="K17" i="11"/>
  <c r="U19" i="11"/>
  <c r="S21" i="11"/>
  <c r="Q23" i="11"/>
  <c r="O25" i="11"/>
  <c r="M27" i="11"/>
  <c r="K29" i="11"/>
  <c r="V30" i="11"/>
  <c r="T32" i="11"/>
  <c r="R34" i="11"/>
  <c r="P36" i="11"/>
  <c r="N38" i="11"/>
  <c r="L29" i="11"/>
  <c r="U32" i="11"/>
  <c r="R35" i="11"/>
  <c r="O38" i="11"/>
  <c r="S35" i="11"/>
  <c r="T23" i="11"/>
  <c r="M30" i="11"/>
  <c r="T35" i="11"/>
  <c r="J34" i="11"/>
  <c r="S37" i="11"/>
  <c r="K6" i="11"/>
  <c r="J7" i="11"/>
  <c r="V7" i="11"/>
  <c r="U8" i="11"/>
  <c r="T9" i="11"/>
  <c r="S10" i="11"/>
  <c r="R11" i="11"/>
  <c r="Q12" i="11"/>
  <c r="P13" i="11"/>
  <c r="O14" i="11"/>
  <c r="N15" i="11"/>
  <c r="M16" i="11"/>
  <c r="L17" i="11"/>
  <c r="K18" i="11"/>
  <c r="J19" i="11"/>
  <c r="V19" i="11"/>
  <c r="U20" i="11"/>
  <c r="T21" i="11"/>
  <c r="S22" i="11"/>
  <c r="R23" i="11"/>
  <c r="Q24" i="11"/>
  <c r="P25" i="11"/>
  <c r="O26" i="11"/>
  <c r="N27" i="11"/>
  <c r="K30" i="11"/>
  <c r="V31" i="11"/>
  <c r="S34" i="11"/>
  <c r="P37" i="11"/>
  <c r="Q37" i="11"/>
  <c r="J21" i="11"/>
  <c r="J33" i="11"/>
  <c r="V34" i="11"/>
  <c r="L6" i="11"/>
  <c r="K7" i="11"/>
  <c r="J8" i="11"/>
  <c r="V8" i="11"/>
  <c r="U9" i="11"/>
  <c r="T10" i="11"/>
  <c r="S11" i="11"/>
  <c r="R12" i="11"/>
  <c r="Q13" i="11"/>
  <c r="P14" i="11"/>
  <c r="O15" i="11"/>
  <c r="N16" i="11"/>
  <c r="M17" i="11"/>
  <c r="L18" i="11"/>
  <c r="K19" i="11"/>
  <c r="J20" i="11"/>
  <c r="V20" i="11"/>
  <c r="U21" i="11"/>
  <c r="T22" i="11"/>
  <c r="S23" i="11"/>
  <c r="R24" i="11"/>
  <c r="Q25" i="11"/>
  <c r="P26" i="11"/>
  <c r="O27" i="11"/>
  <c r="N28" i="11"/>
  <c r="M29" i="11"/>
  <c r="L30" i="11"/>
  <c r="K31" i="11"/>
  <c r="J32" i="11"/>
  <c r="V32" i="11"/>
  <c r="U33" i="11"/>
  <c r="R36" i="11"/>
  <c r="P38" i="11"/>
  <c r="U22" i="11"/>
  <c r="L31" i="11"/>
  <c r="U34" i="11"/>
  <c r="R37" i="11"/>
  <c r="L32" i="11"/>
  <c r="M6" i="11"/>
  <c r="L7" i="11"/>
  <c r="K8" i="11"/>
  <c r="J9" i="11"/>
  <c r="V9" i="11"/>
  <c r="U10" i="11"/>
  <c r="T11" i="11"/>
  <c r="S12" i="11"/>
  <c r="R13" i="11"/>
  <c r="Q14" i="11"/>
  <c r="P15" i="11"/>
  <c r="O16" i="11"/>
  <c r="N17" i="11"/>
  <c r="M18" i="11"/>
  <c r="L19" i="11"/>
  <c r="K20" i="11"/>
  <c r="S24" i="11"/>
  <c r="R25" i="11"/>
  <c r="Q26" i="11"/>
  <c r="P27" i="11"/>
  <c r="N29" i="11"/>
  <c r="K32" i="11"/>
  <c r="S36" i="11"/>
  <c r="Q38" i="11"/>
  <c r="K33" i="11"/>
  <c r="N6" i="11"/>
  <c r="M7" i="11"/>
  <c r="L8" i="11"/>
  <c r="K9" i="11"/>
  <c r="J10" i="11"/>
  <c r="V10" i="11"/>
  <c r="U11" i="11"/>
  <c r="T12" i="11"/>
  <c r="S13" i="11"/>
  <c r="R14" i="11"/>
  <c r="Q15" i="11"/>
  <c r="P16" i="11"/>
  <c r="O17" i="11"/>
  <c r="N18" i="11"/>
  <c r="M19" i="11"/>
  <c r="L20" i="11"/>
  <c r="K21" i="11"/>
  <c r="J22" i="11"/>
  <c r="V22" i="11"/>
  <c r="U23" i="11"/>
  <c r="T24" i="11"/>
  <c r="S25" i="11"/>
  <c r="R26" i="11"/>
  <c r="Q27" i="11"/>
  <c r="P28" i="11"/>
  <c r="O29" i="11"/>
  <c r="N30" i="11"/>
  <c r="M31" i="11"/>
  <c r="U35" i="11"/>
  <c r="R38" i="11"/>
  <c r="O6" i="11"/>
  <c r="N7" i="11"/>
  <c r="M8" i="11"/>
  <c r="L9" i="11"/>
  <c r="K10" i="11"/>
  <c r="J11" i="11"/>
  <c r="V11" i="11"/>
  <c r="U12" i="11"/>
  <c r="T13" i="11"/>
  <c r="S14" i="11"/>
  <c r="R15" i="11"/>
  <c r="Q16" i="11"/>
  <c r="P17" i="11"/>
  <c r="O18" i="11"/>
  <c r="N19" i="11"/>
  <c r="M20" i="11"/>
  <c r="L21" i="11"/>
  <c r="K22" i="11"/>
  <c r="J23" i="11"/>
  <c r="V23" i="11"/>
  <c r="U24" i="11"/>
  <c r="T25" i="11"/>
  <c r="S26" i="11"/>
  <c r="R27" i="11"/>
  <c r="Q28" i="11"/>
  <c r="P29" i="11"/>
  <c r="O30" i="11"/>
  <c r="N31" i="11"/>
  <c r="M32" i="11"/>
  <c r="L33" i="11"/>
  <c r="K34" i="11"/>
  <c r="J35" i="11"/>
  <c r="V35" i="11"/>
  <c r="U36" i="11"/>
  <c r="T37" i="11"/>
  <c r="S38" i="11"/>
  <c r="R28" i="11"/>
  <c r="O31" i="11"/>
  <c r="M33" i="11"/>
  <c r="K35" i="11"/>
  <c r="J36" i="11"/>
  <c r="U37" i="11"/>
  <c r="T38" i="11"/>
  <c r="Q6" i="11"/>
  <c r="N9" i="11"/>
  <c r="L11" i="11"/>
  <c r="J13" i="11"/>
  <c r="U14" i="11"/>
  <c r="R17" i="11"/>
  <c r="Q18" i="11"/>
  <c r="N21" i="11"/>
  <c r="M22" i="11"/>
  <c r="J25" i="11"/>
  <c r="U26" i="11"/>
  <c r="R29" i="11"/>
  <c r="P31" i="11"/>
  <c r="M34" i="11"/>
  <c r="K36" i="11"/>
  <c r="U38" i="11"/>
  <c r="O21" i="11"/>
  <c r="V26" i="11"/>
  <c r="S29" i="11"/>
  <c r="O33" i="11"/>
  <c r="L36" i="11"/>
  <c r="R31" i="11"/>
  <c r="L37" i="11"/>
  <c r="M37" i="11"/>
  <c r="P6" i="11"/>
  <c r="O7" i="11"/>
  <c r="N8" i="11"/>
  <c r="M9" i="11"/>
  <c r="L10" i="11"/>
  <c r="K11" i="11"/>
  <c r="J12" i="11"/>
  <c r="V12" i="11"/>
  <c r="U13" i="11"/>
  <c r="T14" i="11"/>
  <c r="S15" i="11"/>
  <c r="R16" i="11"/>
  <c r="Q17" i="11"/>
  <c r="P18" i="11"/>
  <c r="O19" i="11"/>
  <c r="N20" i="11"/>
  <c r="M21" i="11"/>
  <c r="L22" i="11"/>
  <c r="K23" i="11"/>
  <c r="J24" i="11"/>
  <c r="V24" i="11"/>
  <c r="U25" i="11"/>
  <c r="T26" i="11"/>
  <c r="S27" i="11"/>
  <c r="Q29" i="11"/>
  <c r="P30" i="11"/>
  <c r="N32" i="11"/>
  <c r="L34" i="11"/>
  <c r="V36" i="11"/>
  <c r="P7" i="11"/>
  <c r="M10" i="11"/>
  <c r="K12" i="11"/>
  <c r="V13" i="11"/>
  <c r="T15" i="11"/>
  <c r="P19" i="11"/>
  <c r="L23" i="11"/>
  <c r="V25" i="11"/>
  <c r="S28" i="11"/>
  <c r="O32" i="11"/>
  <c r="L35" i="11"/>
  <c r="V37" i="11"/>
  <c r="M23" i="11"/>
  <c r="P32" i="11"/>
  <c r="K37" i="11"/>
  <c r="Q32" i="11"/>
  <c r="O8" i="11"/>
  <c r="S16" i="11"/>
  <c r="O20" i="11"/>
  <c r="K24" i="11"/>
  <c r="T27" i="11"/>
  <c r="Q30" i="11"/>
  <c r="N33" i="11"/>
  <c r="J37" i="11"/>
  <c r="L24" i="11"/>
  <c r="R30" i="11"/>
  <c r="M35" i="11"/>
  <c r="V38" i="11"/>
  <c r="T29" i="11"/>
  <c r="M36" i="11"/>
  <c r="R6" i="11"/>
  <c r="Q7" i="11"/>
  <c r="P8" i="11"/>
  <c r="O9" i="11"/>
  <c r="N10" i="11"/>
  <c r="M11" i="11"/>
  <c r="L12" i="11"/>
  <c r="K13" i="11"/>
  <c r="J14" i="11"/>
  <c r="V14" i="11"/>
  <c r="U15" i="11"/>
  <c r="T16" i="11"/>
  <c r="S17" i="11"/>
  <c r="R18" i="11"/>
  <c r="Q19" i="11"/>
  <c r="P20" i="11"/>
  <c r="N22" i="11"/>
  <c r="K25" i="11"/>
  <c r="J26" i="11"/>
  <c r="U27" i="11"/>
  <c r="T28" i="11"/>
  <c r="Q31" i="11"/>
  <c r="N34" i="11"/>
  <c r="J38" i="11"/>
  <c r="P33" i="11"/>
  <c r="K38" i="11"/>
  <c r="S6" i="11"/>
  <c r="R7" i="11"/>
  <c r="Q8" i="11"/>
  <c r="P9" i="11"/>
  <c r="O10" i="11"/>
  <c r="N11" i="11"/>
  <c r="M12" i="11"/>
  <c r="L13" i="11"/>
  <c r="K14" i="11"/>
  <c r="J15" i="11"/>
  <c r="V15" i="11"/>
  <c r="U16" i="11"/>
  <c r="T17" i="11"/>
  <c r="S18" i="11"/>
  <c r="R19" i="11"/>
  <c r="Q20" i="11"/>
  <c r="P21" i="11"/>
  <c r="O22" i="11"/>
  <c r="N23" i="11"/>
  <c r="M24" i="11"/>
  <c r="L25" i="11"/>
  <c r="K26" i="11"/>
  <c r="J27" i="11"/>
  <c r="V27" i="11"/>
  <c r="U28" i="11"/>
  <c r="S30" i="11"/>
  <c r="O34" i="11"/>
  <c r="N35" i="11"/>
  <c r="L38" i="11"/>
  <c r="T6" i="11"/>
  <c r="S7" i="11"/>
  <c r="R8" i="11"/>
  <c r="Q9" i="11"/>
  <c r="P10" i="11"/>
  <c r="O11" i="11"/>
  <c r="N12" i="11"/>
  <c r="M13" i="11"/>
  <c r="L14" i="11"/>
  <c r="K15" i="11"/>
  <c r="J16" i="11"/>
  <c r="V16" i="11"/>
  <c r="U17" i="11"/>
  <c r="T18" i="11"/>
  <c r="S19" i="11"/>
  <c r="R20" i="11"/>
  <c r="Q21" i="11"/>
  <c r="P22" i="11"/>
  <c r="O23" i="11"/>
  <c r="N24" i="11"/>
  <c r="M25" i="11"/>
  <c r="L26" i="11"/>
  <c r="K27" i="11"/>
  <c r="J28" i="11"/>
  <c r="V28" i="11"/>
  <c r="U29" i="11"/>
  <c r="T30" i="11"/>
  <c r="S31" i="11"/>
  <c r="R32" i="11"/>
  <c r="Q33" i="11"/>
  <c r="P34" i="11"/>
  <c r="O35" i="11"/>
  <c r="N36" i="11"/>
  <c r="U6" i="11"/>
  <c r="T7" i="11"/>
  <c r="S8" i="11"/>
  <c r="R9" i="11"/>
  <c r="Q10" i="11"/>
  <c r="P11" i="11"/>
  <c r="O12" i="11"/>
  <c r="N13" i="11"/>
  <c r="M14" i="11"/>
  <c r="L15" i="11"/>
  <c r="K16" i="11"/>
  <c r="J17" i="11"/>
  <c r="V17" i="11"/>
  <c r="U18" i="11"/>
  <c r="T19" i="11"/>
  <c r="S20" i="11"/>
  <c r="R21" i="11"/>
  <c r="Q22" i="11"/>
  <c r="P23" i="11"/>
  <c r="O24" i="11"/>
  <c r="N25" i="11"/>
  <c r="M26" i="11"/>
  <c r="L27" i="11"/>
  <c r="K28" i="11"/>
  <c r="J29" i="11"/>
  <c r="V29" i="11"/>
  <c r="U30" i="11"/>
  <c r="T31" i="11"/>
  <c r="S32" i="11"/>
  <c r="R33" i="11"/>
  <c r="Q34" i="11"/>
  <c r="P35" i="11"/>
  <c r="O36" i="11"/>
  <c r="N37" i="11"/>
  <c r="M38" i="11"/>
  <c r="V6" i="11"/>
  <c r="U7" i="11"/>
  <c r="S9" i="11"/>
  <c r="R10" i="11"/>
  <c r="Q11" i="11"/>
  <c r="P12" i="11"/>
  <c r="O13" i="11"/>
  <c r="N14" i="11"/>
  <c r="M15" i="11"/>
  <c r="L16" i="11"/>
  <c r="J18" i="11"/>
  <c r="V18" i="11"/>
  <c r="T20" i="11"/>
  <c r="R22" i="11"/>
  <c r="P24" i="11"/>
  <c r="N26" i="11"/>
  <c r="L28" i="11"/>
  <c r="J30" i="11"/>
  <c r="U31" i="11"/>
  <c r="S33" i="11"/>
  <c r="Q35" i="11"/>
  <c r="O37" i="11"/>
  <c r="M28" i="11"/>
  <c r="J31" i="11"/>
  <c r="T33" i="11"/>
  <c r="Q36" i="11"/>
  <c r="T34" i="11"/>
  <c r="V21" i="11"/>
  <c r="O28" i="11"/>
  <c r="V33" i="11"/>
  <c r="T36" i="11"/>
  <c r="I12" i="9"/>
  <c r="I13" i="9" s="1"/>
  <c r="I11" i="9"/>
  <c r="I6" i="9"/>
  <c r="I7" i="9"/>
  <c r="I8" i="9" s="1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7" i="7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C10" i="1"/>
  <c r="L74" i="1" s="1"/>
  <c r="M74" i="1" s="1"/>
  <c r="N74" i="1" s="1"/>
  <c r="E7" i="1"/>
  <c r="E4" i="1"/>
  <c r="E5" i="1" s="1"/>
  <c r="K4" i="1" l="1"/>
  <c r="L11" i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  <c r="B14" i="12"/>
  <c r="O17" i="12" l="1"/>
  <c r="K31" i="12"/>
  <c r="O35" i="12"/>
  <c r="J12" i="12"/>
  <c r="J36" i="12"/>
  <c r="P8" i="12"/>
  <c r="L13" i="12"/>
  <c r="P17" i="12"/>
  <c r="P20" i="12"/>
  <c r="P23" i="12"/>
  <c r="P26" i="12"/>
  <c r="P29" i="12"/>
  <c r="P32" i="12"/>
  <c r="L37" i="12"/>
  <c r="J25" i="12"/>
  <c r="M13" i="12"/>
  <c r="Q20" i="12"/>
  <c r="Q26" i="12"/>
  <c r="M34" i="12"/>
  <c r="J26" i="12"/>
  <c r="R32" i="12"/>
  <c r="P14" i="12"/>
  <c r="L34" i="12"/>
  <c r="Q14" i="12"/>
  <c r="M25" i="12"/>
  <c r="M31" i="12"/>
  <c r="J14" i="12"/>
  <c r="J27" i="12"/>
  <c r="M7" i="12"/>
  <c r="Q8" i="12"/>
  <c r="M10" i="12"/>
  <c r="Q11" i="12"/>
  <c r="Q17" i="12"/>
  <c r="M19" i="12"/>
  <c r="Q23" i="12"/>
  <c r="Q29" i="12"/>
  <c r="Q35" i="12"/>
  <c r="N7" i="12"/>
  <c r="R8" i="12"/>
  <c r="N10" i="12"/>
  <c r="R11" i="12"/>
  <c r="N13" i="12"/>
  <c r="R14" i="12"/>
  <c r="N16" i="12"/>
  <c r="R17" i="12"/>
  <c r="N19" i="12"/>
  <c r="R20" i="12"/>
  <c r="N22" i="12"/>
  <c r="R23" i="12"/>
  <c r="N34" i="12"/>
  <c r="O7" i="12"/>
  <c r="K9" i="12"/>
  <c r="O10" i="12"/>
  <c r="K12" i="12"/>
  <c r="O13" i="12"/>
  <c r="K15" i="12"/>
  <c r="O16" i="12"/>
  <c r="K18" i="12"/>
  <c r="O19" i="12"/>
  <c r="K21" i="12"/>
  <c r="O22" i="12"/>
  <c r="K24" i="12"/>
  <c r="O25" i="12"/>
  <c r="K27" i="12"/>
  <c r="O28" i="12"/>
  <c r="K30" i="12"/>
  <c r="O31" i="12"/>
  <c r="K33" i="12"/>
  <c r="O34" i="12"/>
  <c r="K36" i="12"/>
  <c r="O37" i="12"/>
  <c r="J16" i="12"/>
  <c r="J28" i="12"/>
  <c r="N12" i="12"/>
  <c r="N21" i="12"/>
  <c r="R28" i="12"/>
  <c r="N33" i="12"/>
  <c r="J19" i="12"/>
  <c r="O9" i="12"/>
  <c r="K14" i="12"/>
  <c r="K17" i="12"/>
  <c r="O21" i="12"/>
  <c r="O27" i="12"/>
  <c r="O33" i="12"/>
  <c r="L11" i="12"/>
  <c r="P18" i="12"/>
  <c r="P24" i="12"/>
  <c r="P30" i="12"/>
  <c r="Q18" i="12"/>
  <c r="Q27" i="12"/>
  <c r="J22" i="12"/>
  <c r="J15" i="12"/>
  <c r="P7" i="12"/>
  <c r="L9" i="12"/>
  <c r="P10" i="12"/>
  <c r="L12" i="12"/>
  <c r="P13" i="12"/>
  <c r="L15" i="12"/>
  <c r="P16" i="12"/>
  <c r="L18" i="12"/>
  <c r="P19" i="12"/>
  <c r="L21" i="12"/>
  <c r="P22" i="12"/>
  <c r="L24" i="12"/>
  <c r="P25" i="12"/>
  <c r="L27" i="12"/>
  <c r="P28" i="12"/>
  <c r="L30" i="12"/>
  <c r="P31" i="12"/>
  <c r="L33" i="12"/>
  <c r="P34" i="12"/>
  <c r="L36" i="12"/>
  <c r="P37" i="12"/>
  <c r="J17" i="12"/>
  <c r="J29" i="12"/>
  <c r="R10" i="12"/>
  <c r="R19" i="12"/>
  <c r="N27" i="12"/>
  <c r="R31" i="12"/>
  <c r="R37" i="12"/>
  <c r="K11" i="12"/>
  <c r="O15" i="12"/>
  <c r="O18" i="12"/>
  <c r="K23" i="12"/>
  <c r="O30" i="12"/>
  <c r="O36" i="12"/>
  <c r="P12" i="12"/>
  <c r="L17" i="12"/>
  <c r="L26" i="12"/>
  <c r="L32" i="12"/>
  <c r="M17" i="12"/>
  <c r="M29" i="12"/>
  <c r="R29" i="12"/>
  <c r="Q7" i="12"/>
  <c r="M9" i="12"/>
  <c r="Q10" i="12"/>
  <c r="M12" i="12"/>
  <c r="Q13" i="12"/>
  <c r="M15" i="12"/>
  <c r="Q16" i="12"/>
  <c r="M18" i="12"/>
  <c r="Q19" i="12"/>
  <c r="M21" i="12"/>
  <c r="Q22" i="12"/>
  <c r="M24" i="12"/>
  <c r="Q25" i="12"/>
  <c r="M27" i="12"/>
  <c r="Q28" i="12"/>
  <c r="M30" i="12"/>
  <c r="Q31" i="12"/>
  <c r="M33" i="12"/>
  <c r="Q34" i="12"/>
  <c r="M36" i="12"/>
  <c r="Q37" i="12"/>
  <c r="J18" i="12"/>
  <c r="J30" i="12"/>
  <c r="R7" i="12"/>
  <c r="N9" i="12"/>
  <c r="R13" i="12"/>
  <c r="N15" i="12"/>
  <c r="R16" i="12"/>
  <c r="N18" i="12"/>
  <c r="R22" i="12"/>
  <c r="R25" i="12"/>
  <c r="N30" i="12"/>
  <c r="R34" i="12"/>
  <c r="N36" i="12"/>
  <c r="J31" i="12"/>
  <c r="K8" i="12"/>
  <c r="K20" i="12"/>
  <c r="O24" i="12"/>
  <c r="K29" i="12"/>
  <c r="K32" i="12"/>
  <c r="J8" i="12"/>
  <c r="P9" i="12"/>
  <c r="P15" i="12"/>
  <c r="L20" i="12"/>
  <c r="L29" i="12"/>
  <c r="L35" i="12"/>
  <c r="J33" i="12"/>
  <c r="M20" i="12"/>
  <c r="Q30" i="12"/>
  <c r="J10" i="12"/>
  <c r="J7" i="12"/>
  <c r="R35" i="12"/>
  <c r="N24" i="12"/>
  <c r="O12" i="12"/>
  <c r="K26" i="12"/>
  <c r="K35" i="12"/>
  <c r="J32" i="12"/>
  <c r="L14" i="12"/>
  <c r="P27" i="12"/>
  <c r="P33" i="12"/>
  <c r="J21" i="12"/>
  <c r="Q15" i="12"/>
  <c r="Q33" i="12"/>
  <c r="N25" i="12"/>
  <c r="J20" i="12"/>
  <c r="P21" i="12"/>
  <c r="P36" i="12"/>
  <c r="M23" i="12"/>
  <c r="M32" i="12"/>
  <c r="J34" i="12"/>
  <c r="N31" i="12"/>
  <c r="L8" i="12"/>
  <c r="L23" i="12"/>
  <c r="J9" i="12"/>
  <c r="Q24" i="12"/>
  <c r="M35" i="12"/>
  <c r="N28" i="12"/>
  <c r="M8" i="12"/>
  <c r="Q9" i="12"/>
  <c r="M11" i="12"/>
  <c r="Q12" i="12"/>
  <c r="M14" i="12"/>
  <c r="Q21" i="12"/>
  <c r="M26" i="12"/>
  <c r="Q36" i="12"/>
  <c r="R26" i="12"/>
  <c r="N8" i="12"/>
  <c r="R9" i="12"/>
  <c r="N11" i="12"/>
  <c r="R12" i="12"/>
  <c r="N14" i="12"/>
  <c r="R15" i="12"/>
  <c r="N17" i="12"/>
  <c r="R18" i="12"/>
  <c r="N20" i="12"/>
  <c r="R21" i="12"/>
  <c r="N23" i="12"/>
  <c r="R24" i="12"/>
  <c r="N26" i="12"/>
  <c r="R27" i="12"/>
  <c r="N29" i="12"/>
  <c r="R30" i="12"/>
  <c r="N32" i="12"/>
  <c r="R33" i="12"/>
  <c r="N35" i="12"/>
  <c r="R36" i="12"/>
  <c r="J11" i="12"/>
  <c r="J23" i="12"/>
  <c r="J35" i="12"/>
  <c r="K7" i="12"/>
  <c r="O8" i="12"/>
  <c r="K10" i="12"/>
  <c r="O11" i="12"/>
  <c r="K13" i="12"/>
  <c r="O14" i="12"/>
  <c r="K16" i="12"/>
  <c r="K19" i="12"/>
  <c r="O20" i="12"/>
  <c r="K22" i="12"/>
  <c r="O23" i="12"/>
  <c r="K25" i="12"/>
  <c r="O26" i="12"/>
  <c r="K28" i="12"/>
  <c r="O29" i="12"/>
  <c r="O32" i="12"/>
  <c r="K34" i="12"/>
  <c r="K37" i="12"/>
  <c r="J24" i="12"/>
  <c r="L7" i="12"/>
  <c r="L10" i="12"/>
  <c r="P11" i="12"/>
  <c r="L16" i="12"/>
  <c r="L19" i="12"/>
  <c r="L22" i="12"/>
  <c r="L25" i="12"/>
  <c r="L28" i="12"/>
  <c r="L31" i="12"/>
  <c r="P35" i="12"/>
  <c r="J13" i="12"/>
  <c r="J37" i="12"/>
  <c r="M16" i="12"/>
  <c r="M22" i="12"/>
  <c r="M28" i="12"/>
  <c r="Q32" i="12"/>
  <c r="M37" i="12"/>
  <c r="N37" i="12"/>
</calcChain>
</file>

<file path=xl/sharedStrings.xml><?xml version="1.0" encoding="utf-8"?>
<sst xmlns="http://schemas.openxmlformats.org/spreadsheetml/2006/main" count="331" uniqueCount="105">
  <si>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</si>
  <si>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</si>
  <si>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</si>
  <si>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</si>
  <si>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</si>
  <si>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</si>
  <si>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</si>
  <si>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</si>
  <si>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</si>
  <si>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</si>
  <si>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</si>
  <si>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</si>
  <si>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</si>
  <si>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</si>
  <si>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</si>
  <si>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</si>
  <si>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</si>
  <si>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</si>
  <si>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</si>
  <si>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</si>
  <si>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</si>
  <si>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</si>
  <si>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</si>
  <si>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</si>
  <si>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</si>
  <si>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</si>
  <si>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</si>
  <si>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</si>
  <si>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</si>
  <si>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</si>
  <si>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</si>
  <si>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</si>
  <si>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</si>
  <si>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</si>
  <si>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</si>
  <si>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</si>
  <si>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</si>
  <si>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</si>
  <si>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</si>
  <si>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</si>
  <si>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</si>
  <si>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</si>
  <si>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</si>
  <si>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</si>
  <si>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</si>
  <si>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</si>
  <si>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</si>
  <si>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</si>
  <si>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</si>
  <si>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</si>
  <si>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</si>
  <si>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</si>
  <si>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</si>
  <si>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</si>
  <si>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</si>
  <si>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</si>
  <si>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</si>
  <si>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</si>
  <si>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</si>
  <si>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</si>
  <si>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</si>
  <si>
    <t>Speed</t>
  </si>
  <si>
    <t>Fixed 45 degree angle</t>
  </si>
  <si>
    <t>all shots made</t>
  </si>
  <si>
    <t>center of trench, behind wheel</t>
  </si>
  <si>
    <t>immediately in front of wheel</t>
  </si>
  <si>
    <t>not enough</t>
  </si>
  <si>
    <t>missed 3 shots</t>
  </si>
  <si>
    <t>missed 2 shots</t>
  </si>
  <si>
    <t>angle (degrees)</t>
  </si>
  <si>
    <t>distance (in)</t>
  </si>
  <si>
    <t>in/sec</t>
  </si>
  <si>
    <t>Heights</t>
  </si>
  <si>
    <t>Target distance</t>
  </si>
  <si>
    <t>Motor Max Speed (rpm)</t>
  </si>
  <si>
    <t>Software Speed Limit (%)</t>
  </si>
  <si>
    <t>Objective: Input Distance, Determine Optimal Angle and Speed</t>
  </si>
  <si>
    <t>Ball Speed accounting for loss</t>
  </si>
  <si>
    <r>
      <t>speed</t>
    </r>
    <r>
      <rPr>
        <b/>
        <sz val="11"/>
        <color theme="1"/>
        <rFont val="TI-Nspire Sans"/>
        <family val="2"/>
      </rPr>
      <t>▼</t>
    </r>
  </si>
  <si>
    <t>angle ►</t>
  </si>
  <si>
    <t>HEIGHT</t>
  </si>
  <si>
    <t>Tolerance</t>
  </si>
  <si>
    <t>Height range</t>
  </si>
  <si>
    <t>to</t>
  </si>
  <si>
    <t>SPEED</t>
  </si>
  <si>
    <t>▼</t>
  </si>
  <si>
    <t>Objective: Input Distance and Robot Speed, Output Optimal Flywheel Speed</t>
  </si>
  <si>
    <t>distance▼</t>
  </si>
  <si>
    <t>robot speed ►</t>
  </si>
  <si>
    <t>inches/second</t>
  </si>
  <si>
    <t>inches</t>
  </si>
  <si>
    <t xml:space="preserve">angle </t>
  </si>
  <si>
    <t>robotspeed</t>
  </si>
  <si>
    <t>speed</t>
  </si>
  <si>
    <t>distance</t>
  </si>
  <si>
    <t>t</t>
  </si>
  <si>
    <t>y</t>
  </si>
  <si>
    <t>a</t>
  </si>
  <si>
    <t>b</t>
  </si>
  <si>
    <t>c</t>
  </si>
  <si>
    <t>u</t>
  </si>
  <si>
    <t>other u</t>
  </si>
  <si>
    <t>u + rs</t>
  </si>
  <si>
    <t>other u + rs</t>
  </si>
  <si>
    <t>other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</si>
</sst>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-Nspire Sans"/>
      <family val="2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4" fillId="0" borderId="0" xfId="0" applyFont="1" applyFill="1"/>
    <xf numFmtId="0" fontId="1" fillId="4" borderId="0" xfId="0" applyFont="1" applyFill="1"/>
    <xf numFmtId="0" fontId="6" fillId="2" borderId="0" xfId="0" applyFont="1" applyFill="1"/>
    <xf numFmtId="0" fontId="1" fillId="4" borderId="0" xfId="0" quotePrefix="1" applyFont="1" applyFill="1" applyAlignment="1">
      <alignment horizontal="center" vertical="center" textRotation="255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1" fontId="1" fillId="0" borderId="10" xfId="0" applyNumberFormat="1" applyFont="1" applyBorder="1"/>
    <xf numFmtId="1" fontId="1" fillId="0" borderId="11" xfId="0" applyNumberFormat="1" applyFont="1" applyBorder="1" applyAlignment="1">
      <alignment horizontal="right"/>
    </xf>
    <xf numFmtId="1" fontId="1" fillId="0" borderId="11" xfId="0" applyNumberFormat="1" applyFont="1" applyBorder="1"/>
    <xf numFmtId="1" fontId="1" fillId="0" borderId="12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" fillId="0" borderId="15" xfId="0" applyFont="1" applyBorder="1"/>
    <xf numFmtId="0" fontId="1" fillId="0" borderId="0" xfId="0" applyFont="1" applyBorder="1"/>
    <xf numFmtId="0" fontId="7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28.931866671436104</c:v>
                </c:pt>
                <c:pt idx="2">
                  <c:v>57.863733342872209</c:v>
                </c:pt>
                <c:pt idx="3">
                  <c:v>86.795600014308306</c:v>
                </c:pt>
                <c:pt idx="4">
                  <c:v>115.72746668574442</c:v>
                </c:pt>
                <c:pt idx="5">
                  <c:v>144.65933335718051</c:v>
                </c:pt>
                <c:pt idx="6">
                  <c:v>173.59120002861661</c:v>
                </c:pt>
                <c:pt idx="7">
                  <c:v>202.52306670005271</c:v>
                </c:pt>
                <c:pt idx="8">
                  <c:v>231.45493337148883</c:v>
                </c:pt>
                <c:pt idx="9">
                  <c:v>260.38680004292496</c:v>
                </c:pt>
                <c:pt idx="10">
                  <c:v>289.31866671436103</c:v>
                </c:pt>
                <c:pt idx="11">
                  <c:v>318.25053338579716</c:v>
                </c:pt>
                <c:pt idx="12">
                  <c:v>347.18240005723322</c:v>
                </c:pt>
                <c:pt idx="13">
                  <c:v>376.11426672866935</c:v>
                </c:pt>
                <c:pt idx="14">
                  <c:v>405.04613340010542</c:v>
                </c:pt>
                <c:pt idx="15">
                  <c:v>433.97800007154154</c:v>
                </c:pt>
                <c:pt idx="16">
                  <c:v>462.90986674297767</c:v>
                </c:pt>
                <c:pt idx="17">
                  <c:v>491.84173341441374</c:v>
                </c:pt>
                <c:pt idx="18">
                  <c:v>520.77360008584992</c:v>
                </c:pt>
                <c:pt idx="19">
                  <c:v>549.70546675728588</c:v>
                </c:pt>
                <c:pt idx="20">
                  <c:v>578.63733342872206</c:v>
                </c:pt>
                <c:pt idx="21">
                  <c:v>607.56920010015824</c:v>
                </c:pt>
                <c:pt idx="22">
                  <c:v>636.50106677159431</c:v>
                </c:pt>
                <c:pt idx="23">
                  <c:v>665.43293344303027</c:v>
                </c:pt>
                <c:pt idx="24">
                  <c:v>694.36480011446645</c:v>
                </c:pt>
                <c:pt idx="25">
                  <c:v>723.29666678590252</c:v>
                </c:pt>
                <c:pt idx="26">
                  <c:v>752.2285334573387</c:v>
                </c:pt>
                <c:pt idx="27">
                  <c:v>781.16040012877488</c:v>
                </c:pt>
                <c:pt idx="28">
                  <c:v>810.09226680021084</c:v>
                </c:pt>
                <c:pt idx="29">
                  <c:v>839.02413347164691</c:v>
                </c:pt>
                <c:pt idx="30">
                  <c:v>867.95600014308309</c:v>
                </c:pt>
                <c:pt idx="31">
                  <c:v>896.88786681451927</c:v>
                </c:pt>
                <c:pt idx="32">
                  <c:v>925.81973348595534</c:v>
                </c:pt>
                <c:pt idx="33">
                  <c:v>954.75160015739129</c:v>
                </c:pt>
                <c:pt idx="34">
                  <c:v>983.68346682882748</c:v>
                </c:pt>
                <c:pt idx="35">
                  <c:v>1012.6153335002637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22.340026198413248</c:v>
                </c:pt>
                <c:pt idx="2">
                  <c:v>40.819652396826491</c:v>
                </c:pt>
                <c:pt idx="3">
                  <c:v>55.438878595239736</c:v>
                </c:pt>
                <c:pt idx="4">
                  <c:v>66.197704793652974</c:v>
                </c:pt>
                <c:pt idx="5">
                  <c:v>73.096130992066236</c:v>
                </c:pt>
                <c:pt idx="6">
                  <c:v>76.134157190479471</c:v>
                </c:pt>
                <c:pt idx="7">
                  <c:v>75.311783388892721</c:v>
                </c:pt>
                <c:pt idx="8">
                  <c:v>70.629009587305944</c:v>
                </c:pt>
                <c:pt idx="9">
                  <c:v>62.085835785719212</c:v>
                </c:pt>
                <c:pt idx="10">
                  <c:v>49.682261984132452</c:v>
                </c:pt>
                <c:pt idx="11">
                  <c:v>33.418288182545666</c:v>
                </c:pt>
                <c:pt idx="12">
                  <c:v>13.293914380958938</c:v>
                </c:pt>
                <c:pt idx="13">
                  <c:v>-10.690859420627874</c:v>
                </c:pt>
                <c:pt idx="14">
                  <c:v>-38.536033222214542</c:v>
                </c:pt>
                <c:pt idx="15">
                  <c:v>-70.24160702380135</c:v>
                </c:pt>
                <c:pt idx="16">
                  <c:v>-105.80758082538819</c:v>
                </c:pt>
                <c:pt idx="17">
                  <c:v>-145.23395462697471</c:v>
                </c:pt>
                <c:pt idx="18">
                  <c:v>-188.5207284285616</c:v>
                </c:pt>
                <c:pt idx="19">
                  <c:v>-235.66790223014829</c:v>
                </c:pt>
                <c:pt idx="20">
                  <c:v>-286.67547603173512</c:v>
                </c:pt>
                <c:pt idx="21">
                  <c:v>-341.54344983332186</c:v>
                </c:pt>
                <c:pt idx="22">
                  <c:v>-400.27182363490874</c:v>
                </c:pt>
                <c:pt idx="23">
                  <c:v>-462.86059743649525</c:v>
                </c:pt>
                <c:pt idx="24">
                  <c:v>-529.30977123808213</c:v>
                </c:pt>
                <c:pt idx="25">
                  <c:v>-599.61934503966881</c:v>
                </c:pt>
                <c:pt idx="26">
                  <c:v>-673.78931884125586</c:v>
                </c:pt>
                <c:pt idx="27">
                  <c:v>-751.8196926428426</c:v>
                </c:pt>
                <c:pt idx="28">
                  <c:v>-833.71046644442902</c:v>
                </c:pt>
                <c:pt idx="29">
                  <c:v>-919.46164024601603</c:v>
                </c:pt>
                <c:pt idx="30">
                  <c:v>-1009.0732140476027</c:v>
                </c:pt>
                <c:pt idx="31">
                  <c:v>-1102.5451878491899</c:v>
                </c:pt>
                <c:pt idx="32">
                  <c:v>-1199.8775616507767</c:v>
                </c:pt>
                <c:pt idx="33">
                  <c:v>-1301.0703354523628</c:v>
                </c:pt>
                <c:pt idx="34">
                  <c:v>-1406.1235092539491</c:v>
                </c:pt>
                <c:pt idx="35">
                  <c:v>-1515.0370830555366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28.931866671436104</c:v>
                </c:pt>
                <c:pt idx="2">
                  <c:v>57.863733342872209</c:v>
                </c:pt>
                <c:pt idx="3">
                  <c:v>86.795600014308306</c:v>
                </c:pt>
                <c:pt idx="4">
                  <c:v>115.72746668574442</c:v>
                </c:pt>
                <c:pt idx="5">
                  <c:v>144.65933335718051</c:v>
                </c:pt>
                <c:pt idx="6">
                  <c:v>173.59120002861661</c:v>
                </c:pt>
                <c:pt idx="7">
                  <c:v>202.52306670005271</c:v>
                </c:pt>
                <c:pt idx="8">
                  <c:v>231.45493337148883</c:v>
                </c:pt>
                <c:pt idx="9">
                  <c:v>260.38680004292496</c:v>
                </c:pt>
                <c:pt idx="10">
                  <c:v>289.31866671436103</c:v>
                </c:pt>
                <c:pt idx="11">
                  <c:v>318.25053338579716</c:v>
                </c:pt>
                <c:pt idx="12">
                  <c:v>347.18240005723322</c:v>
                </c:pt>
                <c:pt idx="13">
                  <c:v>376.11426672866935</c:v>
                </c:pt>
                <c:pt idx="14">
                  <c:v>405.04613340010542</c:v>
                </c:pt>
                <c:pt idx="15">
                  <c:v>433.97800007154154</c:v>
                </c:pt>
                <c:pt idx="16">
                  <c:v>462.90986674297767</c:v>
                </c:pt>
                <c:pt idx="17">
                  <c:v>491.84173341441374</c:v>
                </c:pt>
                <c:pt idx="18">
                  <c:v>520.77360008584992</c:v>
                </c:pt>
                <c:pt idx="19">
                  <c:v>549.70546675728588</c:v>
                </c:pt>
                <c:pt idx="20">
                  <c:v>578.63733342872206</c:v>
                </c:pt>
                <c:pt idx="21">
                  <c:v>607.56920010015824</c:v>
                </c:pt>
                <c:pt idx="22">
                  <c:v>636.50106677159431</c:v>
                </c:pt>
                <c:pt idx="23">
                  <c:v>665.43293344303027</c:v>
                </c:pt>
                <c:pt idx="24">
                  <c:v>694.36480011446645</c:v>
                </c:pt>
                <c:pt idx="25">
                  <c:v>723.29666678590252</c:v>
                </c:pt>
                <c:pt idx="26">
                  <c:v>752.2285334573387</c:v>
                </c:pt>
                <c:pt idx="27">
                  <c:v>781.16040012877488</c:v>
                </c:pt>
                <c:pt idx="28">
                  <c:v>810.09226680021084</c:v>
                </c:pt>
                <c:pt idx="29">
                  <c:v>839.02413347164691</c:v>
                </c:pt>
                <c:pt idx="30">
                  <c:v>867.95600014308309</c:v>
                </c:pt>
                <c:pt idx="31">
                  <c:v>896.88786681451927</c:v>
                </c:pt>
                <c:pt idx="32">
                  <c:v>925.81973348595534</c:v>
                </c:pt>
                <c:pt idx="33">
                  <c:v>954.75160015739129</c:v>
                </c:pt>
                <c:pt idx="34">
                  <c:v>983.68346682882748</c:v>
                </c:pt>
                <c:pt idx="35">
                  <c:v>1012.6153335002637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75.75</c:v>
                </c:pt>
                <c:pt idx="1">
                  <c:v>75.75</c:v>
                </c:pt>
                <c:pt idx="2">
                  <c:v>75.75</c:v>
                </c:pt>
                <c:pt idx="3">
                  <c:v>75.75</c:v>
                </c:pt>
                <c:pt idx="4">
                  <c:v>75.75</c:v>
                </c:pt>
                <c:pt idx="5">
                  <c:v>75.75</c:v>
                </c:pt>
                <c:pt idx="6">
                  <c:v>75.75</c:v>
                </c:pt>
                <c:pt idx="7">
                  <c:v>75.75</c:v>
                </c:pt>
                <c:pt idx="8">
                  <c:v>75.75</c:v>
                </c:pt>
                <c:pt idx="9">
                  <c:v>75.75</c:v>
                </c:pt>
                <c:pt idx="10">
                  <c:v>75.75</c:v>
                </c:pt>
                <c:pt idx="11">
                  <c:v>75.75</c:v>
                </c:pt>
                <c:pt idx="12">
                  <c:v>75.75</c:v>
                </c:pt>
                <c:pt idx="13">
                  <c:v>75.75</c:v>
                </c:pt>
                <c:pt idx="14">
                  <c:v>75.75</c:v>
                </c:pt>
                <c:pt idx="15">
                  <c:v>75.75</c:v>
                </c:pt>
                <c:pt idx="16">
                  <c:v>75.75</c:v>
                </c:pt>
                <c:pt idx="17">
                  <c:v>75.75</c:v>
                </c:pt>
                <c:pt idx="18">
                  <c:v>75.75</c:v>
                </c:pt>
                <c:pt idx="19">
                  <c:v>75.75</c:v>
                </c:pt>
                <c:pt idx="20">
                  <c:v>75.75</c:v>
                </c:pt>
                <c:pt idx="21">
                  <c:v>75.75</c:v>
                </c:pt>
                <c:pt idx="22">
                  <c:v>75.75</c:v>
                </c:pt>
                <c:pt idx="23">
                  <c:v>75.75</c:v>
                </c:pt>
                <c:pt idx="24">
                  <c:v>75.75</c:v>
                </c:pt>
                <c:pt idx="25">
                  <c:v>75.75</c:v>
                </c:pt>
                <c:pt idx="26">
                  <c:v>75.75</c:v>
                </c:pt>
                <c:pt idx="27">
                  <c:v>75.75</c:v>
                </c:pt>
                <c:pt idx="28">
                  <c:v>75.75</c:v>
                </c:pt>
                <c:pt idx="29">
                  <c:v>75.75</c:v>
                </c:pt>
                <c:pt idx="30">
                  <c:v>75.75</c:v>
                </c:pt>
                <c:pt idx="31">
                  <c:v>75.75</c:v>
                </c:pt>
                <c:pt idx="32">
                  <c:v>75.75</c:v>
                </c:pt>
                <c:pt idx="33">
                  <c:v>75.75</c:v>
                </c:pt>
                <c:pt idx="34">
                  <c:v>75.75</c:v>
                </c:pt>
                <c:pt idx="35">
                  <c:v>75.75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topLeftCell="A2" zoomScale="84" workbookViewId="0">
      <selection activeCell="J13" sqref="J13"/>
    </sheetView>
  </sheetViews>
  <sheetFormatPr defaultRowHeight="14.4" x14ac:dyDescent="0.3"/>
  <cols>
    <col min="1" max="1" width="21.5546875" customWidth="1"/>
    <col min="2" max="2" width="9.109375" customWidth="1"/>
    <col min="7" max="11" width="14.5546875" style="3" customWidth="1"/>
    <col min="12" max="12" width="10.21875" style="3" customWidth="1"/>
  </cols>
  <sheetData>
    <row r="1" spans="1:12" ht="18" x14ac:dyDescent="0.35">
      <c r="A1" s="1" t="s">
        <v>0</v>
      </c>
    </row>
    <row r="2" spans="1:12" ht="18" x14ac:dyDescent="0.35">
      <c r="A2" s="1" t="s">
        <v>1</v>
      </c>
    </row>
    <row r="5" spans="1:12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40</v>
      </c>
    </row>
    <row r="6" spans="1:12" x14ac:dyDescent="0.3">
      <c r="B6" s="13">
        <f>B5*12+D5</f>
        <v>98.25</v>
      </c>
      <c r="C6" t="s">
        <v>4</v>
      </c>
    </row>
    <row r="7" spans="1:12" ht="15" thickBot="1" x14ac:dyDescent="0.3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3">
      <c r="A8" s="2" t="s">
        <v>7</v>
      </c>
      <c r="B8" s="12">
        <v>22.5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75.75</v>
      </c>
    </row>
    <row r="9" spans="1:12" x14ac:dyDescent="0.3">
      <c r="G9" s="3">
        <v>0.1</v>
      </c>
      <c r="H9" s="7">
        <f t="shared" si="0"/>
        <v>28.931866671436104</v>
      </c>
      <c r="I9" s="7">
        <f t="shared" ref="I9:I43" si="2">H9/12</f>
        <v>2.410988889286342</v>
      </c>
      <c r="J9" s="7">
        <f t="shared" si="1"/>
        <v>22.340026198413248</v>
      </c>
      <c r="K9" s="7">
        <f t="shared" ref="K9:K43" si="3">J9/12</f>
        <v>1.8616688498677707</v>
      </c>
      <c r="L9" s="3">
        <f t="shared" ref="L9:L43" si="4">$B$10</f>
        <v>75.75</v>
      </c>
    </row>
    <row r="10" spans="1:12" x14ac:dyDescent="0.3">
      <c r="A10" s="14" t="s">
        <v>2</v>
      </c>
      <c r="B10">
        <f>B6-B8</f>
        <v>75.75</v>
      </c>
      <c r="C10" t="s">
        <v>4</v>
      </c>
      <c r="G10" s="3">
        <v>0.2</v>
      </c>
      <c r="H10" s="7">
        <f t="shared" si="0"/>
        <v>57.863733342872209</v>
      </c>
      <c r="I10" s="7">
        <f t="shared" si="2"/>
        <v>4.8219777785726841</v>
      </c>
      <c r="J10" s="7">
        <f t="shared" si="1"/>
        <v>40.819652396826491</v>
      </c>
      <c r="K10" s="7">
        <f t="shared" si="3"/>
        <v>3.4016376997355411</v>
      </c>
      <c r="L10" s="3">
        <f t="shared" si="4"/>
        <v>75.75</v>
      </c>
    </row>
    <row r="11" spans="1:12" x14ac:dyDescent="0.3">
      <c r="G11" s="3">
        <v>0.3</v>
      </c>
      <c r="H11" s="7">
        <f t="shared" si="0"/>
        <v>86.795600014308306</v>
      </c>
      <c r="I11" s="7">
        <f t="shared" si="2"/>
        <v>7.2329666678590252</v>
      </c>
      <c r="J11" s="7">
        <f t="shared" si="1"/>
        <v>55.438878595239736</v>
      </c>
      <c r="K11" s="7">
        <f t="shared" si="3"/>
        <v>4.6199065496033116</v>
      </c>
      <c r="L11" s="3">
        <f t="shared" si="4"/>
        <v>75.75</v>
      </c>
    </row>
    <row r="12" spans="1:12" x14ac:dyDescent="0.3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115.72746668574442</v>
      </c>
      <c r="I12" s="7">
        <f t="shared" si="2"/>
        <v>9.6439555571453681</v>
      </c>
      <c r="J12" s="7">
        <f t="shared" si="1"/>
        <v>66.197704793652974</v>
      </c>
      <c r="K12" s="7">
        <f t="shared" si="3"/>
        <v>5.5164753994710809</v>
      </c>
      <c r="L12" s="3">
        <f t="shared" si="4"/>
        <v>75.75</v>
      </c>
    </row>
    <row r="13" spans="1:12" x14ac:dyDescent="0.3">
      <c r="A13" s="14" t="s">
        <v>23</v>
      </c>
      <c r="B13" s="12">
        <f>C13*D13</f>
        <v>5295.4</v>
      </c>
      <c r="C13">
        <v>0.83</v>
      </c>
      <c r="D13">
        <v>6380</v>
      </c>
      <c r="G13" s="3">
        <v>0.5</v>
      </c>
      <c r="H13" s="7">
        <f t="shared" si="0"/>
        <v>144.65933335718051</v>
      </c>
      <c r="I13" s="7">
        <f t="shared" si="2"/>
        <v>12.05494444643171</v>
      </c>
      <c r="J13" s="7">
        <f t="shared" si="1"/>
        <v>73.096130992066236</v>
      </c>
      <c r="K13" s="7">
        <f t="shared" si="3"/>
        <v>6.091344249338853</v>
      </c>
      <c r="L13" s="3">
        <f t="shared" si="4"/>
        <v>75.75</v>
      </c>
    </row>
    <row r="14" spans="1:12" x14ac:dyDescent="0.3">
      <c r="A14" s="14" t="s">
        <v>22</v>
      </c>
      <c r="B14" s="13">
        <f>PI()*B12</f>
        <v>18.849555921538759</v>
      </c>
      <c r="C14" t="s">
        <v>4</v>
      </c>
      <c r="G14" s="3">
        <v>0.6</v>
      </c>
      <c r="H14" s="7">
        <f t="shared" si="0"/>
        <v>173.59120002861661</v>
      </c>
      <c r="I14" s="7">
        <f t="shared" si="2"/>
        <v>14.46593333571805</v>
      </c>
      <c r="J14" s="7">
        <f t="shared" si="1"/>
        <v>76.134157190479471</v>
      </c>
      <c r="K14" s="7">
        <f t="shared" si="3"/>
        <v>6.3445130992066225</v>
      </c>
      <c r="L14" s="3">
        <f t="shared" si="4"/>
        <v>75.75</v>
      </c>
    </row>
    <row r="15" spans="1:12" x14ac:dyDescent="0.3">
      <c r="A15" s="14" t="s">
        <v>33</v>
      </c>
      <c r="B15" s="12">
        <v>0.22700000000000001</v>
      </c>
      <c r="G15" s="3">
        <v>0.7</v>
      </c>
      <c r="H15" s="7">
        <f t="shared" si="0"/>
        <v>202.52306670005271</v>
      </c>
      <c r="I15" s="7">
        <f t="shared" si="2"/>
        <v>16.876922225004392</v>
      </c>
      <c r="J15" s="7">
        <f t="shared" si="1"/>
        <v>75.311783388892721</v>
      </c>
      <c r="K15" s="7">
        <f t="shared" si="3"/>
        <v>6.2759819490743931</v>
      </c>
      <c r="L15" s="3">
        <f t="shared" si="4"/>
        <v>75.75</v>
      </c>
    </row>
    <row r="16" spans="1:12" x14ac:dyDescent="0.3">
      <c r="G16" s="3">
        <v>0.8</v>
      </c>
      <c r="H16" s="7">
        <f t="shared" si="0"/>
        <v>231.45493337148883</v>
      </c>
      <c r="I16" s="7">
        <f t="shared" si="2"/>
        <v>19.287911114290736</v>
      </c>
      <c r="J16" s="7">
        <f t="shared" si="1"/>
        <v>70.629009587305944</v>
      </c>
      <c r="K16" s="7">
        <f t="shared" si="3"/>
        <v>5.885750798942162</v>
      </c>
      <c r="L16" s="3">
        <f t="shared" si="4"/>
        <v>75.75</v>
      </c>
    </row>
    <row r="17" spans="1:12" x14ac:dyDescent="0.3">
      <c r="A17" s="2" t="s">
        <v>20</v>
      </c>
      <c r="B17" s="13">
        <f>B13*B14</f>
        <v>99815.938426916342</v>
      </c>
      <c r="C17" t="s">
        <v>24</v>
      </c>
      <c r="G17" s="3">
        <v>0.9</v>
      </c>
      <c r="H17" s="7">
        <f t="shared" si="0"/>
        <v>260.38680004292496</v>
      </c>
      <c r="I17" s="7">
        <f t="shared" si="2"/>
        <v>21.69890000357708</v>
      </c>
      <c r="J17" s="7">
        <f t="shared" si="1"/>
        <v>62.085835785719212</v>
      </c>
      <c r="K17" s="7">
        <f t="shared" si="3"/>
        <v>5.1738196488099346</v>
      </c>
      <c r="L17" s="3">
        <f t="shared" si="4"/>
        <v>75.75</v>
      </c>
    </row>
    <row r="18" spans="1:12" x14ac:dyDescent="0.3">
      <c r="A18" s="2" t="s">
        <v>20</v>
      </c>
      <c r="B18" s="15">
        <f>($B$15*B17)/(12*60)</f>
        <v>31.469747254041678</v>
      </c>
      <c r="C18" t="s">
        <v>21</v>
      </c>
      <c r="G18" s="3">
        <v>1</v>
      </c>
      <c r="H18" s="7">
        <f t="shared" si="0"/>
        <v>289.31866671436103</v>
      </c>
      <c r="I18" s="7">
        <f t="shared" si="2"/>
        <v>24.10988889286342</v>
      </c>
      <c r="J18" s="7">
        <f t="shared" si="1"/>
        <v>49.682261984132452</v>
      </c>
      <c r="K18" s="7">
        <f t="shared" si="3"/>
        <v>4.1401884986777047</v>
      </c>
      <c r="L18" s="3">
        <f t="shared" si="4"/>
        <v>75.75</v>
      </c>
    </row>
    <row r="19" spans="1:12" x14ac:dyDescent="0.3">
      <c r="G19" s="3">
        <v>1.1000000000000001</v>
      </c>
      <c r="H19" s="7">
        <f t="shared" si="0"/>
        <v>318.25053338579716</v>
      </c>
      <c r="I19" s="7">
        <f t="shared" si="2"/>
        <v>26.520877782149764</v>
      </c>
      <c r="J19" s="7">
        <f t="shared" si="1"/>
        <v>33.418288182545666</v>
      </c>
      <c r="K19" s="7">
        <f t="shared" si="3"/>
        <v>2.7848573485454722</v>
      </c>
      <c r="L19" s="3">
        <f t="shared" si="4"/>
        <v>75.75</v>
      </c>
    </row>
    <row r="20" spans="1:12" x14ac:dyDescent="0.3">
      <c r="G20" s="3">
        <v>1.2</v>
      </c>
      <c r="H20" s="7">
        <f t="shared" si="0"/>
        <v>347.18240005723322</v>
      </c>
      <c r="I20" s="7">
        <f t="shared" si="2"/>
        <v>28.931866671436101</v>
      </c>
      <c r="J20" s="7">
        <f t="shared" si="1"/>
        <v>13.293914380958938</v>
      </c>
      <c r="K20" s="7">
        <f t="shared" si="3"/>
        <v>1.1078261984132449</v>
      </c>
      <c r="L20" s="3">
        <f t="shared" si="4"/>
        <v>75.75</v>
      </c>
    </row>
    <row r="21" spans="1:12" x14ac:dyDescent="0.3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376.11426672866935</v>
      </c>
      <c r="I21" s="7">
        <f t="shared" si="2"/>
        <v>31.342855560722445</v>
      </c>
      <c r="J21" s="7">
        <f t="shared" si="1"/>
        <v>-10.690859420627874</v>
      </c>
      <c r="K21" s="7">
        <f t="shared" si="3"/>
        <v>-0.89090495171898942</v>
      </c>
      <c r="L21" s="3">
        <f t="shared" si="4"/>
        <v>75.75</v>
      </c>
    </row>
    <row r="22" spans="1:12" x14ac:dyDescent="0.3">
      <c r="B22">
        <f>B21*12</f>
        <v>386.04</v>
      </c>
      <c r="C22" t="s">
        <v>28</v>
      </c>
      <c r="G22" s="3">
        <v>1.4</v>
      </c>
      <c r="H22" s="7">
        <f t="shared" si="0"/>
        <v>405.04613340010542</v>
      </c>
      <c r="I22" s="7">
        <f t="shared" si="2"/>
        <v>33.753844450008785</v>
      </c>
      <c r="J22" s="7">
        <f t="shared" si="1"/>
        <v>-38.536033222214542</v>
      </c>
      <c r="K22" s="7">
        <f t="shared" si="3"/>
        <v>-3.2113361018512117</v>
      </c>
      <c r="L22" s="3">
        <f t="shared" si="4"/>
        <v>75.75</v>
      </c>
    </row>
    <row r="23" spans="1:12" x14ac:dyDescent="0.3">
      <c r="G23" s="3">
        <v>1.5</v>
      </c>
      <c r="H23" s="7">
        <f t="shared" si="0"/>
        <v>433.97800007154154</v>
      </c>
      <c r="I23" s="7">
        <f t="shared" si="2"/>
        <v>36.164833339295129</v>
      </c>
      <c r="J23" s="7">
        <f t="shared" si="1"/>
        <v>-70.24160702380135</v>
      </c>
      <c r="K23" s="7">
        <f t="shared" si="3"/>
        <v>-5.8534672519834459</v>
      </c>
      <c r="L23" s="3">
        <f t="shared" si="4"/>
        <v>75.75</v>
      </c>
    </row>
    <row r="24" spans="1:12" x14ac:dyDescent="0.3">
      <c r="G24" s="3">
        <v>1.6</v>
      </c>
      <c r="H24" s="7">
        <f t="shared" si="0"/>
        <v>462.90986674297767</v>
      </c>
      <c r="I24" s="7">
        <f t="shared" si="2"/>
        <v>38.575822228581472</v>
      </c>
      <c r="J24" s="7">
        <f t="shared" si="1"/>
        <v>-105.80758082538819</v>
      </c>
      <c r="K24" s="7">
        <f t="shared" si="3"/>
        <v>-8.8172984021156822</v>
      </c>
      <c r="L24" s="3">
        <f t="shared" si="4"/>
        <v>75.75</v>
      </c>
    </row>
    <row r="25" spans="1:12" x14ac:dyDescent="0.3">
      <c r="G25" s="3">
        <v>1.7</v>
      </c>
      <c r="H25" s="7">
        <f t="shared" si="0"/>
        <v>491.84173341441374</v>
      </c>
      <c r="I25" s="7">
        <f t="shared" si="2"/>
        <v>40.986811117867809</v>
      </c>
      <c r="J25" s="7">
        <f t="shared" si="1"/>
        <v>-145.23395462697471</v>
      </c>
      <c r="K25" s="7">
        <f t="shared" si="3"/>
        <v>-12.102829552247892</v>
      </c>
      <c r="L25" s="3">
        <f t="shared" si="4"/>
        <v>75.75</v>
      </c>
    </row>
    <row r="26" spans="1:12" x14ac:dyDescent="0.3">
      <c r="G26" s="3">
        <v>1.8</v>
      </c>
      <c r="H26" s="7">
        <f t="shared" si="0"/>
        <v>520.77360008584992</v>
      </c>
      <c r="I26" s="7">
        <f t="shared" si="2"/>
        <v>43.39780000715416</v>
      </c>
      <c r="J26" s="7">
        <f t="shared" si="1"/>
        <v>-188.5207284285616</v>
      </c>
      <c r="K26" s="7">
        <f t="shared" si="3"/>
        <v>-15.710060702380133</v>
      </c>
      <c r="L26" s="3">
        <f t="shared" si="4"/>
        <v>75.75</v>
      </c>
    </row>
    <row r="27" spans="1:12" ht="15" thickBot="1" x14ac:dyDescent="0.35">
      <c r="G27" s="3">
        <v>1.9</v>
      </c>
      <c r="H27" s="7">
        <f t="shared" si="0"/>
        <v>549.70546675728588</v>
      </c>
      <c r="I27" s="7">
        <f t="shared" si="2"/>
        <v>45.80878889644049</v>
      </c>
      <c r="J27" s="7">
        <f t="shared" si="1"/>
        <v>-235.66790223014829</v>
      </c>
      <c r="K27" s="7">
        <f t="shared" si="3"/>
        <v>-19.638991852512358</v>
      </c>
      <c r="L27" s="3">
        <f t="shared" si="4"/>
        <v>75.75</v>
      </c>
    </row>
    <row r="28" spans="1:12" ht="16.8" thickTop="1" thickBot="1" x14ac:dyDescent="0.35">
      <c r="A28" s="47" t="s">
        <v>35</v>
      </c>
      <c r="B28" s="48"/>
      <c r="C28" s="49"/>
      <c r="G28" s="3">
        <v>2</v>
      </c>
      <c r="H28" s="7">
        <f t="shared" si="0"/>
        <v>578.63733342872206</v>
      </c>
      <c r="I28" s="7">
        <f t="shared" si="2"/>
        <v>48.219777785726841</v>
      </c>
      <c r="J28" s="7">
        <f t="shared" si="1"/>
        <v>-286.67547603173512</v>
      </c>
      <c r="K28" s="7">
        <f t="shared" si="3"/>
        <v>-23.889623002644594</v>
      </c>
      <c r="L28" s="3">
        <f t="shared" si="4"/>
        <v>75.75</v>
      </c>
    </row>
    <row r="29" spans="1:12" ht="15" thickTop="1" x14ac:dyDescent="0.3">
      <c r="A29" s="17"/>
      <c r="B29" s="18"/>
      <c r="C29" s="19"/>
      <c r="G29" s="3">
        <v>2.1</v>
      </c>
      <c r="H29" s="7">
        <f t="shared" si="0"/>
        <v>607.56920010015824</v>
      </c>
      <c r="I29" s="7">
        <f t="shared" si="2"/>
        <v>50.630766675013184</v>
      </c>
      <c r="J29" s="7">
        <f t="shared" si="1"/>
        <v>-341.54344983332186</v>
      </c>
      <c r="K29" s="7">
        <f t="shared" si="3"/>
        <v>-28.461954152776823</v>
      </c>
      <c r="L29" s="3">
        <f t="shared" si="4"/>
        <v>75.75</v>
      </c>
    </row>
    <row r="30" spans="1:12" x14ac:dyDescent="0.3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636.50106677159431</v>
      </c>
      <c r="I30" s="7">
        <f t="shared" si="2"/>
        <v>53.041755564299528</v>
      </c>
      <c r="J30" s="7">
        <f t="shared" si="1"/>
        <v>-400.27182363490874</v>
      </c>
      <c r="K30" s="7">
        <f t="shared" si="3"/>
        <v>-33.355985302909062</v>
      </c>
      <c r="L30" s="3">
        <f t="shared" si="4"/>
        <v>75.75</v>
      </c>
    </row>
    <row r="31" spans="1:12" x14ac:dyDescent="0.3">
      <c r="A31" s="17"/>
      <c r="B31" s="18"/>
      <c r="C31" s="19"/>
      <c r="G31" s="3">
        <v>2.2999999999999998</v>
      </c>
      <c r="H31" s="7">
        <f t="shared" si="0"/>
        <v>665.43293344303027</v>
      </c>
      <c r="I31" s="7">
        <f t="shared" si="2"/>
        <v>55.452744453585858</v>
      </c>
      <c r="J31" s="7">
        <f t="shared" si="1"/>
        <v>-462.86059743649525</v>
      </c>
      <c r="K31" s="7">
        <f t="shared" si="3"/>
        <v>-38.571716453041269</v>
      </c>
      <c r="L31" s="3">
        <f t="shared" si="4"/>
        <v>75.75</v>
      </c>
    </row>
    <row r="32" spans="1:12" x14ac:dyDescent="0.3">
      <c r="A32" s="20" t="s">
        <v>32</v>
      </c>
      <c r="B32" s="24">
        <f>ROUND(ATAN($B$10/B30)*57.2958,1)</f>
        <v>19</v>
      </c>
      <c r="C32" s="19" t="s">
        <v>42</v>
      </c>
      <c r="G32" s="3">
        <v>2.4</v>
      </c>
      <c r="H32" s="7">
        <f t="shared" si="0"/>
        <v>694.36480011446645</v>
      </c>
      <c r="I32" s="7">
        <f t="shared" si="2"/>
        <v>57.863733342872202</v>
      </c>
      <c r="J32" s="7">
        <f t="shared" si="1"/>
        <v>-529.30977123808213</v>
      </c>
      <c r="K32" s="7">
        <f t="shared" si="3"/>
        <v>-44.109147603173511</v>
      </c>
      <c r="L32" s="3">
        <f t="shared" si="4"/>
        <v>75.75</v>
      </c>
    </row>
    <row r="33" spans="1:12" x14ac:dyDescent="0.3">
      <c r="A33" s="17"/>
      <c r="B33" s="18"/>
      <c r="C33" s="19"/>
      <c r="G33" s="3">
        <v>2.5</v>
      </c>
      <c r="H33" s="7">
        <f t="shared" si="0"/>
        <v>723.29666678590252</v>
      </c>
      <c r="I33" s="7">
        <f t="shared" si="2"/>
        <v>60.274722232158545</v>
      </c>
      <c r="J33" s="7">
        <f t="shared" si="1"/>
        <v>-599.61934503966881</v>
      </c>
      <c r="K33" s="7">
        <f t="shared" si="3"/>
        <v>-49.968278753305732</v>
      </c>
      <c r="L33" s="3">
        <f t="shared" si="4"/>
        <v>75.75</v>
      </c>
    </row>
    <row r="34" spans="1:12" x14ac:dyDescent="0.3">
      <c r="A34" s="20" t="s">
        <v>37</v>
      </c>
      <c r="B34" s="24">
        <f>ROUND(SQRT((2*$B$22*$B$10)/(SIN(B32*0.01745)*SIN(B32*0.01745))),1)</f>
        <v>742.9</v>
      </c>
      <c r="C34" s="19" t="s">
        <v>38</v>
      </c>
      <c r="G34" s="3">
        <v>2.6</v>
      </c>
      <c r="H34" s="7">
        <f t="shared" si="0"/>
        <v>752.2285334573387</v>
      </c>
      <c r="I34" s="7">
        <f t="shared" si="2"/>
        <v>62.685711121444889</v>
      </c>
      <c r="J34" s="7">
        <f t="shared" si="1"/>
        <v>-673.78931884125586</v>
      </c>
      <c r="K34" s="7">
        <f t="shared" si="3"/>
        <v>-56.149109903437989</v>
      </c>
      <c r="L34" s="3">
        <f t="shared" si="4"/>
        <v>75.75</v>
      </c>
    </row>
    <row r="35" spans="1:12" x14ac:dyDescent="0.3">
      <c r="A35" s="17"/>
      <c r="B35" s="24">
        <f>ROUND(B34/12,1)</f>
        <v>61.9</v>
      </c>
      <c r="C35" s="19" t="s">
        <v>39</v>
      </c>
      <c r="G35" s="3">
        <v>2.7</v>
      </c>
      <c r="H35" s="7">
        <f t="shared" si="0"/>
        <v>781.16040012877488</v>
      </c>
      <c r="I35" s="7">
        <f t="shared" si="2"/>
        <v>65.09670001073124</v>
      </c>
      <c r="J35" s="7">
        <f t="shared" si="1"/>
        <v>-751.8196926428426</v>
      </c>
      <c r="K35" s="7">
        <f t="shared" si="3"/>
        <v>-62.651641053570216</v>
      </c>
      <c r="L35" s="3">
        <f t="shared" si="4"/>
        <v>75.75</v>
      </c>
    </row>
    <row r="36" spans="1:12" x14ac:dyDescent="0.3">
      <c r="A36" s="17"/>
      <c r="B36" s="18"/>
      <c r="C36" s="19"/>
      <c r="G36" s="3">
        <v>2.8</v>
      </c>
      <c r="H36" s="7">
        <f t="shared" si="0"/>
        <v>810.09226680021084</v>
      </c>
      <c r="I36" s="7">
        <f t="shared" si="2"/>
        <v>67.50768890001757</v>
      </c>
      <c r="J36" s="7">
        <f t="shared" si="1"/>
        <v>-833.71046644442902</v>
      </c>
      <c r="K36" s="7">
        <f t="shared" si="3"/>
        <v>-69.475872203702423</v>
      </c>
      <c r="L36" s="3">
        <f t="shared" si="4"/>
        <v>75.75</v>
      </c>
    </row>
    <row r="37" spans="1:12" ht="15" thickBot="1" x14ac:dyDescent="0.35">
      <c r="A37" s="21" t="s">
        <v>40</v>
      </c>
      <c r="B37" s="25">
        <f>ROUND((720*B35)/(B15*B14),0)</f>
        <v>10416</v>
      </c>
      <c r="C37" s="22" t="s">
        <v>41</v>
      </c>
      <c r="G37" s="3">
        <v>2.9</v>
      </c>
      <c r="H37" s="7">
        <f t="shared" si="0"/>
        <v>839.02413347164691</v>
      </c>
      <c r="I37" s="7">
        <f t="shared" si="2"/>
        <v>69.918677789303914</v>
      </c>
      <c r="J37" s="7">
        <f t="shared" si="1"/>
        <v>-919.46164024601603</v>
      </c>
      <c r="K37" s="7">
        <f t="shared" si="3"/>
        <v>-76.621803353834665</v>
      </c>
      <c r="L37" s="3">
        <f t="shared" si="4"/>
        <v>75.75</v>
      </c>
    </row>
    <row r="38" spans="1:12" ht="15" thickTop="1" x14ac:dyDescent="0.3">
      <c r="G38" s="3">
        <v>3</v>
      </c>
      <c r="H38" s="7">
        <f t="shared" si="0"/>
        <v>867.95600014308309</v>
      </c>
      <c r="I38" s="7">
        <f t="shared" si="2"/>
        <v>72.329666678590257</v>
      </c>
      <c r="J38" s="7">
        <f t="shared" si="1"/>
        <v>-1009.0732140476027</v>
      </c>
      <c r="K38" s="7">
        <f t="shared" si="3"/>
        <v>-84.089434503966899</v>
      </c>
      <c r="L38" s="3">
        <f t="shared" si="4"/>
        <v>75.75</v>
      </c>
    </row>
    <row r="39" spans="1:12" x14ac:dyDescent="0.3">
      <c r="G39" s="3">
        <v>3.1</v>
      </c>
      <c r="H39" s="7">
        <f t="shared" si="0"/>
        <v>896.88786681451927</v>
      </c>
      <c r="I39" s="7">
        <f t="shared" si="2"/>
        <v>74.740655567876601</v>
      </c>
      <c r="J39" s="7">
        <f t="shared" si="1"/>
        <v>-1102.5451878491899</v>
      </c>
      <c r="K39" s="7">
        <f t="shared" si="3"/>
        <v>-91.878765654099155</v>
      </c>
      <c r="L39" s="3">
        <f t="shared" si="4"/>
        <v>75.75</v>
      </c>
    </row>
    <row r="40" spans="1:12" x14ac:dyDescent="0.3">
      <c r="G40" s="3">
        <v>3.2</v>
      </c>
      <c r="H40" s="7">
        <f t="shared" si="0"/>
        <v>925.81973348595534</v>
      </c>
      <c r="I40" s="7">
        <f t="shared" si="2"/>
        <v>77.151644457162945</v>
      </c>
      <c r="J40" s="7">
        <f t="shared" si="1"/>
        <v>-1199.8775616507767</v>
      </c>
      <c r="K40" s="7">
        <f t="shared" si="3"/>
        <v>-99.989796804231389</v>
      </c>
      <c r="L40" s="3">
        <f t="shared" si="4"/>
        <v>75.75</v>
      </c>
    </row>
    <row r="41" spans="1:12" x14ac:dyDescent="0.3">
      <c r="G41" s="3">
        <v>3.3</v>
      </c>
      <c r="H41" s="7">
        <f t="shared" si="0"/>
        <v>954.75160015739129</v>
      </c>
      <c r="I41" s="7">
        <f t="shared" si="2"/>
        <v>79.562633346449275</v>
      </c>
      <c r="J41" s="7">
        <f t="shared" si="1"/>
        <v>-1301.0703354523628</v>
      </c>
      <c r="K41" s="7">
        <f t="shared" si="3"/>
        <v>-108.42252795436356</v>
      </c>
      <c r="L41" s="3">
        <f t="shared" si="4"/>
        <v>75.75</v>
      </c>
    </row>
    <row r="42" spans="1:12" x14ac:dyDescent="0.3">
      <c r="G42" s="3">
        <v>3.4</v>
      </c>
      <c r="H42" s="7">
        <f t="shared" si="0"/>
        <v>983.68346682882748</v>
      </c>
      <c r="I42" s="7">
        <f t="shared" si="2"/>
        <v>81.973622235735618</v>
      </c>
      <c r="J42" s="7">
        <f t="shared" si="1"/>
        <v>-1406.1235092539491</v>
      </c>
      <c r="K42" s="7">
        <f t="shared" si="3"/>
        <v>-117.17695910449577</v>
      </c>
      <c r="L42" s="3">
        <f t="shared" si="4"/>
        <v>75.75</v>
      </c>
    </row>
    <row r="43" spans="1:12" x14ac:dyDescent="0.3">
      <c r="G43" s="3">
        <v>3.5</v>
      </c>
      <c r="H43" s="7">
        <f t="shared" si="0"/>
        <v>1012.6153335002637</v>
      </c>
      <c r="I43" s="7">
        <f t="shared" si="2"/>
        <v>84.384611125021976</v>
      </c>
      <c r="J43" s="7">
        <f t="shared" si="1"/>
        <v>-1515.0370830555366</v>
      </c>
      <c r="K43" s="7">
        <f t="shared" si="3"/>
        <v>-126.25309025462805</v>
      </c>
      <c r="L43" s="3">
        <f t="shared" si="4"/>
        <v>75.75</v>
      </c>
    </row>
    <row r="47" spans="1:12" x14ac:dyDescent="0.3">
      <c r="G47" s="4"/>
      <c r="H47" s="4"/>
      <c r="I47" s="4"/>
    </row>
    <row r="48" spans="1:12" x14ac:dyDescent="0.3">
      <c r="G48"/>
      <c r="H48"/>
      <c r="I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9CD4-8DEB-4F2A-87C8-9FF228A68946}">
  <dimension ref="A1:V46"/>
  <sheetViews>
    <sheetView topLeftCell="A2" zoomScale="71" workbookViewId="0">
      <selection activeCell="M16" sqref="M16"/>
    </sheetView>
  </sheetViews>
  <sheetFormatPr defaultRowHeight="14.4" x14ac:dyDescent="0.3"/>
  <cols>
    <col min="1" max="1" width="19.109375" customWidth="1"/>
    <col min="2" max="4" width="9" bestFit="1" customWidth="1"/>
    <col min="6" max="6" width="10.88671875" bestFit="1" customWidth="1"/>
    <col min="7" max="7" width="9" bestFit="1" customWidth="1"/>
    <col min="8" max="8" width="10.77734375" hidden="1" customWidth="1"/>
    <col min="9" max="9" width="0" hidden="1" customWidth="1"/>
    <col min="10" max="21" width="9" bestFit="1" customWidth="1"/>
    <col min="22" max="22" width="9.77734375" bestFit="1" customWidth="1"/>
  </cols>
  <sheetData>
    <row r="1" spans="1:22" ht="18" x14ac:dyDescent="0.35">
      <c r="A1" s="1" t="s">
        <v>0</v>
      </c>
    </row>
    <row r="2" spans="1:22" ht="18" x14ac:dyDescent="0.35">
      <c r="A2" s="1" t="s">
        <v>1</v>
      </c>
      <c r="F2" t="s">
        <v>72</v>
      </c>
      <c r="G2" t="s">
        <v>69</v>
      </c>
    </row>
    <row r="3" spans="1:22" x14ac:dyDescent="0.3">
      <c r="J3" s="28">
        <v>25</v>
      </c>
      <c r="K3" s="28">
        <v>30</v>
      </c>
      <c r="L3" s="28">
        <v>35</v>
      </c>
      <c r="M3" s="28">
        <v>40</v>
      </c>
      <c r="N3" s="28">
        <v>45</v>
      </c>
      <c r="O3" s="28">
        <v>50</v>
      </c>
      <c r="P3" s="28">
        <v>55</v>
      </c>
      <c r="Q3" s="28">
        <v>60</v>
      </c>
      <c r="R3" s="28">
        <v>65</v>
      </c>
      <c r="S3" s="28">
        <v>70</v>
      </c>
      <c r="T3" s="28">
        <v>75</v>
      </c>
      <c r="U3" s="28">
        <v>80</v>
      </c>
      <c r="V3" s="28">
        <v>85</v>
      </c>
    </row>
    <row r="4" spans="1:22" hidden="1" x14ac:dyDescent="0.3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idden="1" x14ac:dyDescent="0.3">
      <c r="J5" s="28">
        <f t="shared" ref="J5:V5" si="0">RADIANS(J3)</f>
        <v>0.43633231299858238</v>
      </c>
      <c r="K5" s="28">
        <f t="shared" si="0"/>
        <v>0.52359877559829882</v>
      </c>
      <c r="L5" s="28">
        <f t="shared" si="0"/>
        <v>0.6108652381980153</v>
      </c>
      <c r="M5" s="28">
        <f t="shared" si="0"/>
        <v>0.69813170079773179</v>
      </c>
      <c r="N5" s="28">
        <f t="shared" si="0"/>
        <v>0.78539816339744828</v>
      </c>
      <c r="O5" s="28">
        <f t="shared" si="0"/>
        <v>0.87266462599716477</v>
      </c>
      <c r="P5" s="28">
        <f t="shared" si="0"/>
        <v>0.95993108859688125</v>
      </c>
      <c r="Q5" s="28">
        <f t="shared" si="0"/>
        <v>1.0471975511965976</v>
      </c>
      <c r="R5" s="28">
        <f t="shared" si="0"/>
        <v>1.1344640137963142</v>
      </c>
      <c r="S5" s="28">
        <f t="shared" si="0"/>
        <v>1.2217304763960306</v>
      </c>
      <c r="T5" s="28">
        <f t="shared" si="0"/>
        <v>1.3089969389957472</v>
      </c>
      <c r="U5" s="28">
        <f t="shared" si="0"/>
        <v>1.3962634015954636</v>
      </c>
      <c r="V5" s="28">
        <f t="shared" si="0"/>
        <v>1.4835298641951802</v>
      </c>
    </row>
    <row r="6" spans="1:22" x14ac:dyDescent="0.3">
      <c r="F6" s="3" t="s">
        <v>34</v>
      </c>
      <c r="G6" s="28">
        <v>0</v>
      </c>
      <c r="H6" s="28" t="s">
        <v>70</v>
      </c>
      <c r="I6" s="28">
        <f>G6*12</f>
        <v>0</v>
      </c>
      <c r="J6" s="9">
        <f>TAN(J$5)*$I6-(0.5*$B$24)*POWER($I6/($B$21*COS(J$5)), 2)</f>
        <v>0</v>
      </c>
      <c r="K6" s="9">
        <f t="shared" ref="J6:V7" si="1">TAN(K$5)*$I6-(0.5*$B$24)*POWER($I6/($B$21*COS(K$5)), 2)</f>
        <v>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</row>
    <row r="7" spans="1:22" x14ac:dyDescent="0.3">
      <c r="A7" s="2" t="s">
        <v>10</v>
      </c>
      <c r="B7" s="12">
        <v>8</v>
      </c>
      <c r="C7" t="s">
        <v>3</v>
      </c>
      <c r="D7" s="12">
        <v>2.25</v>
      </c>
      <c r="E7" t="s">
        <v>4</v>
      </c>
      <c r="G7">
        <v>1</v>
      </c>
      <c r="I7" s="28">
        <f t="shared" ref="I7:I46" si="2">G7*12</f>
        <v>12</v>
      </c>
      <c r="J7" s="9">
        <f t="shared" si="1"/>
        <v>5.3938852147938645</v>
      </c>
      <c r="K7" s="9">
        <f t="shared" si="1"/>
        <v>6.7071862179468704</v>
      </c>
      <c r="L7" s="9">
        <f t="shared" si="1"/>
        <v>8.1554557771507064</v>
      </c>
      <c r="M7" s="9">
        <f t="shared" si="1"/>
        <v>9.7867212135809218</v>
      </c>
      <c r="N7" s="9">
        <f t="shared" si="1"/>
        <v>11.66847448150704</v>
      </c>
      <c r="O7" s="9">
        <f t="shared" si="1"/>
        <v>13.899851379554313</v>
      </c>
      <c r="P7" s="9">
        <f t="shared" si="1"/>
        <v>16.6339224824554</v>
      </c>
      <c r="Q7" s="9">
        <f t="shared" si="1"/>
        <v>20.121558653840605</v>
      </c>
      <c r="R7" s="9">
        <f t="shared" si="1"/>
        <v>24.805992286995075</v>
      </c>
      <c r="S7" s="9">
        <f t="shared" si="1"/>
        <v>31.552684177104581</v>
      </c>
      <c r="T7" s="9">
        <f t="shared" si="1"/>
        <v>42.310069532783857</v>
      </c>
      <c r="U7" s="9">
        <f t="shared" si="1"/>
        <v>62.558118933039623</v>
      </c>
      <c r="V7" s="9">
        <f t="shared" si="1"/>
        <v>115.33860757518408</v>
      </c>
    </row>
    <row r="8" spans="1:22" x14ac:dyDescent="0.3">
      <c r="B8" s="13">
        <f>B7*12+D7</f>
        <v>98.25</v>
      </c>
      <c r="C8" t="s">
        <v>4</v>
      </c>
      <c r="G8">
        <v>2</v>
      </c>
      <c r="I8" s="28">
        <f t="shared" si="2"/>
        <v>24</v>
      </c>
      <c r="J8" s="9">
        <f t="shared" ref="J8:V23" si="3">TAN(J$5)*$I8-(0.5*$B$24)*POWER($I8/($B$21*COS(J$5)), 2)</f>
        <v>10.384157063455493</v>
      </c>
      <c r="K8" s="9">
        <f t="shared" si="3"/>
        <v>12.972338411236464</v>
      </c>
      <c r="L8" s="9">
        <f t="shared" si="3"/>
        <v>15.816842191569787</v>
      </c>
      <c r="M8" s="9">
        <f t="shared" si="3"/>
        <v>19.008493706068968</v>
      </c>
      <c r="N8" s="9">
        <f t="shared" si="3"/>
        <v>22.673897926028165</v>
      </c>
      <c r="O8" s="9">
        <f t="shared" si="3"/>
        <v>26.997319295956213</v>
      </c>
      <c r="P8" s="9">
        <f t="shared" si="3"/>
        <v>32.260137768010864</v>
      </c>
      <c r="Q8" s="9">
        <f t="shared" si="3"/>
        <v>38.917015233709378</v>
      </c>
      <c r="R8" s="9">
        <f t="shared" si="3"/>
        <v>47.755803055750889</v>
      </c>
      <c r="S8" s="9">
        <f t="shared" si="3"/>
        <v>60.271278641507401</v>
      </c>
      <c r="T8" s="9">
        <f t="shared" si="3"/>
        <v>79.671058749482384</v>
      </c>
      <c r="U8" s="9">
        <f t="shared" si="3"/>
        <v>114.12171206133354</v>
      </c>
      <c r="V8" s="9">
        <f t="shared" si="3"/>
        <v>187.03317503446397</v>
      </c>
    </row>
    <row r="9" spans="1:22" x14ac:dyDescent="0.3">
      <c r="G9">
        <v>3</v>
      </c>
      <c r="I9" s="28">
        <f t="shared" si="2"/>
        <v>36</v>
      </c>
      <c r="J9" s="9">
        <f t="shared" si="3"/>
        <v>14.970815545984884</v>
      </c>
      <c r="K9" s="9">
        <f t="shared" si="3"/>
        <v>18.79545657986878</v>
      </c>
      <c r="L9" s="9">
        <f t="shared" si="3"/>
        <v>22.984159243257242</v>
      </c>
      <c r="M9" s="9">
        <f t="shared" si="3"/>
        <v>27.665317477464143</v>
      </c>
      <c r="N9" s="9">
        <f t="shared" si="3"/>
        <v>33.016270333563369</v>
      </c>
      <c r="O9" s="9">
        <f t="shared" si="3"/>
        <v>39.292403749205704</v>
      </c>
      <c r="P9" s="9">
        <f t="shared" si="3"/>
        <v>46.878645856666381</v>
      </c>
      <c r="Q9" s="9">
        <f t="shared" si="3"/>
        <v>56.386369739606323</v>
      </c>
      <c r="R9" s="9">
        <f t="shared" si="3"/>
        <v>68.849432306267431</v>
      </c>
      <c r="S9" s="9">
        <f t="shared" si="3"/>
        <v>86.155783393208466</v>
      </c>
      <c r="T9" s="9">
        <f t="shared" si="3"/>
        <v>112.08296765009557</v>
      </c>
      <c r="U9" s="9">
        <f t="shared" si="3"/>
        <v>154.69077938488175</v>
      </c>
      <c r="V9" s="9">
        <f t="shared" si="3"/>
        <v>215.08370237783973</v>
      </c>
    </row>
    <row r="10" spans="1:22" x14ac:dyDescent="0.3">
      <c r="A10" s="2" t="s">
        <v>7</v>
      </c>
      <c r="B10" s="12">
        <v>22.5</v>
      </c>
      <c r="C10" t="s">
        <v>4</v>
      </c>
      <c r="G10">
        <v>4</v>
      </c>
      <c r="I10" s="28">
        <f t="shared" si="2"/>
        <v>48</v>
      </c>
      <c r="J10" s="9">
        <f t="shared" si="3"/>
        <v>19.153860662382037</v>
      </c>
      <c r="K10" s="9">
        <f t="shared" si="3"/>
        <v>24.176540723843818</v>
      </c>
      <c r="L10" s="9">
        <f t="shared" si="3"/>
        <v>29.657406932213078</v>
      </c>
      <c r="M10" s="9">
        <f t="shared" si="3"/>
        <v>35.757192527766442</v>
      </c>
      <c r="N10" s="9">
        <f t="shared" si="3"/>
        <v>42.695591704112672</v>
      </c>
      <c r="O10" s="9">
        <f t="shared" si="3"/>
        <v>50.785104739302781</v>
      </c>
      <c r="P10" s="9">
        <f t="shared" si="3"/>
        <v>60.489446748421955</v>
      </c>
      <c r="Q10" s="9">
        <f t="shared" si="3"/>
        <v>72.529622171531443</v>
      </c>
      <c r="R10" s="9">
        <f t="shared" si="3"/>
        <v>88.08688003854472</v>
      </c>
      <c r="S10" s="9">
        <f t="shared" si="3"/>
        <v>109.20619843220777</v>
      </c>
      <c r="T10" s="9">
        <f t="shared" si="3"/>
        <v>139.54579623462342</v>
      </c>
      <c r="U10" s="9">
        <f t="shared" si="3"/>
        <v>184.26532090368423</v>
      </c>
      <c r="V10" s="9">
        <f t="shared" si="3"/>
        <v>199.49018960531112</v>
      </c>
    </row>
    <row r="11" spans="1:22" x14ac:dyDescent="0.3">
      <c r="G11" s="28">
        <v>5</v>
      </c>
      <c r="H11" s="28"/>
      <c r="I11" s="28">
        <f t="shared" si="2"/>
        <v>60</v>
      </c>
      <c r="J11" s="9">
        <f t="shared" si="3"/>
        <v>22.933292412646956</v>
      </c>
      <c r="K11" s="9">
        <f t="shared" si="3"/>
        <v>29.115590843161577</v>
      </c>
      <c r="L11" s="9">
        <f t="shared" si="3"/>
        <v>35.836585258437282</v>
      </c>
      <c r="M11" s="9">
        <f t="shared" si="3"/>
        <v>43.284118856975859</v>
      </c>
      <c r="N11" s="9">
        <f t="shared" si="3"/>
        <v>51.711862037676049</v>
      </c>
      <c r="O11" s="9">
        <f t="shared" si="3"/>
        <v>61.475422266247442</v>
      </c>
      <c r="P11" s="9">
        <f t="shared" si="3"/>
        <v>73.092540443277599</v>
      </c>
      <c r="Q11" s="9">
        <f t="shared" si="3"/>
        <v>87.346772529484738</v>
      </c>
      <c r="R11" s="9">
        <f t="shared" si="3"/>
        <v>105.46814625258274</v>
      </c>
      <c r="S11" s="9">
        <f t="shared" si="3"/>
        <v>129.42252375850535</v>
      </c>
      <c r="T11" s="9">
        <f t="shared" si="3"/>
        <v>162.05954450306595</v>
      </c>
      <c r="U11" s="9">
        <f t="shared" si="3"/>
        <v>202.84533661774105</v>
      </c>
      <c r="V11" s="9">
        <f t="shared" si="3"/>
        <v>140.25263671687844</v>
      </c>
    </row>
    <row r="12" spans="1:22" x14ac:dyDescent="0.3">
      <c r="A12" s="14" t="s">
        <v>2</v>
      </c>
      <c r="B12">
        <f>B8-B10</f>
        <v>75.75</v>
      </c>
      <c r="C12" t="s">
        <v>4</v>
      </c>
      <c r="G12">
        <v>6</v>
      </c>
      <c r="I12" s="28">
        <f t="shared" si="2"/>
        <v>72</v>
      </c>
      <c r="J12" s="9">
        <f t="shared" si="3"/>
        <v>26.309110796779635</v>
      </c>
      <c r="K12" s="9">
        <f t="shared" si="3"/>
        <v>33.612606937822065</v>
      </c>
      <c r="L12" s="9">
        <f t="shared" si="3"/>
        <v>41.52169422192987</v>
      </c>
      <c r="M12" s="9">
        <f t="shared" si="3"/>
        <v>50.246096465092407</v>
      </c>
      <c r="N12" s="9">
        <f t="shared" si="3"/>
        <v>60.065081334253506</v>
      </c>
      <c r="O12" s="9">
        <f t="shared" si="3"/>
        <v>71.363356330039707</v>
      </c>
      <c r="P12" s="9">
        <f t="shared" si="3"/>
        <v>84.6879269412333</v>
      </c>
      <c r="Q12" s="9">
        <f t="shared" si="3"/>
        <v>100.83782081346618</v>
      </c>
      <c r="R12" s="9">
        <f t="shared" si="3"/>
        <v>120.99323094838149</v>
      </c>
      <c r="S12" s="9">
        <f t="shared" si="3"/>
        <v>146.8047593721011</v>
      </c>
      <c r="T12" s="9">
        <f t="shared" si="3"/>
        <v>179.62421245542311</v>
      </c>
      <c r="U12" s="9">
        <f t="shared" si="3"/>
        <v>210.43082652705215</v>
      </c>
      <c r="V12" s="9">
        <f t="shared" si="3"/>
        <v>37.371043712541791</v>
      </c>
    </row>
    <row r="13" spans="1:22" x14ac:dyDescent="0.3">
      <c r="G13">
        <v>7</v>
      </c>
      <c r="I13" s="28">
        <f t="shared" si="2"/>
        <v>84</v>
      </c>
      <c r="J13" s="9">
        <f t="shared" si="3"/>
        <v>29.281315814780072</v>
      </c>
      <c r="K13" s="9">
        <f t="shared" si="3"/>
        <v>37.667589007825278</v>
      </c>
      <c r="L13" s="9">
        <f t="shared" si="3"/>
        <v>46.712733822690829</v>
      </c>
      <c r="M13" s="9">
        <f t="shared" si="3"/>
        <v>56.64312535211608</v>
      </c>
      <c r="N13" s="9">
        <f t="shared" si="3"/>
        <v>67.755249593845051</v>
      </c>
      <c r="O13" s="9">
        <f t="shared" si="3"/>
        <v>80.448906930679527</v>
      </c>
      <c r="P13" s="9">
        <f t="shared" si="3"/>
        <v>95.275606242289044</v>
      </c>
      <c r="Q13" s="9">
        <f t="shared" si="3"/>
        <v>113.0027670234758</v>
      </c>
      <c r="R13" s="9">
        <f t="shared" si="3"/>
        <v>134.66213412594101</v>
      </c>
      <c r="S13" s="9">
        <f t="shared" si="3"/>
        <v>161.35290527299514</v>
      </c>
      <c r="T13" s="9">
        <f t="shared" si="3"/>
        <v>192.23980009169497</v>
      </c>
      <c r="U13" s="9">
        <f t="shared" si="3"/>
        <v>207.02179063161753</v>
      </c>
      <c r="V13" s="9">
        <f t="shared" si="3"/>
        <v>-109.15458940769906</v>
      </c>
    </row>
    <row r="14" spans="1:22" x14ac:dyDescent="0.3">
      <c r="A14" s="2" t="s">
        <v>19</v>
      </c>
      <c r="B14" s="12">
        <v>6</v>
      </c>
      <c r="C14" t="s">
        <v>4</v>
      </c>
      <c r="G14">
        <v>8</v>
      </c>
      <c r="I14" s="28">
        <f t="shared" si="2"/>
        <v>96</v>
      </c>
      <c r="J14" s="9">
        <f t="shared" si="3"/>
        <v>31.849907466648283</v>
      </c>
      <c r="K14" s="9">
        <f t="shared" si="3"/>
        <v>41.280537053171209</v>
      </c>
      <c r="L14" s="9">
        <f t="shared" si="3"/>
        <v>51.409704060720173</v>
      </c>
      <c r="M14" s="9">
        <f t="shared" si="3"/>
        <v>62.475205518046877</v>
      </c>
      <c r="N14" s="9">
        <f t="shared" si="3"/>
        <v>74.78236681645069</v>
      </c>
      <c r="O14" s="9">
        <f t="shared" si="3"/>
        <v>88.732074068166952</v>
      </c>
      <c r="P14" s="9">
        <f t="shared" si="3"/>
        <v>104.85557834644484</v>
      </c>
      <c r="Q14" s="9">
        <f t="shared" si="3"/>
        <v>123.84161115951359</v>
      </c>
      <c r="R14" s="9">
        <f t="shared" si="3"/>
        <v>146.47485578526124</v>
      </c>
      <c r="S14" s="9">
        <f t="shared" si="3"/>
        <v>173.06696146118742</v>
      </c>
      <c r="T14" s="9">
        <f t="shared" si="3"/>
        <v>199.90630741188144</v>
      </c>
      <c r="U14" s="9">
        <f t="shared" si="3"/>
        <v>192.6182289314371</v>
      </c>
      <c r="V14" s="9">
        <f t="shared" si="3"/>
        <v>-299.32426264384503</v>
      </c>
    </row>
    <row r="15" spans="1:22" x14ac:dyDescent="0.3">
      <c r="A15" s="14" t="s">
        <v>23</v>
      </c>
      <c r="B15" s="12">
        <f>C15*D15</f>
        <v>5742</v>
      </c>
      <c r="C15">
        <v>0.9</v>
      </c>
      <c r="D15">
        <v>6380</v>
      </c>
      <c r="G15">
        <v>9</v>
      </c>
      <c r="I15" s="28">
        <f t="shared" si="2"/>
        <v>108</v>
      </c>
      <c r="J15" s="9">
        <f t="shared" si="3"/>
        <v>34.014885752384245</v>
      </c>
      <c r="K15" s="9">
        <f t="shared" si="3"/>
        <v>44.451451073859857</v>
      </c>
      <c r="L15" s="9">
        <f t="shared" si="3"/>
        <v>55.612604936017888</v>
      </c>
      <c r="M15" s="9">
        <f t="shared" si="3"/>
        <v>67.742336962884792</v>
      </c>
      <c r="N15" s="9">
        <f t="shared" si="3"/>
        <v>81.14643300207041</v>
      </c>
      <c r="O15" s="9">
        <f t="shared" si="3"/>
        <v>96.212857742501967</v>
      </c>
      <c r="P15" s="9">
        <f t="shared" si="3"/>
        <v>113.42784325370073</v>
      </c>
      <c r="Q15" s="9">
        <f t="shared" si="3"/>
        <v>133.35435322157957</v>
      </c>
      <c r="R15" s="9">
        <f t="shared" si="3"/>
        <v>156.43139592634219</v>
      </c>
      <c r="S15" s="9">
        <f t="shared" si="3"/>
        <v>181.94692793667792</v>
      </c>
      <c r="T15" s="9">
        <f t="shared" si="3"/>
        <v>202.62373441598268</v>
      </c>
      <c r="U15" s="9">
        <f t="shared" si="3"/>
        <v>167.22014142651108</v>
      </c>
      <c r="V15" s="9">
        <f t="shared" si="3"/>
        <v>-533.13797599589452</v>
      </c>
    </row>
    <row r="16" spans="1:22" x14ac:dyDescent="0.3">
      <c r="A16" s="14" t="s">
        <v>22</v>
      </c>
      <c r="B16" s="13">
        <f>PI()*B14</f>
        <v>18.849555921538759</v>
      </c>
      <c r="C16" t="s">
        <v>4</v>
      </c>
      <c r="G16" s="28">
        <v>10</v>
      </c>
      <c r="H16" s="28"/>
      <c r="I16" s="28">
        <f t="shared" si="2"/>
        <v>120</v>
      </c>
      <c r="J16" s="9">
        <f t="shared" si="3"/>
        <v>35.776250671987988</v>
      </c>
      <c r="K16" s="9">
        <f t="shared" si="3"/>
        <v>47.180331069891231</v>
      </c>
      <c r="L16" s="9">
        <f t="shared" si="3"/>
        <v>59.321436448583967</v>
      </c>
      <c r="M16" s="9">
        <f t="shared" si="3"/>
        <v>72.444519686629846</v>
      </c>
      <c r="N16" s="9">
        <f t="shared" si="3"/>
        <v>86.84744815070421</v>
      </c>
      <c r="O16" s="9">
        <f t="shared" si="3"/>
        <v>102.89125795368457</v>
      </c>
      <c r="P16" s="9">
        <f t="shared" si="3"/>
        <v>120.99240096405667</v>
      </c>
      <c r="Q16" s="9">
        <f t="shared" si="3"/>
        <v>141.54099320967373</v>
      </c>
      <c r="R16" s="9">
        <f t="shared" si="3"/>
        <v>164.53175454918392</v>
      </c>
      <c r="S16" s="9">
        <f t="shared" si="3"/>
        <v>187.99280469946672</v>
      </c>
      <c r="T16" s="9">
        <f t="shared" si="3"/>
        <v>200.39208110399849</v>
      </c>
      <c r="U16" s="9">
        <f t="shared" si="3"/>
        <v>130.8275281168394</v>
      </c>
      <c r="V16" s="9">
        <f t="shared" si="3"/>
        <v>-810.5957294638481</v>
      </c>
    </row>
    <row r="17" spans="1:22" x14ac:dyDescent="0.3">
      <c r="A17" s="14" t="s">
        <v>33</v>
      </c>
      <c r="B17" s="12">
        <v>0.22700000000000001</v>
      </c>
      <c r="G17">
        <v>11</v>
      </c>
      <c r="I17" s="28">
        <f t="shared" si="2"/>
        <v>132</v>
      </c>
      <c r="J17" s="9">
        <f t="shared" si="3"/>
        <v>37.134002225459483</v>
      </c>
      <c r="K17" s="9">
        <f t="shared" si="3"/>
        <v>49.467177041265344</v>
      </c>
      <c r="L17" s="9">
        <f t="shared" si="3"/>
        <v>62.536198598418437</v>
      </c>
      <c r="M17" s="9">
        <f t="shared" si="3"/>
        <v>76.58175368928201</v>
      </c>
      <c r="N17" s="9">
        <f t="shared" si="3"/>
        <v>91.885412262352077</v>
      </c>
      <c r="O17" s="9">
        <f t="shared" si="3"/>
        <v>108.76727470171477</v>
      </c>
      <c r="P17" s="9">
        <f t="shared" si="3"/>
        <v>127.54925147751264</v>
      </c>
      <c r="Q17" s="9">
        <f t="shared" si="3"/>
        <v>148.40153112379596</v>
      </c>
      <c r="R17" s="9">
        <f t="shared" si="3"/>
        <v>170.77593165378636</v>
      </c>
      <c r="S17" s="9">
        <f t="shared" si="3"/>
        <v>191.20459174955371</v>
      </c>
      <c r="T17" s="9">
        <f t="shared" si="3"/>
        <v>193.21134747592896</v>
      </c>
      <c r="U17" s="9">
        <f t="shared" si="3"/>
        <v>83.440389002421966</v>
      </c>
      <c r="V17" s="9">
        <f t="shared" si="3"/>
        <v>-1131.6975230477055</v>
      </c>
    </row>
    <row r="18" spans="1:22" x14ac:dyDescent="0.3">
      <c r="G18">
        <v>12</v>
      </c>
      <c r="I18" s="28">
        <f t="shared" si="2"/>
        <v>144</v>
      </c>
      <c r="J18" s="9">
        <f t="shared" si="3"/>
        <v>38.088140412798737</v>
      </c>
      <c r="K18" s="9">
        <f t="shared" si="3"/>
        <v>51.311988987982161</v>
      </c>
      <c r="L18" s="9">
        <f t="shared" si="3"/>
        <v>65.256891385521286</v>
      </c>
      <c r="M18" s="9">
        <f t="shared" si="3"/>
        <v>80.154038970841327</v>
      </c>
      <c r="N18" s="9">
        <f t="shared" si="3"/>
        <v>96.260325337014052</v>
      </c>
      <c r="O18" s="9">
        <f t="shared" si="3"/>
        <v>113.84090798659257</v>
      </c>
      <c r="P18" s="9">
        <f t="shared" si="3"/>
        <v>133.09839479406872</v>
      </c>
      <c r="Q18" s="9">
        <f t="shared" si="3"/>
        <v>153.93596696394644</v>
      </c>
      <c r="R18" s="9">
        <f t="shared" si="3"/>
        <v>175.16392724014955</v>
      </c>
      <c r="S18" s="9">
        <f t="shared" si="3"/>
        <v>191.58228908693894</v>
      </c>
      <c r="T18" s="9">
        <f t="shared" si="3"/>
        <v>181.08153353177414</v>
      </c>
      <c r="U18" s="9">
        <f t="shared" si="3"/>
        <v>25.05872408325888</v>
      </c>
      <c r="V18" s="9">
        <f t="shared" si="3"/>
        <v>-1496.4433567474671</v>
      </c>
    </row>
    <row r="19" spans="1:22" x14ac:dyDescent="0.3">
      <c r="A19" s="2" t="s">
        <v>20</v>
      </c>
      <c r="B19" s="13">
        <f>B15*B16</f>
        <v>108234.15010147555</v>
      </c>
      <c r="C19" t="s">
        <v>24</v>
      </c>
      <c r="G19">
        <v>13</v>
      </c>
      <c r="I19" s="28">
        <f t="shared" si="2"/>
        <v>156</v>
      </c>
      <c r="J19" s="9">
        <f t="shared" si="3"/>
        <v>38.638665234005764</v>
      </c>
      <c r="K19" s="9">
        <f t="shared" si="3"/>
        <v>52.71476691004171</v>
      </c>
      <c r="L19" s="9">
        <f t="shared" si="3"/>
        <v>67.483514809892512</v>
      </c>
      <c r="M19" s="9">
        <f t="shared" si="3"/>
        <v>83.161375531307755</v>
      </c>
      <c r="N19" s="9">
        <f t="shared" si="3"/>
        <v>99.972187374690108</v>
      </c>
      <c r="O19" s="9">
        <f t="shared" si="3"/>
        <v>118.11215780831795</v>
      </c>
      <c r="P19" s="9">
        <f t="shared" si="3"/>
        <v>137.63983091372481</v>
      </c>
      <c r="Q19" s="9">
        <f t="shared" si="3"/>
        <v>158.14430073012511</v>
      </c>
      <c r="R19" s="9">
        <f t="shared" si="3"/>
        <v>177.69574130827343</v>
      </c>
      <c r="S19" s="9">
        <f t="shared" si="3"/>
        <v>189.12589671162237</v>
      </c>
      <c r="T19" s="9">
        <f t="shared" si="3"/>
        <v>164.00263927153384</v>
      </c>
      <c r="U19" s="9">
        <f t="shared" si="3"/>
        <v>-44.317466640650196</v>
      </c>
      <c r="V19" s="9">
        <f t="shared" si="3"/>
        <v>-1904.8332305631332</v>
      </c>
    </row>
    <row r="20" spans="1:22" x14ac:dyDescent="0.3">
      <c r="A20" s="2" t="s">
        <v>20</v>
      </c>
      <c r="B20" s="15">
        <f>($B$17*B19)/(12*60)</f>
        <v>34.123822323659653</v>
      </c>
      <c r="C20" t="s">
        <v>21</v>
      </c>
      <c r="G20">
        <v>14</v>
      </c>
      <c r="I20" s="28">
        <f t="shared" si="2"/>
        <v>168</v>
      </c>
      <c r="J20" s="9">
        <f t="shared" si="3"/>
        <v>38.785576689080536</v>
      </c>
      <c r="K20" s="9">
        <f t="shared" si="3"/>
        <v>53.675510807443978</v>
      </c>
      <c r="L20" s="9">
        <f t="shared" si="3"/>
        <v>69.216068871532087</v>
      </c>
      <c r="M20" s="9">
        <f t="shared" si="3"/>
        <v>85.603763370681293</v>
      </c>
      <c r="N20" s="9">
        <f t="shared" si="3"/>
        <v>103.02099837538024</v>
      </c>
      <c r="O20" s="9">
        <f t="shared" si="3"/>
        <v>121.58102416689084</v>
      </c>
      <c r="P20" s="9">
        <f t="shared" si="3"/>
        <v>141.17355983648096</v>
      </c>
      <c r="Q20" s="9">
        <f t="shared" si="3"/>
        <v>161.02653242233188</v>
      </c>
      <c r="R20" s="9">
        <f t="shared" si="3"/>
        <v>178.37137385815814</v>
      </c>
      <c r="S20" s="9">
        <f t="shared" si="3"/>
        <v>183.83541462360421</v>
      </c>
      <c r="T20" s="9">
        <f t="shared" si="3"/>
        <v>141.97466469520845</v>
      </c>
      <c r="U20" s="9">
        <f t="shared" si="3"/>
        <v>-124.68818316930458</v>
      </c>
      <c r="V20" s="9">
        <f t="shared" si="3"/>
        <v>-2356.8671444947031</v>
      </c>
    </row>
    <row r="21" spans="1:22" x14ac:dyDescent="0.3">
      <c r="B21">
        <f>B20*12</f>
        <v>409.48586788391583</v>
      </c>
      <c r="C21" t="s">
        <v>71</v>
      </c>
      <c r="G21" s="28">
        <v>15</v>
      </c>
      <c r="H21" s="28"/>
      <c r="I21" s="28">
        <f t="shared" si="2"/>
        <v>180</v>
      </c>
      <c r="J21" s="9">
        <f t="shared" si="3"/>
        <v>38.528874778023081</v>
      </c>
      <c r="K21" s="9">
        <f t="shared" si="3"/>
        <v>54.194220680188948</v>
      </c>
      <c r="L21" s="9">
        <f t="shared" si="3"/>
        <v>70.454553570440069</v>
      </c>
      <c r="M21" s="9">
        <f t="shared" si="3"/>
        <v>87.481202488961941</v>
      </c>
      <c r="N21" s="9">
        <f t="shared" si="3"/>
        <v>105.40675833908449</v>
      </c>
      <c r="O21" s="9">
        <f t="shared" si="3"/>
        <v>124.2475070623114</v>
      </c>
      <c r="P21" s="9">
        <f t="shared" si="3"/>
        <v>143.69958156233719</v>
      </c>
      <c r="Q21" s="9">
        <f t="shared" si="3"/>
        <v>162.5826620405669</v>
      </c>
      <c r="R21" s="9">
        <f t="shared" si="3"/>
        <v>177.19082488980351</v>
      </c>
      <c r="S21" s="9">
        <f t="shared" si="3"/>
        <v>175.71084282288416</v>
      </c>
      <c r="T21" s="9">
        <f t="shared" si="3"/>
        <v>114.99760980279757</v>
      </c>
      <c r="U21" s="9">
        <f t="shared" si="3"/>
        <v>-216.05342550270484</v>
      </c>
      <c r="V21" s="9">
        <f t="shared" si="3"/>
        <v>-2852.545098542178</v>
      </c>
    </row>
    <row r="22" spans="1:22" x14ac:dyDescent="0.3">
      <c r="G22">
        <v>16</v>
      </c>
      <c r="I22" s="28">
        <f t="shared" si="2"/>
        <v>192</v>
      </c>
      <c r="J22" s="9">
        <f t="shared" si="3"/>
        <v>37.868559500833406</v>
      </c>
      <c r="K22" s="9">
        <f t="shared" si="3"/>
        <v>54.270896528276687</v>
      </c>
      <c r="L22" s="9">
        <f t="shared" si="3"/>
        <v>71.198968906616415</v>
      </c>
      <c r="M22" s="9">
        <f t="shared" si="3"/>
        <v>88.793692886149771</v>
      </c>
      <c r="N22" s="9">
        <f t="shared" si="3"/>
        <v>107.12946726580279</v>
      </c>
      <c r="O22" s="9">
        <f t="shared" si="3"/>
        <v>126.11160649457952</v>
      </c>
      <c r="P22" s="9">
        <f t="shared" si="3"/>
        <v>145.21789609129345</v>
      </c>
      <c r="Q22" s="9">
        <f t="shared" si="3"/>
        <v>162.81268958483003</v>
      </c>
      <c r="R22" s="9">
        <f t="shared" si="3"/>
        <v>174.15409440320971</v>
      </c>
      <c r="S22" s="9">
        <f t="shared" si="3"/>
        <v>164.75218130946234</v>
      </c>
      <c r="T22" s="9">
        <f t="shared" si="3"/>
        <v>83.071474594301321</v>
      </c>
      <c r="U22" s="9">
        <f t="shared" si="3"/>
        <v>-318.4131936408512</v>
      </c>
      <c r="V22" s="9">
        <f t="shared" si="3"/>
        <v>-3391.8670927055591</v>
      </c>
    </row>
    <row r="23" spans="1:22" x14ac:dyDescent="0.3">
      <c r="A23" s="2" t="s">
        <v>29</v>
      </c>
      <c r="B23">
        <v>32.17</v>
      </c>
      <c r="C23" t="s">
        <v>27</v>
      </c>
      <c r="G23">
        <v>17</v>
      </c>
      <c r="I23" s="28">
        <f t="shared" si="2"/>
        <v>204</v>
      </c>
      <c r="J23" s="9">
        <f t="shared" si="3"/>
        <v>36.804630857511476</v>
      </c>
      <c r="K23" s="9">
        <f t="shared" si="3"/>
        <v>53.905538351707122</v>
      </c>
      <c r="L23" s="9">
        <f t="shared" si="3"/>
        <v>71.449314880061138</v>
      </c>
      <c r="M23" s="9">
        <f t="shared" si="3"/>
        <v>89.541234562244668</v>
      </c>
      <c r="N23" s="9">
        <f t="shared" si="3"/>
        <v>108.18912515553517</v>
      </c>
      <c r="O23" s="9">
        <f t="shared" si="3"/>
        <v>127.17332246369524</v>
      </c>
      <c r="P23" s="9">
        <f t="shared" si="3"/>
        <v>145.72850342334982</v>
      </c>
      <c r="Q23" s="9">
        <f t="shared" si="3"/>
        <v>161.71661505512137</v>
      </c>
      <c r="R23" s="9">
        <f t="shared" si="3"/>
        <v>169.26118239837649</v>
      </c>
      <c r="S23" s="9">
        <f t="shared" si="3"/>
        <v>150.95943008333882</v>
      </c>
      <c r="T23" s="9">
        <f t="shared" si="3"/>
        <v>46.196259069719986</v>
      </c>
      <c r="U23" s="9">
        <f t="shared" si="3"/>
        <v>-431.76748758374265</v>
      </c>
      <c r="V23" s="9">
        <f t="shared" si="3"/>
        <v>-3974.8331269848422</v>
      </c>
    </row>
    <row r="24" spans="1:22" x14ac:dyDescent="0.3">
      <c r="B24">
        <f>B23*12</f>
        <v>386.04</v>
      </c>
      <c r="C24" t="s">
        <v>28</v>
      </c>
      <c r="G24">
        <v>18</v>
      </c>
      <c r="I24" s="28">
        <f t="shared" si="2"/>
        <v>216</v>
      </c>
      <c r="J24" s="9">
        <f t="shared" ref="J24:V24" si="4">TAN(J$5)*$I24-(0.5*$B$24)*POWER($I24/($B$21*COS(J$5)), 2)</f>
        <v>35.337088848057306</v>
      </c>
      <c r="K24" s="9">
        <f t="shared" si="4"/>
        <v>53.098146150480275</v>
      </c>
      <c r="L24" s="9">
        <f t="shared" si="4"/>
        <v>71.205591490774253</v>
      </c>
      <c r="M24" s="9">
        <f t="shared" si="4"/>
        <v>89.723827517246718</v>
      </c>
      <c r="N24" s="9">
        <f t="shared" si="4"/>
        <v>108.58573200828167</v>
      </c>
      <c r="O24" s="9">
        <f t="shared" si="4"/>
        <v>127.43265496965853</v>
      </c>
      <c r="P24" s="9">
        <f t="shared" si="4"/>
        <v>145.2314035585062</v>
      </c>
      <c r="Q24" s="9">
        <f t="shared" si="4"/>
        <v>159.29443845144084</v>
      </c>
      <c r="R24" s="9">
        <f t="shared" si="4"/>
        <v>162.51208887530407</v>
      </c>
      <c r="S24" s="9">
        <f t="shared" si="4"/>
        <v>134.33258914451341</v>
      </c>
      <c r="T24" s="9">
        <f t="shared" si="4"/>
        <v>4.3719632290531081</v>
      </c>
      <c r="U24" s="9">
        <f t="shared" si="4"/>
        <v>-556.11630733138031</v>
      </c>
      <c r="V24" s="9">
        <f t="shared" si="4"/>
        <v>-4601.4432013800288</v>
      </c>
    </row>
    <row r="25" spans="1:22" x14ac:dyDescent="0.3">
      <c r="G25">
        <v>19</v>
      </c>
      <c r="I25" s="28">
        <f t="shared" si="2"/>
        <v>228</v>
      </c>
      <c r="J25" s="9">
        <f t="shared" ref="J25:V40" si="5">TAN(J$5)*$I25-(0.5*$B$24)*POWER($I25/($B$21*COS(J$5)), 2)</f>
        <v>33.465933472470908</v>
      </c>
      <c r="K25" s="9">
        <f t="shared" si="5"/>
        <v>51.848719924596182</v>
      </c>
      <c r="L25" s="9">
        <f t="shared" si="5"/>
        <v>70.467798738755732</v>
      </c>
      <c r="M25" s="9">
        <f t="shared" si="5"/>
        <v>89.341471751155879</v>
      </c>
      <c r="N25" s="9">
        <f t="shared" si="5"/>
        <v>108.31928782404223</v>
      </c>
      <c r="O25" s="9">
        <f t="shared" si="5"/>
        <v>126.88960401246945</v>
      </c>
      <c r="P25" s="9">
        <f t="shared" si="5"/>
        <v>143.72659649676268</v>
      </c>
      <c r="Q25" s="9">
        <f t="shared" si="5"/>
        <v>155.54615977378856</v>
      </c>
      <c r="R25" s="9">
        <f t="shared" si="5"/>
        <v>153.90681383399249</v>
      </c>
      <c r="S25" s="9">
        <f t="shared" si="5"/>
        <v>114.8716584929864</v>
      </c>
      <c r="T25" s="9">
        <f t="shared" si="5"/>
        <v>-42.401412927699312</v>
      </c>
      <c r="U25" s="9">
        <f t="shared" si="5"/>
        <v>-691.45965288376306</v>
      </c>
      <c r="V25" s="9">
        <f t="shared" si="5"/>
        <v>-5271.6973158911205</v>
      </c>
    </row>
    <row r="26" spans="1:22" x14ac:dyDescent="0.3">
      <c r="G26" s="28">
        <v>20</v>
      </c>
      <c r="H26" s="28"/>
      <c r="I26" s="28">
        <f t="shared" si="2"/>
        <v>240</v>
      </c>
      <c r="J26" s="9">
        <f t="shared" si="5"/>
        <v>31.191164730752291</v>
      </c>
      <c r="K26" s="9">
        <f t="shared" si="5"/>
        <v>50.157259674054757</v>
      </c>
      <c r="L26" s="9">
        <f t="shared" si="5"/>
        <v>69.235936624005546</v>
      </c>
      <c r="M26" s="9">
        <f t="shared" si="5"/>
        <v>88.394167263972207</v>
      </c>
      <c r="N26" s="9">
        <f t="shared" si="5"/>
        <v>107.38979260281687</v>
      </c>
      <c r="O26" s="9">
        <f t="shared" si="5"/>
        <v>125.54416959212793</v>
      </c>
      <c r="P26" s="9">
        <f t="shared" si="5"/>
        <v>141.2140822381192</v>
      </c>
      <c r="Q26" s="9">
        <f t="shared" si="5"/>
        <v>150.47177902216441</v>
      </c>
      <c r="R26" s="9">
        <f t="shared" si="5"/>
        <v>143.44535727444151</v>
      </c>
      <c r="S26" s="9">
        <f t="shared" si="5"/>
        <v>92.576638128757622</v>
      </c>
      <c r="T26" s="9">
        <f t="shared" si="5"/>
        <v>-94.123869400536705</v>
      </c>
      <c r="U26" s="9">
        <f t="shared" si="5"/>
        <v>-837.79752424089202</v>
      </c>
      <c r="V26" s="9">
        <f t="shared" si="5"/>
        <v>-5985.5954705181157</v>
      </c>
    </row>
    <row r="27" spans="1:22" x14ac:dyDescent="0.3">
      <c r="G27">
        <v>21</v>
      </c>
      <c r="I27" s="28">
        <f t="shared" si="2"/>
        <v>252</v>
      </c>
      <c r="J27" s="9">
        <f t="shared" si="5"/>
        <v>28.512782622901398</v>
      </c>
      <c r="K27" s="9">
        <f t="shared" si="5"/>
        <v>48.023765398856128</v>
      </c>
      <c r="L27" s="9">
        <f t="shared" si="5"/>
        <v>67.510005146523795</v>
      </c>
      <c r="M27" s="9">
        <f t="shared" si="5"/>
        <v>86.881914055695646</v>
      </c>
      <c r="N27" s="9">
        <f t="shared" si="5"/>
        <v>105.79724634460558</v>
      </c>
      <c r="O27" s="9">
        <f t="shared" si="5"/>
        <v>123.396351708634</v>
      </c>
      <c r="P27" s="9">
        <f t="shared" si="5"/>
        <v>137.69386078257574</v>
      </c>
      <c r="Q27" s="9">
        <f t="shared" si="5"/>
        <v>144.07129619656831</v>
      </c>
      <c r="R27" s="9">
        <f t="shared" si="5"/>
        <v>131.1277191966513</v>
      </c>
      <c r="S27" s="9">
        <f t="shared" si="5"/>
        <v>67.447528051827021</v>
      </c>
      <c r="T27" s="9">
        <f t="shared" si="5"/>
        <v>-150.79540618945941</v>
      </c>
      <c r="U27" s="9">
        <f t="shared" si="5"/>
        <v>-995.12992140276629</v>
      </c>
      <c r="V27" s="9">
        <f t="shared" si="5"/>
        <v>-6743.1376652610161</v>
      </c>
    </row>
    <row r="28" spans="1:22" x14ac:dyDescent="0.3">
      <c r="G28">
        <v>22</v>
      </c>
      <c r="I28" s="28">
        <f t="shared" si="2"/>
        <v>264</v>
      </c>
      <c r="J28" s="9">
        <f t="shared" si="5"/>
        <v>25.430787148918299</v>
      </c>
      <c r="K28" s="9">
        <f t="shared" si="5"/>
        <v>45.448237099000167</v>
      </c>
      <c r="L28" s="9">
        <f t="shared" si="5"/>
        <v>65.290004306310379</v>
      </c>
      <c r="M28" s="9">
        <f t="shared" si="5"/>
        <v>84.804712126326166</v>
      </c>
      <c r="N28" s="9">
        <f t="shared" si="5"/>
        <v>103.54164904940839</v>
      </c>
      <c r="O28" s="9">
        <f t="shared" si="5"/>
        <v>120.44615036198766</v>
      </c>
      <c r="P28" s="9">
        <f t="shared" si="5"/>
        <v>133.16593213013238</v>
      </c>
      <c r="Q28" s="9">
        <f t="shared" si="5"/>
        <v>136.34471129700046</v>
      </c>
      <c r="R28" s="9">
        <f t="shared" si="5"/>
        <v>116.95389960062198</v>
      </c>
      <c r="S28" s="9">
        <f t="shared" si="5"/>
        <v>39.484328262194708</v>
      </c>
      <c r="T28" s="9">
        <f t="shared" si="5"/>
        <v>-212.41602329446789</v>
      </c>
      <c r="U28" s="9">
        <f t="shared" si="5"/>
        <v>-1163.4568443693868</v>
      </c>
      <c r="V28" s="9">
        <f t="shared" si="5"/>
        <v>-7544.3239001198181</v>
      </c>
    </row>
    <row r="29" spans="1:22" x14ac:dyDescent="0.3">
      <c r="G29">
        <v>23</v>
      </c>
      <c r="I29" s="28">
        <f t="shared" si="2"/>
        <v>276</v>
      </c>
      <c r="J29" s="9">
        <f t="shared" si="5"/>
        <v>21.945178308802909</v>
      </c>
      <c r="K29" s="9">
        <f t="shared" si="5"/>
        <v>42.430674774486931</v>
      </c>
      <c r="L29" s="9">
        <f t="shared" si="5"/>
        <v>62.575934103365398</v>
      </c>
      <c r="M29" s="9">
        <f t="shared" si="5"/>
        <v>82.162561475863868</v>
      </c>
      <c r="N29" s="9">
        <f t="shared" si="5"/>
        <v>100.6230007172253</v>
      </c>
      <c r="O29" s="9">
        <f t="shared" si="5"/>
        <v>116.69356555218891</v>
      </c>
      <c r="P29" s="9">
        <f t="shared" si="5"/>
        <v>127.63029628078914</v>
      </c>
      <c r="Q29" s="9">
        <f t="shared" si="5"/>
        <v>127.29202432346085</v>
      </c>
      <c r="R29" s="9">
        <f t="shared" si="5"/>
        <v>100.92389848635321</v>
      </c>
      <c r="S29" s="9">
        <f t="shared" si="5"/>
        <v>8.687038759860684</v>
      </c>
      <c r="T29" s="9">
        <f t="shared" si="5"/>
        <v>-278.98572071556146</v>
      </c>
      <c r="U29" s="9">
        <f t="shared" si="5"/>
        <v>-1342.7782931407526</v>
      </c>
      <c r="V29" s="9">
        <f t="shared" si="5"/>
        <v>-8389.1541750945271</v>
      </c>
    </row>
    <row r="30" spans="1:22" x14ac:dyDescent="0.3">
      <c r="G30">
        <v>24</v>
      </c>
      <c r="I30" s="28">
        <f t="shared" si="2"/>
        <v>288</v>
      </c>
      <c r="J30" s="9">
        <f t="shared" si="5"/>
        <v>18.055956102555342</v>
      </c>
      <c r="K30" s="9">
        <f t="shared" si="5"/>
        <v>38.971078425316421</v>
      </c>
      <c r="L30" s="9">
        <f t="shared" si="5"/>
        <v>59.367794537688752</v>
      </c>
      <c r="M30" s="9">
        <f t="shared" si="5"/>
        <v>78.955462104308651</v>
      </c>
      <c r="N30" s="9">
        <f t="shared" si="5"/>
        <v>97.041301348056265</v>
      </c>
      <c r="O30" s="9">
        <f t="shared" si="5"/>
        <v>112.13859727923779</v>
      </c>
      <c r="P30" s="9">
        <f t="shared" si="5"/>
        <v>121.08695323454589</v>
      </c>
      <c r="Q30" s="9">
        <f t="shared" si="5"/>
        <v>116.91323527594932</v>
      </c>
      <c r="R30" s="9">
        <f t="shared" si="5"/>
        <v>83.03771585384527</v>
      </c>
      <c r="S30" s="9">
        <f t="shared" si="5"/>
        <v>-24.944340455175279</v>
      </c>
      <c r="T30" s="9">
        <f t="shared" si="5"/>
        <v>-350.50449845274011</v>
      </c>
      <c r="U30" s="9">
        <f t="shared" si="5"/>
        <v>-1533.0942677168639</v>
      </c>
      <c r="V30" s="9">
        <f t="shared" si="5"/>
        <v>-9277.6284901851359</v>
      </c>
    </row>
    <row r="31" spans="1:22" x14ac:dyDescent="0.3">
      <c r="G31" s="28">
        <v>25</v>
      </c>
      <c r="H31" s="28"/>
      <c r="I31" s="28">
        <f t="shared" si="2"/>
        <v>300</v>
      </c>
      <c r="J31" s="9">
        <f t="shared" si="5"/>
        <v>13.763120530175556</v>
      </c>
      <c r="K31" s="9">
        <f t="shared" si="5"/>
        <v>35.069448051488678</v>
      </c>
      <c r="L31" s="9">
        <f t="shared" si="5"/>
        <v>55.66558560928047</v>
      </c>
      <c r="M31" s="9">
        <f t="shared" si="5"/>
        <v>75.183414011660574</v>
      </c>
      <c r="N31" s="9">
        <f t="shared" si="5"/>
        <v>92.796550941901359</v>
      </c>
      <c r="O31" s="9">
        <f t="shared" si="5"/>
        <v>106.78124554313416</v>
      </c>
      <c r="P31" s="9">
        <f t="shared" si="5"/>
        <v>113.53590299140262</v>
      </c>
      <c r="Q31" s="9">
        <f t="shared" si="5"/>
        <v>105.20834415446598</v>
      </c>
      <c r="R31" s="9">
        <f t="shared" si="5"/>
        <v>63.295351703098049</v>
      </c>
      <c r="S31" s="9">
        <f t="shared" si="5"/>
        <v>-61.409809382912954</v>
      </c>
      <c r="T31" s="9">
        <f t="shared" si="5"/>
        <v>-426.97235650600487</v>
      </c>
      <c r="U31" s="9">
        <f t="shared" si="5"/>
        <v>-1734.4047680977224</v>
      </c>
      <c r="V31" s="9">
        <f t="shared" si="5"/>
        <v>-10209.746845391657</v>
      </c>
    </row>
    <row r="32" spans="1:22" x14ac:dyDescent="0.3">
      <c r="G32">
        <v>26</v>
      </c>
      <c r="I32" s="28">
        <f t="shared" si="2"/>
        <v>312</v>
      </c>
      <c r="J32" s="9">
        <f t="shared" si="5"/>
        <v>9.0666715916634928</v>
      </c>
      <c r="K32" s="9">
        <f t="shared" si="5"/>
        <v>30.725783653003617</v>
      </c>
      <c r="L32" s="9">
        <f t="shared" si="5"/>
        <v>51.469307318140579</v>
      </c>
      <c r="M32" s="9">
        <f t="shared" si="5"/>
        <v>70.846417197919635</v>
      </c>
      <c r="N32" s="9">
        <f t="shared" si="5"/>
        <v>87.88874949876049</v>
      </c>
      <c r="O32" s="9">
        <f t="shared" si="5"/>
        <v>100.62151034387824</v>
      </c>
      <c r="P32" s="9">
        <f t="shared" si="5"/>
        <v>104.97714555135951</v>
      </c>
      <c r="Q32" s="9">
        <f t="shared" si="5"/>
        <v>92.17735095901088</v>
      </c>
      <c r="R32" s="9">
        <f t="shared" si="5"/>
        <v>41.696806034111432</v>
      </c>
      <c r="S32" s="9">
        <f t="shared" si="5"/>
        <v>-100.70936802335245</v>
      </c>
      <c r="T32" s="9">
        <f t="shared" si="5"/>
        <v>-508.38929487535438</v>
      </c>
      <c r="U32" s="9">
        <f t="shared" si="5"/>
        <v>-1946.7097942833252</v>
      </c>
      <c r="V32" s="9">
        <f t="shared" si="5"/>
        <v>-11185.509240714073</v>
      </c>
    </row>
    <row r="33" spans="7:22" x14ac:dyDescent="0.3">
      <c r="G33">
        <v>27</v>
      </c>
      <c r="I33" s="28">
        <f t="shared" si="2"/>
        <v>324</v>
      </c>
      <c r="J33" s="9">
        <f t="shared" si="5"/>
        <v>3.9666092870191676</v>
      </c>
      <c r="K33" s="9">
        <f t="shared" si="5"/>
        <v>25.940085229861239</v>
      </c>
      <c r="L33" s="9">
        <f t="shared" si="5"/>
        <v>46.778959664269024</v>
      </c>
      <c r="M33" s="9">
        <f t="shared" si="5"/>
        <v>65.94447166308575</v>
      </c>
      <c r="N33" s="9">
        <f t="shared" si="5"/>
        <v>82.317897018633715</v>
      </c>
      <c r="O33" s="9">
        <f t="shared" si="5"/>
        <v>93.659391681469629</v>
      </c>
      <c r="P33" s="9">
        <f t="shared" si="5"/>
        <v>95.410680914416446</v>
      </c>
      <c r="Q33" s="9">
        <f t="shared" si="5"/>
        <v>77.82025568958386</v>
      </c>
      <c r="R33" s="9">
        <f t="shared" si="5"/>
        <v>18.242078846885761</v>
      </c>
      <c r="S33" s="9">
        <f t="shared" si="5"/>
        <v>-142.84301637649355</v>
      </c>
      <c r="T33" s="9">
        <f t="shared" si="5"/>
        <v>-594.75531356078886</v>
      </c>
      <c r="U33" s="9">
        <f t="shared" si="5"/>
        <v>-2170.0093462736731</v>
      </c>
      <c r="V33" s="9">
        <f t="shared" si="5"/>
        <v>-12204.915676152403</v>
      </c>
    </row>
    <row r="34" spans="7:22" x14ac:dyDescent="0.3">
      <c r="G34">
        <v>28</v>
      </c>
      <c r="I34" s="28">
        <f t="shared" si="2"/>
        <v>336</v>
      </c>
      <c r="J34" s="9">
        <f t="shared" si="5"/>
        <v>-1.5370663837573773</v>
      </c>
      <c r="K34" s="9">
        <f t="shared" si="5"/>
        <v>20.712352782061657</v>
      </c>
      <c r="L34" s="9">
        <f t="shared" si="5"/>
        <v>41.594542647665889</v>
      </c>
      <c r="M34" s="9">
        <f t="shared" si="5"/>
        <v>60.477577407159117</v>
      </c>
      <c r="N34" s="9">
        <f t="shared" si="5"/>
        <v>76.083993501521036</v>
      </c>
      <c r="O34" s="9">
        <f t="shared" si="5"/>
        <v>85.894889555908833</v>
      </c>
      <c r="P34" s="9">
        <f t="shared" si="5"/>
        <v>84.836509080573421</v>
      </c>
      <c r="Q34" s="9">
        <f t="shared" si="5"/>
        <v>62.137058346184972</v>
      </c>
      <c r="R34" s="9">
        <f t="shared" si="5"/>
        <v>-7.0688298585791927</v>
      </c>
      <c r="S34" s="9">
        <f t="shared" si="5"/>
        <v>-187.81075444233602</v>
      </c>
      <c r="T34" s="9">
        <f t="shared" si="5"/>
        <v>-686.070412562309</v>
      </c>
      <c r="U34" s="9">
        <f t="shared" si="5"/>
        <v>-2404.3034240687675</v>
      </c>
      <c r="V34" s="9">
        <f t="shared" si="5"/>
        <v>-13267.966151706625</v>
      </c>
    </row>
    <row r="35" spans="7:22" x14ac:dyDescent="0.3">
      <c r="G35">
        <v>29</v>
      </c>
      <c r="I35" s="28">
        <f t="shared" si="2"/>
        <v>348</v>
      </c>
      <c r="J35" s="9">
        <f t="shared" si="5"/>
        <v>-7.4443554206661133</v>
      </c>
      <c r="K35" s="9">
        <f t="shared" si="5"/>
        <v>15.042586309604758</v>
      </c>
      <c r="L35" s="9">
        <f t="shared" si="5"/>
        <v>35.916056268331147</v>
      </c>
      <c r="M35" s="9">
        <f t="shared" si="5"/>
        <v>54.445734430139566</v>
      </c>
      <c r="N35" s="9">
        <f t="shared" si="5"/>
        <v>69.187038947422423</v>
      </c>
      <c r="O35" s="9">
        <f t="shared" si="5"/>
        <v>77.328003967195627</v>
      </c>
      <c r="P35" s="9">
        <f t="shared" si="5"/>
        <v>73.254630049830496</v>
      </c>
      <c r="Q35" s="9">
        <f t="shared" si="5"/>
        <v>45.127758928814274</v>
      </c>
      <c r="R35" s="9">
        <f t="shared" si="5"/>
        <v>-34.235920082283428</v>
      </c>
      <c r="S35" s="9">
        <f t="shared" si="5"/>
        <v>-235.61258222088077</v>
      </c>
      <c r="T35" s="9">
        <f t="shared" si="5"/>
        <v>-782.33459187991502</v>
      </c>
      <c r="U35" s="9">
        <f t="shared" si="5"/>
        <v>-2649.5920276686084</v>
      </c>
      <c r="V35" s="9">
        <f t="shared" si="5"/>
        <v>-14374.660667376766</v>
      </c>
    </row>
    <row r="36" spans="7:22" x14ac:dyDescent="0.3">
      <c r="G36" s="28">
        <v>30</v>
      </c>
      <c r="H36" s="28"/>
      <c r="I36" s="28">
        <f t="shared" si="2"/>
        <v>360</v>
      </c>
      <c r="J36" s="9">
        <f t="shared" si="5"/>
        <v>-13.755257823707154</v>
      </c>
      <c r="K36" s="9">
        <f t="shared" si="5"/>
        <v>8.9307858124905408</v>
      </c>
      <c r="L36" s="9">
        <f t="shared" si="5"/>
        <v>29.743500526264768</v>
      </c>
      <c r="M36" s="9">
        <f t="shared" si="5"/>
        <v>47.848942732027041</v>
      </c>
      <c r="N36" s="9">
        <f t="shared" si="5"/>
        <v>61.627033356338018</v>
      </c>
      <c r="O36" s="9">
        <f t="shared" si="5"/>
        <v>67.958734915330012</v>
      </c>
      <c r="P36" s="9">
        <f t="shared" si="5"/>
        <v>60.665043822187613</v>
      </c>
      <c r="Q36" s="9">
        <f t="shared" si="5"/>
        <v>26.792357437471992</v>
      </c>
      <c r="R36" s="9">
        <f t="shared" si="5"/>
        <v>-63.259191824227059</v>
      </c>
      <c r="S36" s="9">
        <f t="shared" si="5"/>
        <v>-286.24849971212711</v>
      </c>
      <c r="T36" s="9">
        <f t="shared" si="5"/>
        <v>-883.54785151360556</v>
      </c>
      <c r="U36" s="9">
        <f t="shared" si="5"/>
        <v>-2905.8751570731938</v>
      </c>
      <c r="V36" s="9">
        <f t="shared" si="5"/>
        <v>-15524.999223162798</v>
      </c>
    </row>
    <row r="37" spans="7:22" x14ac:dyDescent="0.3">
      <c r="G37">
        <v>31</v>
      </c>
      <c r="I37" s="28">
        <f t="shared" si="2"/>
        <v>372</v>
      </c>
      <c r="J37" s="9">
        <f t="shared" si="5"/>
        <v>-20.469773592880301</v>
      </c>
      <c r="K37" s="9">
        <f t="shared" si="5"/>
        <v>2.3769512907191768</v>
      </c>
      <c r="L37" s="9">
        <f t="shared" si="5"/>
        <v>23.076875421466752</v>
      </c>
      <c r="M37" s="9">
        <f t="shared" si="5"/>
        <v>40.687202312821796</v>
      </c>
      <c r="N37" s="9">
        <f t="shared" si="5"/>
        <v>53.403976728267537</v>
      </c>
      <c r="O37" s="9">
        <f t="shared" si="5"/>
        <v>57.787082400311931</v>
      </c>
      <c r="P37" s="9">
        <f t="shared" si="5"/>
        <v>47.067750397644716</v>
      </c>
      <c r="Q37" s="9">
        <f t="shared" si="5"/>
        <v>7.1308538721576724</v>
      </c>
      <c r="R37" s="9">
        <f t="shared" si="5"/>
        <v>-94.138645084410086</v>
      </c>
      <c r="S37" s="9">
        <f t="shared" si="5"/>
        <v>-339.71850691607528</v>
      </c>
      <c r="T37" s="9">
        <f t="shared" si="5"/>
        <v>-989.71019146338176</v>
      </c>
      <c r="U37" s="9">
        <f t="shared" si="5"/>
        <v>-3173.1528122825252</v>
      </c>
      <c r="V37" s="9">
        <f t="shared" si="5"/>
        <v>-16718.981819064742</v>
      </c>
    </row>
    <row r="38" spans="7:22" x14ac:dyDescent="0.3">
      <c r="G38">
        <v>32</v>
      </c>
      <c r="I38" s="28">
        <f t="shared" si="2"/>
        <v>384</v>
      </c>
      <c r="J38" s="9">
        <f t="shared" si="5"/>
        <v>-27.587902728185838</v>
      </c>
      <c r="K38" s="9">
        <f t="shared" si="5"/>
        <v>-4.6189172557095333</v>
      </c>
      <c r="L38" s="9">
        <f t="shared" si="5"/>
        <v>15.916180953937129</v>
      </c>
      <c r="M38" s="9">
        <f t="shared" si="5"/>
        <v>32.960513172523576</v>
      </c>
      <c r="N38" s="9">
        <f t="shared" si="5"/>
        <v>44.517869063211208</v>
      </c>
      <c r="O38" s="9">
        <f t="shared" si="5"/>
        <v>46.81304642214144</v>
      </c>
      <c r="P38" s="9">
        <f t="shared" si="5"/>
        <v>32.462749776201917</v>
      </c>
      <c r="Q38" s="9">
        <f t="shared" si="5"/>
        <v>-13.856751767128571</v>
      </c>
      <c r="R38" s="9">
        <f t="shared" si="5"/>
        <v>-126.87427986283171</v>
      </c>
      <c r="S38" s="9">
        <f t="shared" si="5"/>
        <v>-396.02260383272528</v>
      </c>
      <c r="T38" s="9">
        <f t="shared" si="5"/>
        <v>-1100.8216117292436</v>
      </c>
      <c r="U38" s="9">
        <f t="shared" si="5"/>
        <v>-3451.424993296604</v>
      </c>
      <c r="V38" s="9">
        <f t="shared" si="5"/>
        <v>-17956.608455082594</v>
      </c>
    </row>
    <row r="39" spans="7:22" x14ac:dyDescent="0.3">
      <c r="G39">
        <v>33</v>
      </c>
      <c r="I39" s="28">
        <f t="shared" si="2"/>
        <v>396</v>
      </c>
      <c r="J39" s="9">
        <f t="shared" si="5"/>
        <v>-35.109645229623538</v>
      </c>
      <c r="K39" s="9">
        <f t="shared" si="5"/>
        <v>-12.056819826795532</v>
      </c>
      <c r="L39" s="9">
        <f t="shared" si="5"/>
        <v>8.2614171236758693</v>
      </c>
      <c r="M39" s="9">
        <f t="shared" si="5"/>
        <v>24.66887531113241</v>
      </c>
      <c r="N39" s="9">
        <f t="shared" si="5"/>
        <v>34.968710361168974</v>
      </c>
      <c r="O39" s="9">
        <f t="shared" si="5"/>
        <v>35.036626980818596</v>
      </c>
      <c r="P39" s="9">
        <f t="shared" si="5"/>
        <v>16.850041957859275</v>
      </c>
      <c r="Q39" s="9">
        <f t="shared" si="5"/>
        <v>-36.170459480386398</v>
      </c>
      <c r="R39" s="9">
        <f t="shared" si="5"/>
        <v>-161.4660961594933</v>
      </c>
      <c r="S39" s="9">
        <f t="shared" si="5"/>
        <v>-455.16079046207687</v>
      </c>
      <c r="T39" s="9">
        <f t="shared" si="5"/>
        <v>-1216.88211231119</v>
      </c>
      <c r="U39" s="9">
        <f t="shared" si="5"/>
        <v>-3740.6917001154266</v>
      </c>
      <c r="V39" s="9">
        <f t="shared" si="5"/>
        <v>-19237.879131216338</v>
      </c>
    </row>
    <row r="40" spans="7:22" x14ac:dyDescent="0.3">
      <c r="G40">
        <v>34</v>
      </c>
      <c r="I40" s="28">
        <f t="shared" si="2"/>
        <v>408</v>
      </c>
      <c r="J40" s="9">
        <f t="shared" si="5"/>
        <v>-43.035001097193515</v>
      </c>
      <c r="K40" s="9">
        <f t="shared" si="5"/>
        <v>-19.936756422538821</v>
      </c>
      <c r="L40" s="9">
        <f t="shared" si="5"/>
        <v>0.11258393068300165</v>
      </c>
      <c r="M40" s="9">
        <f t="shared" si="5"/>
        <v>15.812288728648468</v>
      </c>
      <c r="N40" s="9">
        <f t="shared" si="5"/>
        <v>24.75650062214072</v>
      </c>
      <c r="O40" s="9">
        <f t="shared" si="5"/>
        <v>22.457824076343286</v>
      </c>
      <c r="P40" s="9">
        <f t="shared" si="5"/>
        <v>0.22962694261661909</v>
      </c>
      <c r="Q40" s="9">
        <f t="shared" si="5"/>
        <v>-59.810269267616263</v>
      </c>
      <c r="R40" s="9">
        <f t="shared" si="5"/>
        <v>-197.91409397439395</v>
      </c>
      <c r="S40" s="9">
        <f t="shared" si="5"/>
        <v>-517.13306680413029</v>
      </c>
      <c r="T40" s="9">
        <f t="shared" si="5"/>
        <v>-1337.8916932092222</v>
      </c>
      <c r="U40" s="9">
        <f t="shared" si="5"/>
        <v>-4040.9529327389951</v>
      </c>
      <c r="V40" s="9">
        <f t="shared" si="5"/>
        <v>-20562.793847465997</v>
      </c>
    </row>
    <row r="41" spans="7:22" x14ac:dyDescent="0.3">
      <c r="G41">
        <v>35</v>
      </c>
      <c r="I41" s="28">
        <f t="shared" si="2"/>
        <v>420</v>
      </c>
      <c r="J41" s="9">
        <f t="shared" ref="J41:V46" si="6">TAN(J$5)*$I41-(0.5*$B$24)*POWER($I41/($B$21*COS(J$5)), 2)</f>
        <v>-51.363970330895711</v>
      </c>
      <c r="K41" s="9">
        <f t="shared" si="6"/>
        <v>-28.258727042939427</v>
      </c>
      <c r="L41" s="9">
        <f t="shared" si="6"/>
        <v>-8.5303186250415024</v>
      </c>
      <c r="M41" s="9">
        <f t="shared" si="6"/>
        <v>6.3907534250717504</v>
      </c>
      <c r="N41" s="9">
        <f t="shared" si="6"/>
        <v>13.881239846126675</v>
      </c>
      <c r="O41" s="9">
        <f t="shared" si="6"/>
        <v>9.0766377087156798</v>
      </c>
      <c r="P41" s="9">
        <f t="shared" si="6"/>
        <v>-17.398495269525938</v>
      </c>
      <c r="Q41" s="9">
        <f t="shared" si="6"/>
        <v>-84.776181128817939</v>
      </c>
      <c r="R41" s="9">
        <f t="shared" si="6"/>
        <v>-236.21827330753354</v>
      </c>
      <c r="S41" s="9">
        <f t="shared" si="6"/>
        <v>-581.93943285888577</v>
      </c>
      <c r="T41" s="9">
        <f t="shared" si="6"/>
        <v>-1463.8503544233406</v>
      </c>
      <c r="U41" s="9">
        <f t="shared" si="6"/>
        <v>-4352.2086911673077</v>
      </c>
      <c r="V41" s="9">
        <f t="shared" si="6"/>
        <v>-21931.352603831547</v>
      </c>
    </row>
    <row r="42" spans="7:22" x14ac:dyDescent="0.3">
      <c r="G42">
        <v>36</v>
      </c>
      <c r="I42" s="28">
        <f t="shared" si="2"/>
        <v>432</v>
      </c>
      <c r="J42" s="9">
        <f t="shared" si="6"/>
        <v>-60.096552930730155</v>
      </c>
      <c r="K42" s="9">
        <f t="shared" si="6"/>
        <v>-37.022731687997208</v>
      </c>
      <c r="L42" s="9">
        <f t="shared" si="6"/>
        <v>-17.667290543497586</v>
      </c>
      <c r="M42" s="9">
        <f t="shared" si="6"/>
        <v>-3.5957305995980278</v>
      </c>
      <c r="N42" s="9">
        <f t="shared" si="6"/>
        <v>2.342928033126725</v>
      </c>
      <c r="O42" s="9">
        <f t="shared" si="6"/>
        <v>-5.1069321220645634</v>
      </c>
      <c r="P42" s="9">
        <f t="shared" si="6"/>
        <v>-36.034324678568623</v>
      </c>
      <c r="Q42" s="9">
        <f t="shared" si="6"/>
        <v>-111.06819506399142</v>
      </c>
      <c r="R42" s="9">
        <f t="shared" si="6"/>
        <v>-276.37863415891297</v>
      </c>
      <c r="S42" s="9">
        <f t="shared" si="6"/>
        <v>-649.57988862634284</v>
      </c>
      <c r="T42" s="9">
        <f t="shared" si="6"/>
        <v>-1594.7580959535428</v>
      </c>
      <c r="U42" s="9">
        <f t="shared" si="6"/>
        <v>-4674.45897540037</v>
      </c>
      <c r="V42" s="9">
        <f t="shared" si="6"/>
        <v>-23343.55540031302</v>
      </c>
    </row>
    <row r="43" spans="7:22" x14ac:dyDescent="0.3">
      <c r="G43">
        <v>37</v>
      </c>
      <c r="I43" s="28">
        <f t="shared" si="2"/>
        <v>444</v>
      </c>
      <c r="J43" s="9">
        <f t="shared" si="6"/>
        <v>-69.232748896696847</v>
      </c>
      <c r="K43" s="9">
        <f t="shared" si="6"/>
        <v>-46.228770357712278</v>
      </c>
      <c r="L43" s="9">
        <f t="shared" si="6"/>
        <v>-27.298331824685363</v>
      </c>
      <c r="M43" s="9">
        <f t="shared" si="6"/>
        <v>-14.147163345360582</v>
      </c>
      <c r="N43" s="9">
        <f t="shared" si="6"/>
        <v>-9.8584348168591305</v>
      </c>
      <c r="O43" s="9">
        <f t="shared" si="6"/>
        <v>-20.092885415997102</v>
      </c>
      <c r="P43" s="9">
        <f t="shared" si="6"/>
        <v>-55.677861284510982</v>
      </c>
      <c r="Q43" s="9">
        <f t="shared" si="6"/>
        <v>-138.68631107313672</v>
      </c>
      <c r="R43" s="9">
        <f t="shared" si="6"/>
        <v>-318.39517652853135</v>
      </c>
      <c r="S43" s="9">
        <f t="shared" si="6"/>
        <v>-720.0544341065015</v>
      </c>
      <c r="T43" s="9">
        <f t="shared" si="6"/>
        <v>-1730.6149177998316</v>
      </c>
      <c r="U43" s="9">
        <f t="shared" si="6"/>
        <v>-5007.7037854381761</v>
      </c>
      <c r="V43" s="9">
        <f t="shared" si="6"/>
        <v>-24799.402236910377</v>
      </c>
    </row>
    <row r="44" spans="7:22" x14ac:dyDescent="0.3">
      <c r="G44">
        <v>38</v>
      </c>
      <c r="I44" s="28">
        <f t="shared" si="2"/>
        <v>456</v>
      </c>
      <c r="J44" s="9">
        <f t="shared" si="6"/>
        <v>-78.772558228795731</v>
      </c>
      <c r="K44" s="9">
        <f t="shared" si="6"/>
        <v>-55.87684305208461</v>
      </c>
      <c r="L44" s="9">
        <f t="shared" si="6"/>
        <v>-37.423442468604719</v>
      </c>
      <c r="M44" s="9">
        <f t="shared" si="6"/>
        <v>-25.263544812216139</v>
      </c>
      <c r="N44" s="9">
        <f t="shared" si="6"/>
        <v>-22.722848703831005</v>
      </c>
      <c r="O44" s="9">
        <f t="shared" si="6"/>
        <v>-35.881222173081937</v>
      </c>
      <c r="P44" s="9">
        <f t="shared" si="6"/>
        <v>-76.329105087353469</v>
      </c>
      <c r="Q44" s="9">
        <f t="shared" si="6"/>
        <v>-167.6305291562536</v>
      </c>
      <c r="R44" s="9">
        <f t="shared" si="6"/>
        <v>-362.26790041638878</v>
      </c>
      <c r="S44" s="9">
        <f t="shared" si="6"/>
        <v>-793.36306929936177</v>
      </c>
      <c r="T44" s="9">
        <f t="shared" si="6"/>
        <v>-1871.4208199622055</v>
      </c>
      <c r="U44" s="9">
        <f t="shared" si="6"/>
        <v>-5351.9431212807267</v>
      </c>
      <c r="V44" s="9">
        <f t="shared" si="6"/>
        <v>-26298.893113623657</v>
      </c>
    </row>
    <row r="45" spans="7:22" x14ac:dyDescent="0.3">
      <c r="G45">
        <v>39</v>
      </c>
      <c r="I45" s="28">
        <f t="shared" si="2"/>
        <v>468</v>
      </c>
      <c r="J45" s="9">
        <f t="shared" si="6"/>
        <v>-88.715980927026919</v>
      </c>
      <c r="K45" s="9">
        <f t="shared" si="6"/>
        <v>-65.966949771114344</v>
      </c>
      <c r="L45" s="9">
        <f t="shared" si="6"/>
        <v>-48.042622475255769</v>
      </c>
      <c r="M45" s="9">
        <f t="shared" si="6"/>
        <v>-36.944875000164245</v>
      </c>
      <c r="N45" s="9">
        <f t="shared" si="6"/>
        <v>-36.250313627788785</v>
      </c>
      <c r="O45" s="9">
        <f t="shared" si="6"/>
        <v>-52.471942393319296</v>
      </c>
      <c r="P45" s="9">
        <f t="shared" si="6"/>
        <v>-97.988056087095742</v>
      </c>
      <c r="Q45" s="9">
        <f t="shared" si="6"/>
        <v>-197.90084931334263</v>
      </c>
      <c r="R45" s="9">
        <f t="shared" si="6"/>
        <v>-407.99680582248573</v>
      </c>
      <c r="S45" s="9">
        <f t="shared" si="6"/>
        <v>-869.50579420492363</v>
      </c>
      <c r="T45" s="9">
        <f t="shared" si="6"/>
        <v>-2017.1758024406638</v>
      </c>
      <c r="U45" s="9">
        <f t="shared" si="6"/>
        <v>-5707.1769829280238</v>
      </c>
      <c r="V45" s="9">
        <f t="shared" si="6"/>
        <v>-27842.028030452828</v>
      </c>
    </row>
    <row r="46" spans="7:22" x14ac:dyDescent="0.3">
      <c r="G46">
        <v>40</v>
      </c>
      <c r="I46" s="28">
        <f t="shared" si="2"/>
        <v>480</v>
      </c>
      <c r="J46" s="9">
        <f t="shared" si="6"/>
        <v>-99.063016991390157</v>
      </c>
      <c r="K46" s="9">
        <f t="shared" si="6"/>
        <v>-76.49909051480131</v>
      </c>
      <c r="L46" s="9">
        <f t="shared" si="6"/>
        <v>-59.155871844638455</v>
      </c>
      <c r="M46" s="9">
        <f t="shared" si="6"/>
        <v>-49.191153909205525</v>
      </c>
      <c r="N46" s="9">
        <f t="shared" si="6"/>
        <v>-50.44082958873247</v>
      </c>
      <c r="O46" s="9">
        <f t="shared" si="6"/>
        <v>-69.865046076709064</v>
      </c>
      <c r="P46" s="9">
        <f t="shared" si="6"/>
        <v>-120.65471428373814</v>
      </c>
      <c r="Q46" s="9">
        <f t="shared" si="6"/>
        <v>-229.49727154440325</v>
      </c>
      <c r="R46" s="9">
        <f t="shared" si="6"/>
        <v>-455.58189274682218</v>
      </c>
      <c r="S46" s="9">
        <f t="shared" si="6"/>
        <v>-948.482608823188</v>
      </c>
      <c r="T46" s="9">
        <f t="shared" si="6"/>
        <v>-2167.8798652352079</v>
      </c>
      <c r="U46" s="9">
        <f t="shared" si="6"/>
        <v>-6073.4053703800673</v>
      </c>
      <c r="V46" s="9">
        <f t="shared" si="6"/>
        <v>-29428.806987397911</v>
      </c>
    </row>
  </sheetData>
  <conditionalFormatting sqref="J6:V46">
    <cfRule type="cellIs" dxfId="1" priority="1" operator="between">
      <formula>68</formula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5BA8-4B69-4A45-80A0-4FF32D00F639}">
  <dimension ref="A1:AE50"/>
  <sheetViews>
    <sheetView zoomScale="84" workbookViewId="0">
      <selection activeCell="G5" sqref="G5:H6"/>
    </sheetView>
  </sheetViews>
  <sheetFormatPr defaultRowHeight="14.4" x14ac:dyDescent="0.3"/>
  <cols>
    <col min="1" max="1" width="25.21875" customWidth="1"/>
    <col min="2" max="4" width="9" bestFit="1" customWidth="1"/>
    <col min="6" max="6" width="10.88671875" bestFit="1" customWidth="1"/>
    <col min="7" max="7" width="10.88671875" customWidth="1"/>
    <col min="8" max="8" width="9" customWidth="1"/>
    <col min="9" max="9" width="9" hidden="1" customWidth="1"/>
    <col min="10" max="10" width="10.77734375" customWidth="1"/>
    <col min="11" max="11" width="9.5546875" customWidth="1"/>
    <col min="12" max="12" width="12.21875" bestFit="1" customWidth="1"/>
    <col min="13" max="15" width="11.21875" bestFit="1" customWidth="1"/>
    <col min="16" max="16" width="13.33203125" bestFit="1" customWidth="1"/>
    <col min="17" max="17" width="12.21875" bestFit="1" customWidth="1"/>
    <col min="18" max="18" width="11.21875" bestFit="1" customWidth="1"/>
    <col min="19" max="23" width="9" bestFit="1" customWidth="1"/>
    <col min="24" max="24" width="9.77734375" bestFit="1" customWidth="1"/>
  </cols>
  <sheetData>
    <row r="1" spans="1:31" ht="18" x14ac:dyDescent="0.35">
      <c r="A1" s="1" t="s">
        <v>0</v>
      </c>
    </row>
    <row r="2" spans="1:31" ht="18" x14ac:dyDescent="0.35">
      <c r="A2" s="1" t="s">
        <v>1</v>
      </c>
    </row>
    <row r="3" spans="1:31" ht="18" x14ac:dyDescent="0.35">
      <c r="A3" s="1" t="s">
        <v>76</v>
      </c>
    </row>
    <row r="4" spans="1:31" x14ac:dyDescent="0.3"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31" ht="15" thickBot="1" x14ac:dyDescent="0.35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2" t="s">
        <v>80</v>
      </c>
      <c r="H5" s="2" t="s">
        <v>79</v>
      </c>
      <c r="I5" s="2"/>
      <c r="J5" s="34"/>
      <c r="K5" s="35"/>
      <c r="L5" s="36"/>
      <c r="M5" s="36"/>
      <c r="N5" s="36"/>
      <c r="O5" s="36"/>
      <c r="P5" s="36"/>
      <c r="Q5" s="36"/>
      <c r="R5" s="36"/>
      <c r="S5" s="9"/>
      <c r="T5" s="2" t="s">
        <v>84</v>
      </c>
      <c r="U5" s="2" t="s">
        <v>79</v>
      </c>
      <c r="V5" s="2"/>
      <c r="W5" s="34"/>
      <c r="X5" s="35"/>
      <c r="Y5" s="36"/>
      <c r="Z5" s="36"/>
      <c r="AA5" s="36"/>
      <c r="AB5" s="36"/>
      <c r="AC5" s="36"/>
      <c r="AD5" s="36"/>
      <c r="AE5" s="36"/>
    </row>
    <row r="6" spans="1:31" ht="16.2" thickBot="1" x14ac:dyDescent="0.4">
      <c r="B6" s="13">
        <f>B5*12+D5</f>
        <v>98.25</v>
      </c>
      <c r="C6" t="s">
        <v>4</v>
      </c>
      <c r="G6" s="2" t="s">
        <v>78</v>
      </c>
      <c r="H6" s="31"/>
      <c r="I6" s="31"/>
      <c r="J6" s="37">
        <v>35</v>
      </c>
      <c r="K6" s="38">
        <v>40</v>
      </c>
      <c r="L6" s="39">
        <v>45</v>
      </c>
      <c r="M6" s="39">
        <v>50</v>
      </c>
      <c r="N6" s="38">
        <v>55</v>
      </c>
      <c r="O6" s="39">
        <v>60</v>
      </c>
      <c r="P6" s="39">
        <v>65</v>
      </c>
      <c r="Q6" s="38">
        <v>70</v>
      </c>
      <c r="R6" s="40">
        <v>75</v>
      </c>
      <c r="S6" s="9"/>
      <c r="T6" s="46" t="s">
        <v>85</v>
      </c>
      <c r="U6" s="31"/>
      <c r="V6" s="31"/>
      <c r="W6" s="37">
        <v>35</v>
      </c>
      <c r="X6" s="38">
        <v>40</v>
      </c>
      <c r="Y6" s="39">
        <v>45</v>
      </c>
      <c r="Z6" s="39">
        <v>50</v>
      </c>
      <c r="AA6" s="38">
        <v>55</v>
      </c>
      <c r="AB6" s="39">
        <v>60</v>
      </c>
      <c r="AC6" s="39">
        <v>65</v>
      </c>
      <c r="AD6" s="38">
        <v>70</v>
      </c>
      <c r="AE6" s="40">
        <v>75</v>
      </c>
    </row>
    <row r="7" spans="1:31" x14ac:dyDescent="0.3">
      <c r="G7" s="33"/>
      <c r="H7" s="41">
        <v>0.7</v>
      </c>
      <c r="I7" s="45">
        <f>H7*B$17*B$20*B$22/(60)</f>
        <v>318.48900835415679</v>
      </c>
      <c r="J7" s="9">
        <f>TAN(RADIANS(J$6))*$B$14 - 0.5*$B$28*POWER($B$14/(COS(RADIANS(J$6))*$I7), 2)</f>
        <v>20.484195268808918</v>
      </c>
      <c r="K7" s="9">
        <f t="shared" ref="K7:R7" si="0">TAN(RADIANS(K$6))*$B$14 - 0.5*$B$28*POWER($B$14/(COS(RADIANS(K$6))*$I7), 2)</f>
        <v>31.610602342952063</v>
      </c>
      <c r="L7" s="9">
        <f t="shared" si="0"/>
        <v>40.33567444315949</v>
      </c>
      <c r="M7" s="9">
        <f t="shared" si="0"/>
        <v>44.895799624444237</v>
      </c>
      <c r="N7" s="9">
        <f t="shared" si="0"/>
        <v>41.779702511720359</v>
      </c>
      <c r="O7" s="9">
        <f t="shared" si="0"/>
        <v>23.598170898489741</v>
      </c>
      <c r="P7" s="9">
        <f t="shared" si="0"/>
        <v>-26.58602957239134</v>
      </c>
      <c r="Q7" s="9">
        <f t="shared" si="0"/>
        <v>-152.80921372510306</v>
      </c>
      <c r="R7" s="9">
        <f t="shared" si="0"/>
        <v>-493.85724925331397</v>
      </c>
      <c r="S7" s="9"/>
      <c r="T7" s="9"/>
      <c r="U7" s="9"/>
      <c r="V7" s="9"/>
      <c r="W7" s="9"/>
      <c r="X7" s="9"/>
    </row>
    <row r="8" spans="1:31" x14ac:dyDescent="0.3">
      <c r="A8" s="2" t="s">
        <v>7</v>
      </c>
      <c r="B8" s="12">
        <v>24</v>
      </c>
      <c r="C8" t="s">
        <v>4</v>
      </c>
      <c r="G8" s="34"/>
      <c r="H8" s="42">
        <v>0.71</v>
      </c>
      <c r="I8" s="45">
        <f t="shared" ref="I8:I37" si="1">H8*B$17*B$20*B$22/(60)</f>
        <v>323.03885133064472</v>
      </c>
      <c r="J8" s="9">
        <f t="shared" ref="J8:R37" si="2">TAN(RADIANS(J$6))*$B$14 - 0.5*$B$28*POWER($B$14/(COS(RADIANS(J$6))*$I8), 2)</f>
        <v>24.082898197225916</v>
      </c>
      <c r="K8" s="9">
        <f t="shared" si="2"/>
        <v>35.725576414126664</v>
      </c>
      <c r="L8" s="9">
        <f t="shared" si="2"/>
        <v>45.165206262940103</v>
      </c>
      <c r="M8" s="9">
        <f t="shared" si="2"/>
        <v>50.740201112112373</v>
      </c>
      <c r="N8" s="9">
        <f t="shared" si="2"/>
        <v>49.119641220772763</v>
      </c>
      <c r="O8" s="9">
        <f t="shared" si="2"/>
        <v>33.257234538051136</v>
      </c>
      <c r="P8" s="9">
        <f t="shared" si="2"/>
        <v>-13.065972735777393</v>
      </c>
      <c r="Q8" s="9">
        <f t="shared" si="2"/>
        <v>-132.1662681837978</v>
      </c>
      <c r="R8" s="9">
        <f t="shared" si="2"/>
        <v>-457.80913299692975</v>
      </c>
      <c r="S8" s="9"/>
      <c r="T8" s="9"/>
      <c r="U8" s="9"/>
      <c r="V8" s="9"/>
      <c r="W8" s="9"/>
      <c r="X8" s="9"/>
    </row>
    <row r="9" spans="1:31" x14ac:dyDescent="0.3">
      <c r="G9" s="34"/>
      <c r="H9" s="43">
        <v>0.72</v>
      </c>
      <c r="I9" s="45">
        <f t="shared" si="1"/>
        <v>327.58869430713264</v>
      </c>
      <c r="J9" s="9">
        <f t="shared" si="2"/>
        <v>27.5326989233305</v>
      </c>
      <c r="K9" s="9">
        <f t="shared" si="2"/>
        <v>39.670286722538776</v>
      </c>
      <c r="L9" s="9">
        <f t="shared" si="2"/>
        <v>49.79490832783199</v>
      </c>
      <c r="M9" s="9">
        <f t="shared" si="2"/>
        <v>56.342780957365903</v>
      </c>
      <c r="N9" s="9">
        <f t="shared" si="2"/>
        <v>56.155877996001777</v>
      </c>
      <c r="O9" s="9">
        <f t="shared" si="2"/>
        <v>42.516638667834798</v>
      </c>
      <c r="P9" s="9">
        <f t="shared" si="2"/>
        <v>-0.10533029885300493</v>
      </c>
      <c r="Q9" s="9">
        <f t="shared" si="2"/>
        <v>-112.37745817811685</v>
      </c>
      <c r="R9" s="9">
        <f t="shared" si="2"/>
        <v>-423.25256633676372</v>
      </c>
      <c r="S9" s="9"/>
      <c r="T9" s="9"/>
      <c r="U9" s="9"/>
      <c r="V9" s="9"/>
      <c r="W9" s="9"/>
      <c r="X9" s="9"/>
    </row>
    <row r="10" spans="1:31" x14ac:dyDescent="0.3">
      <c r="A10" s="14" t="s">
        <v>2</v>
      </c>
      <c r="B10" s="13">
        <f>B6-B8</f>
        <v>74.25</v>
      </c>
      <c r="C10" t="s">
        <v>4</v>
      </c>
      <c r="G10" s="34"/>
      <c r="H10" s="42">
        <v>0.73</v>
      </c>
      <c r="I10" s="45">
        <f t="shared" si="1"/>
        <v>332.13853728362056</v>
      </c>
      <c r="J10" s="9">
        <f t="shared" si="2"/>
        <v>30.841700325793241</v>
      </c>
      <c r="K10" s="9">
        <f t="shared" si="2"/>
        <v>43.453998588581555</v>
      </c>
      <c r="L10" s="9">
        <f t="shared" si="2"/>
        <v>54.235654864229843</v>
      </c>
      <c r="M10" s="9">
        <f t="shared" si="2"/>
        <v>61.716698478186743</v>
      </c>
      <c r="N10" s="9">
        <f t="shared" si="2"/>
        <v>62.904939523269405</v>
      </c>
      <c r="O10" s="9">
        <f t="shared" si="2"/>
        <v>51.398131740630561</v>
      </c>
      <c r="P10" s="9">
        <f t="shared" si="2"/>
        <v>12.326339645465168</v>
      </c>
      <c r="Q10" s="9">
        <f t="shared" si="2"/>
        <v>-93.396303827266365</v>
      </c>
      <c r="R10" s="9">
        <f t="shared" si="2"/>
        <v>-390.10638294201908</v>
      </c>
      <c r="S10" s="9"/>
      <c r="T10" s="9"/>
      <c r="U10" s="9"/>
      <c r="V10" s="9"/>
      <c r="W10" s="9"/>
      <c r="X10" s="9"/>
    </row>
    <row r="11" spans="1:31" x14ac:dyDescent="0.3">
      <c r="A11" s="14" t="s">
        <v>81</v>
      </c>
      <c r="B11" s="32">
        <v>10</v>
      </c>
      <c r="C11" t="s">
        <v>4</v>
      </c>
      <c r="G11" s="34"/>
      <c r="H11" s="42">
        <v>0.74</v>
      </c>
      <c r="I11" s="45">
        <f t="shared" si="1"/>
        <v>336.6883802601086</v>
      </c>
      <c r="J11" s="9">
        <f t="shared" si="2"/>
        <v>34.01746151662465</v>
      </c>
      <c r="K11" s="9">
        <f t="shared" si="2"/>
        <v>47.085355557038611</v>
      </c>
      <c r="L11" s="9">
        <f t="shared" si="2"/>
        <v>58.497590352717566</v>
      </c>
      <c r="M11" s="9">
        <f t="shared" si="2"/>
        <v>66.874229899191903</v>
      </c>
      <c r="N11" s="9">
        <f t="shared" si="2"/>
        <v>69.38224341829914</v>
      </c>
      <c r="O11" s="9">
        <f t="shared" si="2"/>
        <v>59.922002717606006</v>
      </c>
      <c r="P11" s="9">
        <f t="shared" si="2"/>
        <v>24.257436113725305</v>
      </c>
      <c r="Q11" s="9">
        <f t="shared" si="2"/>
        <v>-75.179444414710929</v>
      </c>
      <c r="R11" s="9">
        <f t="shared" si="2"/>
        <v>-358.29486337878529</v>
      </c>
      <c r="S11" s="9"/>
      <c r="T11" s="9"/>
      <c r="U11" s="9"/>
      <c r="V11" s="9"/>
      <c r="W11" s="9"/>
      <c r="X11" s="9"/>
    </row>
    <row r="12" spans="1:31" x14ac:dyDescent="0.3">
      <c r="A12" s="14" t="s">
        <v>82</v>
      </c>
      <c r="B12" s="30">
        <f>B10-B11</f>
        <v>64.25</v>
      </c>
      <c r="C12" t="s">
        <v>83</v>
      </c>
      <c r="D12" s="13">
        <f>B10+B11</f>
        <v>84.25</v>
      </c>
      <c r="G12" s="34"/>
      <c r="H12" s="42">
        <v>0.75</v>
      </c>
      <c r="I12" s="45">
        <f t="shared" si="1"/>
        <v>341.23822323659653</v>
      </c>
      <c r="J12" s="9">
        <f t="shared" si="2"/>
        <v>37.067041049812985</v>
      </c>
      <c r="K12" s="9">
        <f t="shared" si="2"/>
        <v>50.572428804447412</v>
      </c>
      <c r="L12" s="9">
        <f t="shared" si="2"/>
        <v>62.590187514929937</v>
      </c>
      <c r="M12" s="9">
        <f t="shared" si="2"/>
        <v>71.826838523757743</v>
      </c>
      <c r="N12" s="9">
        <f t="shared" si="2"/>
        <v>75.602186355303189</v>
      </c>
      <c r="O12" s="9">
        <f t="shared" si="2"/>
        <v>68.107197042030805</v>
      </c>
      <c r="P12" s="9">
        <f t="shared" si="2"/>
        <v>35.714477563550304</v>
      </c>
      <c r="Q12" s="9">
        <f t="shared" si="2"/>
        <v>-57.686390533995791</v>
      </c>
      <c r="R12" s="9">
        <f t="shared" si="2"/>
        <v>-327.74730229020724</v>
      </c>
      <c r="S12" s="9"/>
      <c r="T12" s="9"/>
      <c r="U12" s="9"/>
      <c r="V12" s="9"/>
      <c r="W12" s="9"/>
      <c r="X12" s="9"/>
    </row>
    <row r="13" spans="1:31" x14ac:dyDescent="0.3">
      <c r="A13" s="14" t="s">
        <v>73</v>
      </c>
      <c r="B13" s="12"/>
      <c r="C13" t="s">
        <v>3</v>
      </c>
      <c r="D13" s="12">
        <v>213</v>
      </c>
      <c r="E13" t="s">
        <v>4</v>
      </c>
      <c r="G13" s="34"/>
      <c r="H13" s="42">
        <v>0.76</v>
      </c>
      <c r="I13" s="45">
        <f t="shared" si="1"/>
        <v>345.78806621308451</v>
      </c>
      <c r="J13" s="9">
        <f t="shared" si="2"/>
        <v>39.997036176703105</v>
      </c>
      <c r="K13" s="9">
        <f t="shared" si="2"/>
        <v>53.922762026068497</v>
      </c>
      <c r="L13" s="9">
        <f t="shared" si="2"/>
        <v>66.522299995062525</v>
      </c>
      <c r="M13" s="9">
        <f t="shared" si="2"/>
        <v>76.585238485932308</v>
      </c>
      <c r="N13" s="9">
        <f t="shared" si="2"/>
        <v>81.578224132518585</v>
      </c>
      <c r="O13" s="9">
        <f t="shared" si="2"/>
        <v>75.971422002295981</v>
      </c>
      <c r="P13" s="9">
        <f t="shared" si="2"/>
        <v>46.722249373150987</v>
      </c>
      <c r="Q13" s="9">
        <f t="shared" si="2"/>
        <v>-40.879298911323872</v>
      </c>
      <c r="R13" s="9">
        <f t="shared" si="2"/>
        <v>-298.39761517634633</v>
      </c>
      <c r="S13" s="9"/>
      <c r="T13" s="9"/>
      <c r="U13" s="9"/>
      <c r="V13" s="9"/>
      <c r="W13" s="9"/>
      <c r="X13" s="9"/>
    </row>
    <row r="14" spans="1:31" x14ac:dyDescent="0.3">
      <c r="A14" s="14"/>
      <c r="B14" s="30">
        <f>B13*12+D13</f>
        <v>213</v>
      </c>
      <c r="C14" t="s">
        <v>4</v>
      </c>
      <c r="D14" s="29"/>
      <c r="G14" s="34"/>
      <c r="H14" s="43">
        <v>0.77</v>
      </c>
      <c r="I14" s="45">
        <f t="shared" si="1"/>
        <v>350.33790918957249</v>
      </c>
      <c r="J14" s="9">
        <f t="shared" si="2"/>
        <v>42.813618556139872</v>
      </c>
      <c r="K14" s="9">
        <f t="shared" si="2"/>
        <v>57.143412269018043</v>
      </c>
      <c r="L14" s="9">
        <f t="shared" si="2"/>
        <v>70.302210283602875</v>
      </c>
      <c r="M14" s="9">
        <f t="shared" si="2"/>
        <v>81.159452744779571</v>
      </c>
      <c r="N14" s="9">
        <f t="shared" si="2"/>
        <v>87.322944506855464</v>
      </c>
      <c r="O14" s="9">
        <f t="shared" si="2"/>
        <v>83.531242579376624</v>
      </c>
      <c r="P14" s="9">
        <f t="shared" si="2"/>
        <v>57.303938001654103</v>
      </c>
      <c r="Q14" s="9">
        <f t="shared" si="2"/>
        <v>-24.722767564378387</v>
      </c>
      <c r="R14" s="9">
        <f t="shared" si="2"/>
        <v>-270.18398068657689</v>
      </c>
      <c r="S14" s="9"/>
      <c r="T14" s="9"/>
      <c r="U14" s="9"/>
      <c r="V14" s="9"/>
      <c r="W14" s="9"/>
      <c r="X14" s="9"/>
    </row>
    <row r="15" spans="1:31" x14ac:dyDescent="0.3">
      <c r="G15" s="34"/>
      <c r="H15" s="42">
        <v>0.78</v>
      </c>
      <c r="I15" s="45">
        <f t="shared" si="1"/>
        <v>354.88775216606041</v>
      </c>
      <c r="J15" s="9">
        <f t="shared" si="2"/>
        <v>45.522566780629006</v>
      </c>
      <c r="K15" s="9">
        <f t="shared" si="2"/>
        <v>60.240987124642643</v>
      </c>
      <c r="L15" s="9">
        <f t="shared" si="2"/>
        <v>73.937673368093556</v>
      </c>
      <c r="M15" s="9">
        <f t="shared" si="2"/>
        <v>85.558865907839476</v>
      </c>
      <c r="N15" s="9">
        <f t="shared" si="2"/>
        <v>92.848133534473504</v>
      </c>
      <c r="O15" s="9">
        <f t="shared" si="2"/>
        <v>90.802168748357985</v>
      </c>
      <c r="P15" s="9">
        <f t="shared" si="2"/>
        <v>67.481253187447294</v>
      </c>
      <c r="Q15" s="9">
        <f t="shared" si="2"/>
        <v>-9.1836492251653681</v>
      </c>
      <c r="R15" s="9">
        <f t="shared" si="2"/>
        <v>-243.0485148058558</v>
      </c>
      <c r="S15" s="9"/>
      <c r="T15" s="9"/>
      <c r="U15" s="9"/>
      <c r="V15" s="9"/>
      <c r="W15" s="9"/>
      <c r="X15" s="9"/>
    </row>
    <row r="16" spans="1:31" x14ac:dyDescent="0.3">
      <c r="A16" s="2" t="s">
        <v>19</v>
      </c>
      <c r="B16" s="12">
        <v>6</v>
      </c>
      <c r="C16" t="s">
        <v>4</v>
      </c>
      <c r="G16" s="34"/>
      <c r="H16" s="42">
        <v>0.79</v>
      </c>
      <c r="I16" s="45">
        <f t="shared" si="1"/>
        <v>359.43759514254833</v>
      </c>
      <c r="J16" s="9">
        <f t="shared" si="2"/>
        <v>48.129296038874813</v>
      </c>
      <c r="K16" s="9">
        <f t="shared" si="2"/>
        <v>63.221678646454905</v>
      </c>
      <c r="L16" s="9">
        <f t="shared" si="2"/>
        <v>77.435956540855784</v>
      </c>
      <c r="M16" s="9">
        <f t="shared" si="2"/>
        <v>89.792272403979865</v>
      </c>
      <c r="N16" s="9">
        <f t="shared" si="2"/>
        <v>98.164836070693667</v>
      </c>
      <c r="O16" s="9">
        <f t="shared" si="2"/>
        <v>97.798735093882499</v>
      </c>
      <c r="P16" s="9">
        <f t="shared" si="2"/>
        <v>77.27453938810919</v>
      </c>
      <c r="Q16" s="9">
        <f t="shared" si="2"/>
        <v>5.7691188107796734</v>
      </c>
      <c r="R16" s="9">
        <f t="shared" si="2"/>
        <v>-216.9369737258321</v>
      </c>
      <c r="S16" s="9"/>
      <c r="T16" s="9"/>
      <c r="U16" s="9"/>
      <c r="V16" s="9"/>
      <c r="W16" s="9"/>
      <c r="X16" s="9"/>
    </row>
    <row r="17" spans="1:24" x14ac:dyDescent="0.3">
      <c r="A17" s="2" t="s">
        <v>74</v>
      </c>
      <c r="B17" s="12">
        <v>6380</v>
      </c>
      <c r="G17" s="34"/>
      <c r="H17" s="42">
        <v>0.8</v>
      </c>
      <c r="I17" s="45">
        <f t="shared" si="1"/>
        <v>363.98743811903637</v>
      </c>
      <c r="J17" s="9">
        <f t="shared" si="2"/>
        <v>50.638885199244683</v>
      </c>
      <c r="K17" s="9">
        <f t="shared" si="2"/>
        <v>66.091294319001008</v>
      </c>
      <c r="L17" s="9">
        <f t="shared" si="2"/>
        <v>80.803875745543962</v>
      </c>
      <c r="M17" s="9">
        <f t="shared" si="2"/>
        <v>93.867920467754203</v>
      </c>
      <c r="N17" s="9">
        <f t="shared" si="2"/>
        <v>103.28341100961487</v>
      </c>
      <c r="O17" s="9">
        <f t="shared" si="2"/>
        <v>104.53457350325874</v>
      </c>
      <c r="P17" s="9">
        <f t="shared" si="2"/>
        <v>86.702877530951127</v>
      </c>
      <c r="Q17" s="9">
        <f t="shared" si="2"/>
        <v>20.164670041054251</v>
      </c>
      <c r="R17" s="9">
        <f t="shared" si="2"/>
        <v>-191.79848255046556</v>
      </c>
      <c r="S17" s="9"/>
      <c r="T17" s="9"/>
      <c r="U17" s="9"/>
      <c r="V17" s="9"/>
      <c r="W17" s="9"/>
      <c r="X17" s="9"/>
    </row>
    <row r="18" spans="1:24" x14ac:dyDescent="0.3">
      <c r="A18" s="2" t="s">
        <v>75</v>
      </c>
      <c r="B18" s="12">
        <v>0.81</v>
      </c>
      <c r="G18" s="34"/>
      <c r="H18" s="42">
        <v>0.81</v>
      </c>
      <c r="I18" s="45">
        <f t="shared" si="1"/>
        <v>368.53728109552424</v>
      </c>
      <c r="J18" s="9">
        <f t="shared" si="2"/>
        <v>53.056101567290256</v>
      </c>
      <c r="K18" s="9">
        <f t="shared" si="2"/>
        <v>68.85528536710386</v>
      </c>
      <c r="L18" s="9">
        <f t="shared" si="2"/>
        <v>84.047828802237632</v>
      </c>
      <c r="M18" s="9">
        <f t="shared" si="2"/>
        <v>97.793552346358695</v>
      </c>
      <c r="N18" s="9">
        <f t="shared" si="2"/>
        <v>108.21358177971987</v>
      </c>
      <c r="O18" s="9">
        <f t="shared" si="2"/>
        <v>111.02247961664608</v>
      </c>
      <c r="P18" s="9">
        <f t="shared" si="2"/>
        <v>95.784178025166909</v>
      </c>
      <c r="Q18" s="9">
        <f t="shared" si="2"/>
        <v>34.03035077093466</v>
      </c>
      <c r="R18" s="9">
        <f t="shared" si="2"/>
        <v>-167.5852873005673</v>
      </c>
      <c r="S18" s="9"/>
      <c r="T18" s="9"/>
      <c r="U18" s="9"/>
      <c r="V18" s="9"/>
      <c r="W18" s="9"/>
      <c r="X18" s="9"/>
    </row>
    <row r="19" spans="1:24" x14ac:dyDescent="0.3">
      <c r="A19" s="14" t="s">
        <v>23</v>
      </c>
      <c r="B19" s="30">
        <f>B17*B18</f>
        <v>5167.8</v>
      </c>
      <c r="G19" s="34"/>
      <c r="H19" s="43">
        <v>0.82</v>
      </c>
      <c r="I19" s="45">
        <f t="shared" si="1"/>
        <v>373.08712407201222</v>
      </c>
      <c r="J19" s="9">
        <f t="shared" si="2"/>
        <v>55.385423542845672</v>
      </c>
      <c r="K19" s="9">
        <f t="shared" si="2"/>
        <v>71.518772663356998</v>
      </c>
      <c r="L19" s="9">
        <f t="shared" si="2"/>
        <v>87.173825813724108</v>
      </c>
      <c r="M19" s="9">
        <f t="shared" si="2"/>
        <v>101.57644109543992</v>
      </c>
      <c r="N19" s="9">
        <f t="shared" si="2"/>
        <v>112.96448255544644</v>
      </c>
      <c r="O19" s="9">
        <f t="shared" si="2"/>
        <v>117.27447363961909</v>
      </c>
      <c r="P19" s="9">
        <f t="shared" si="2"/>
        <v>104.53526588285138</v>
      </c>
      <c r="Q19" s="9">
        <f t="shared" si="2"/>
        <v>47.391850079438996</v>
      </c>
      <c r="R19" s="9">
        <f t="shared" si="2"/>
        <v>-144.25252795821552</v>
      </c>
      <c r="S19" s="9"/>
      <c r="T19" s="9"/>
      <c r="U19" s="9"/>
      <c r="V19" s="9"/>
      <c r="W19" s="9"/>
      <c r="X19" s="9"/>
    </row>
    <row r="20" spans="1:24" x14ac:dyDescent="0.3">
      <c r="A20" s="14" t="s">
        <v>22</v>
      </c>
      <c r="B20" s="13">
        <f>PI()*B16</f>
        <v>18.849555921538759</v>
      </c>
      <c r="C20" t="s">
        <v>4</v>
      </c>
      <c r="G20" s="34"/>
      <c r="H20" s="42">
        <v>0.83</v>
      </c>
      <c r="I20" s="45">
        <f t="shared" si="1"/>
        <v>377.63696704850014</v>
      </c>
      <c r="J20" s="9">
        <f t="shared" si="2"/>
        <v>57.631061377917618</v>
      </c>
      <c r="K20" s="9">
        <f t="shared" si="2"/>
        <v>74.086570463948036</v>
      </c>
      <c r="L20" s="9">
        <f t="shared" si="2"/>
        <v>90.187517023004887</v>
      </c>
      <c r="M20" s="9">
        <f t="shared" si="2"/>
        <v>105.22342429053006</v>
      </c>
      <c r="N20" s="9">
        <f t="shared" si="2"/>
        <v>117.54470059511874</v>
      </c>
      <c r="O20" s="9">
        <f t="shared" si="2"/>
        <v>123.30185605818073</v>
      </c>
      <c r="P20" s="9">
        <f t="shared" si="2"/>
        <v>112.97195870483381</v>
      </c>
      <c r="Q20" s="9">
        <f t="shared" si="2"/>
        <v>60.273318891113604</v>
      </c>
      <c r="R20" s="9">
        <f t="shared" si="2"/>
        <v>-121.75803053549612</v>
      </c>
      <c r="S20" s="9"/>
      <c r="T20" s="9"/>
      <c r="U20" s="9"/>
      <c r="V20" s="9"/>
      <c r="W20" s="9"/>
      <c r="X20" s="9"/>
    </row>
    <row r="21" spans="1:24" x14ac:dyDescent="0.3">
      <c r="G21" s="34"/>
      <c r="H21" s="42">
        <v>0.84</v>
      </c>
      <c r="I21" s="45">
        <f t="shared" si="1"/>
        <v>382.18681002498812</v>
      </c>
      <c r="J21" s="9">
        <f t="shared" si="2"/>
        <v>59.796976215154814</v>
      </c>
      <c r="K21" s="9">
        <f t="shared" si="2"/>
        <v>76.563208178393552</v>
      </c>
      <c r="L21" s="9">
        <f t="shared" si="2"/>
        <v>93.094218363305174</v>
      </c>
      <c r="M21" s="9">
        <f t="shared" si="2"/>
        <v>108.74093494609272</v>
      </c>
      <c r="N21" s="9">
        <f t="shared" si="2"/>
        <v>121.96231507193835</v>
      </c>
      <c r="O21" s="9">
        <f t="shared" si="2"/>
        <v>129.11525873878116</v>
      </c>
      <c r="P21" s="9">
        <f t="shared" si="2"/>
        <v>121.10913820678087</v>
      </c>
      <c r="Q21" s="9">
        <f t="shared" si="2"/>
        <v>72.69747918484984</v>
      </c>
      <c r="R21" s="9">
        <f t="shared" si="2"/>
        <v>-100.06211636663784</v>
      </c>
      <c r="S21" s="9"/>
      <c r="T21" s="9"/>
      <c r="U21" s="9"/>
      <c r="V21" s="9"/>
      <c r="W21" s="9"/>
      <c r="X21" s="9"/>
    </row>
    <row r="22" spans="1:24" x14ac:dyDescent="0.3">
      <c r="A22" s="14" t="s">
        <v>33</v>
      </c>
      <c r="B22" s="12">
        <v>0.22700000000000001</v>
      </c>
      <c r="G22" s="34"/>
      <c r="H22" s="42">
        <v>0.85</v>
      </c>
      <c r="I22" s="45">
        <f t="shared" si="1"/>
        <v>386.7366530014761</v>
      </c>
      <c r="J22" s="9">
        <f t="shared" si="2"/>
        <v>61.886897567760172</v>
      </c>
      <c r="K22" s="9">
        <f t="shared" si="2"/>
        <v>78.9529503571258</v>
      </c>
      <c r="L22" s="9">
        <f t="shared" si="2"/>
        <v>95.898934916467994</v>
      </c>
      <c r="M22" s="9">
        <f t="shared" si="2"/>
        <v>112.13502990342479</v>
      </c>
      <c r="N22" s="9">
        <f t="shared" si="2"/>
        <v>126.22493272613053</v>
      </c>
      <c r="O22" s="9">
        <f t="shared" si="2"/>
        <v>134.72469184510692</v>
      </c>
      <c r="P22" s="9">
        <f t="shared" si="2"/>
        <v>128.96081588991404</v>
      </c>
      <c r="Q22" s="9">
        <f t="shared" si="2"/>
        <v>84.685724262478914</v>
      </c>
      <c r="R22" s="9">
        <f t="shared" si="2"/>
        <v>-79.127427012171665</v>
      </c>
      <c r="S22" s="9"/>
      <c r="T22" s="9"/>
      <c r="U22" s="9"/>
      <c r="V22" s="9"/>
      <c r="W22" s="9"/>
      <c r="X22" s="9"/>
    </row>
    <row r="23" spans="1:24" x14ac:dyDescent="0.3">
      <c r="A23" s="2" t="s">
        <v>20</v>
      </c>
      <c r="B23" s="13">
        <f>B19*B20</f>
        <v>97410.735091327995</v>
      </c>
      <c r="C23" t="s">
        <v>24</v>
      </c>
      <c r="G23" s="34"/>
      <c r="H23" s="42">
        <v>0.86</v>
      </c>
      <c r="I23" s="45">
        <f t="shared" si="1"/>
        <v>391.28649597796408</v>
      </c>
      <c r="J23" s="9">
        <f t="shared" si="2"/>
        <v>63.904339384975614</v>
      </c>
      <c r="K23" s="9">
        <f t="shared" si="2"/>
        <v>81.259815061736603</v>
      </c>
      <c r="L23" s="9">
        <f t="shared" si="2"/>
        <v>98.606382473158661</v>
      </c>
      <c r="M23" s="9">
        <f t="shared" si="2"/>
        <v>115.41141592148503</v>
      </c>
      <c r="N23" s="9">
        <f t="shared" si="2"/>
        <v>130.33972063221489</v>
      </c>
      <c r="O23" s="9">
        <f t="shared" si="2"/>
        <v>140.13958695848822</v>
      </c>
      <c r="P23" s="9">
        <f t="shared" si="2"/>
        <v>136.54019339782974</v>
      </c>
      <c r="Q23" s="9">
        <f t="shared" si="2"/>
        <v>96.258210903894678</v>
      </c>
      <c r="R23" s="9">
        <f t="shared" si="2"/>
        <v>-58.918763331376113</v>
      </c>
      <c r="S23" s="9"/>
      <c r="T23" s="9"/>
      <c r="U23" s="9"/>
      <c r="V23" s="9"/>
      <c r="W23" s="9"/>
      <c r="X23" s="9"/>
    </row>
    <row r="24" spans="1:24" x14ac:dyDescent="0.3">
      <c r="A24" s="2" t="s">
        <v>77</v>
      </c>
      <c r="B24" s="15">
        <f>($B$22*B23)/(12*60)</f>
        <v>30.711440091293689</v>
      </c>
      <c r="C24" t="s">
        <v>21</v>
      </c>
      <c r="G24" s="34"/>
      <c r="H24" s="43">
        <v>0.87</v>
      </c>
      <c r="I24" s="45">
        <f t="shared" si="1"/>
        <v>395.836338954452</v>
      </c>
      <c r="J24" s="9">
        <f t="shared" si="2"/>
        <v>65.852614832444061</v>
      </c>
      <c r="K24" s="9">
        <f t="shared" si="2"/>
        <v>83.487590765735959</v>
      </c>
      <c r="L24" s="9">
        <f t="shared" si="2"/>
        <v>101.22100736840811</v>
      </c>
      <c r="M24" s="9">
        <f t="shared" si="2"/>
        <v>118.57547368064564</v>
      </c>
      <c r="N24" s="9">
        <f t="shared" si="2"/>
        <v>134.31343634513166</v>
      </c>
      <c r="O24" s="9">
        <f t="shared" si="2"/>
        <v>145.36883674898718</v>
      </c>
      <c r="P24" s="9">
        <f t="shared" si="2"/>
        <v>143.85971804521137</v>
      </c>
      <c r="Q24" s="9">
        <f t="shared" si="2"/>
        <v>107.43394415044105</v>
      </c>
      <c r="R24" s="9">
        <f t="shared" si="2"/>
        <v>-39.402937427765437</v>
      </c>
      <c r="S24" s="9"/>
      <c r="T24" s="9"/>
      <c r="U24" s="9"/>
      <c r="V24" s="9"/>
      <c r="W24" s="9"/>
      <c r="X24" s="9"/>
    </row>
    <row r="25" spans="1:24" x14ac:dyDescent="0.3">
      <c r="A25" s="2"/>
      <c r="B25" s="13">
        <f>B24*12</f>
        <v>368.53728109552424</v>
      </c>
      <c r="C25" t="s">
        <v>71</v>
      </c>
      <c r="G25" s="34"/>
      <c r="H25" s="42">
        <v>0.88</v>
      </c>
      <c r="I25" s="45">
        <f t="shared" si="1"/>
        <v>400.38618193093993</v>
      </c>
      <c r="J25" s="9">
        <f t="shared" si="2"/>
        <v>67.73484990360744</v>
      </c>
      <c r="K25" s="9">
        <f t="shared" si="2"/>
        <v>85.639851918645206</v>
      </c>
      <c r="L25" s="9">
        <f t="shared" si="2"/>
        <v>103.74700474838338</v>
      </c>
      <c r="M25" s="9">
        <f t="shared" si="2"/>
        <v>121.63227988801086</v>
      </c>
      <c r="N25" s="9">
        <f t="shared" si="2"/>
        <v>138.15245566214017</v>
      </c>
      <c r="O25" s="9">
        <f t="shared" si="2"/>
        <v>150.42083150893774</v>
      </c>
      <c r="P25" s="9">
        <f t="shared" si="2"/>
        <v>150.93113395482942</v>
      </c>
      <c r="Q25" s="9">
        <f t="shared" si="2"/>
        <v>118.23085538285886</v>
      </c>
      <c r="R25" s="9">
        <f t="shared" si="2"/>
        <v>-20.54863630405805</v>
      </c>
      <c r="S25" s="9"/>
      <c r="T25" s="9"/>
      <c r="U25" s="9"/>
      <c r="V25" s="9"/>
      <c r="W25" s="9"/>
      <c r="X25" s="9"/>
    </row>
    <row r="26" spans="1:24" x14ac:dyDescent="0.3">
      <c r="G26" s="34"/>
      <c r="H26" s="42">
        <v>0.89</v>
      </c>
      <c r="I26" s="45">
        <f t="shared" si="1"/>
        <v>404.93602490742791</v>
      </c>
      <c r="J26" s="9">
        <f t="shared" si="2"/>
        <v>69.553995966617862</v>
      </c>
      <c r="K26" s="9">
        <f t="shared" si="2"/>
        <v>87.719973292892703</v>
      </c>
      <c r="L26" s="9">
        <f t="shared" si="2"/>
        <v>106.18833540859505</v>
      </c>
      <c r="M26" s="9">
        <f t="shared" si="2"/>
        <v>124.58662765397685</v>
      </c>
      <c r="N26" s="9">
        <f t="shared" si="2"/>
        <v>141.86279821358389</v>
      </c>
      <c r="O26" s="9">
        <f t="shared" si="2"/>
        <v>155.30349282936101</v>
      </c>
      <c r="P26" s="9">
        <f t="shared" si="2"/>
        <v>157.76552919534527</v>
      </c>
      <c r="Q26" s="9">
        <f t="shared" si="2"/>
        <v>128.6658742931092</v>
      </c>
      <c r="R26" s="9">
        <f t="shared" si="2"/>
        <v>-2.3262961800870698</v>
      </c>
      <c r="S26" s="9"/>
      <c r="T26" s="9"/>
      <c r="U26" s="9"/>
      <c r="V26" s="9"/>
      <c r="W26" s="9"/>
      <c r="X26" s="9"/>
    </row>
    <row r="27" spans="1:24" x14ac:dyDescent="0.3">
      <c r="A27" s="2" t="s">
        <v>29</v>
      </c>
      <c r="B27">
        <v>32.17</v>
      </c>
      <c r="C27" t="s">
        <v>27</v>
      </c>
      <c r="G27" s="34"/>
      <c r="H27" s="42">
        <v>0.9</v>
      </c>
      <c r="I27" s="45">
        <f t="shared" si="1"/>
        <v>409.48586788391583</v>
      </c>
      <c r="J27" s="9">
        <f t="shared" si="2"/>
        <v>71.312841340852074</v>
      </c>
      <c r="K27" s="9">
        <f t="shared" si="2"/>
        <v>89.731143221098677</v>
      </c>
      <c r="L27" s="9">
        <f t="shared" si="2"/>
        <v>108.54874132981247</v>
      </c>
      <c r="M27" s="9">
        <f t="shared" si="2"/>
        <v>127.44304529283826</v>
      </c>
      <c r="N27" s="9">
        <f t="shared" si="2"/>
        <v>145.45015107442646</v>
      </c>
      <c r="O27" s="9">
        <f t="shared" si="2"/>
        <v>160.02430467179585</v>
      </c>
      <c r="P27" s="9">
        <f t="shared" si="2"/>
        <v>164.37337927340712</v>
      </c>
      <c r="Q27" s="9">
        <f t="shared" si="2"/>
        <v>138.75499528978565</v>
      </c>
      <c r="R27" s="9">
        <f t="shared" si="2"/>
        <v>15.292013468852815</v>
      </c>
      <c r="S27" s="9"/>
      <c r="T27" s="9"/>
      <c r="U27" s="9"/>
      <c r="V27" s="9"/>
      <c r="W27" s="9"/>
      <c r="X27" s="9"/>
    </row>
    <row r="28" spans="1:24" x14ac:dyDescent="0.3">
      <c r="B28">
        <f>B27*12</f>
        <v>386.04</v>
      </c>
      <c r="C28" t="s">
        <v>28</v>
      </c>
      <c r="G28" s="34"/>
      <c r="H28" s="42">
        <v>0.91</v>
      </c>
      <c r="I28" s="45">
        <f t="shared" si="1"/>
        <v>414.03571086040381</v>
      </c>
      <c r="J28" s="9">
        <f t="shared" si="2"/>
        <v>73.014021987863899</v>
      </c>
      <c r="K28" s="9">
        <f t="shared" si="2"/>
        <v>91.676375820755581</v>
      </c>
      <c r="L28" s="9">
        <f t="shared" si="2"/>
        <v>110.83176002553809</v>
      </c>
      <c r="M28" s="9">
        <f t="shared" si="2"/>
        <v>130.20581368521613</v>
      </c>
      <c r="N28" s="9">
        <f t="shared" si="2"/>
        <v>148.91989056959102</v>
      </c>
      <c r="O28" s="9">
        <f t="shared" si="2"/>
        <v>164.59034206324714</v>
      </c>
      <c r="P28" s="9">
        <f t="shared" si="2"/>
        <v>170.76458729875651</v>
      </c>
      <c r="Q28" s="9">
        <f t="shared" si="2"/>
        <v>148.51333882375303</v>
      </c>
      <c r="R28" s="9">
        <f t="shared" si="2"/>
        <v>32.33269700300832</v>
      </c>
      <c r="S28" s="9"/>
      <c r="T28" s="9"/>
      <c r="U28" s="9"/>
      <c r="V28" s="9"/>
      <c r="W28" s="9"/>
      <c r="X28" s="9"/>
    </row>
    <row r="29" spans="1:24" x14ac:dyDescent="0.3">
      <c r="G29" s="34"/>
      <c r="H29" s="43">
        <v>0.92</v>
      </c>
      <c r="I29" s="45">
        <f t="shared" si="1"/>
        <v>418.58555383689179</v>
      </c>
      <c r="J29" s="9">
        <f t="shared" si="2"/>
        <v>74.660031393357428</v>
      </c>
      <c r="K29" s="9">
        <f t="shared" si="2"/>
        <v>93.5585222938724</v>
      </c>
      <c r="L29" s="9">
        <f t="shared" si="2"/>
        <v>113.04073780381395</v>
      </c>
      <c r="M29" s="9">
        <f t="shared" si="2"/>
        <v>132.87898232667823</v>
      </c>
      <c r="N29" s="9">
        <f t="shared" si="2"/>
        <v>152.27710242929868</v>
      </c>
      <c r="O29" s="9">
        <f t="shared" si="2"/>
        <v>169.00829761979875</v>
      </c>
      <c r="P29" s="9">
        <f t="shared" si="2"/>
        <v>176.94852111005963</v>
      </c>
      <c r="Q29" s="9">
        <f t="shared" si="2"/>
        <v>157.95520807330104</v>
      </c>
      <c r="R29" s="9">
        <f t="shared" si="2"/>
        <v>48.82073160564039</v>
      </c>
      <c r="S29" s="9"/>
      <c r="T29" s="9"/>
      <c r="U29" s="9"/>
      <c r="V29" s="9"/>
      <c r="W29" s="9"/>
      <c r="X29" s="9"/>
    </row>
    <row r="30" spans="1:24" x14ac:dyDescent="0.3">
      <c r="G30" s="34"/>
      <c r="H30" s="42">
        <v>0.93</v>
      </c>
      <c r="I30" s="45">
        <f t="shared" si="1"/>
        <v>423.13539681337977</v>
      </c>
      <c r="J30" s="9">
        <f t="shared" si="2"/>
        <v>76.253229709391945</v>
      </c>
      <c r="K30" s="9">
        <f t="shared" si="2"/>
        <v>95.380281380723432</v>
      </c>
      <c r="L30" s="9">
        <f t="shared" si="2"/>
        <v>115.1788420362448</v>
      </c>
      <c r="M30" s="9">
        <f t="shared" si="2"/>
        <v>135.46638417495427</v>
      </c>
      <c r="N30" s="9">
        <f t="shared" si="2"/>
        <v>155.52660043557145</v>
      </c>
      <c r="O30" s="9">
        <f t="shared" si="2"/>
        <v>173.28450608466051</v>
      </c>
      <c r="P30" s="9">
        <f t="shared" si="2"/>
        <v>182.93404762148504</v>
      </c>
      <c r="Q30" s="9">
        <f t="shared" si="2"/>
        <v>167.09414138582849</v>
      </c>
      <c r="R30" s="9">
        <f t="shared" si="2"/>
        <v>64.779758860260358</v>
      </c>
      <c r="S30" s="9"/>
      <c r="T30" s="9"/>
      <c r="U30" s="9"/>
      <c r="V30" s="9"/>
      <c r="W30" s="9"/>
      <c r="X30" s="9"/>
    </row>
    <row r="31" spans="1:24" x14ac:dyDescent="0.3">
      <c r="G31" s="34"/>
      <c r="H31" s="42">
        <v>0.94</v>
      </c>
      <c r="I31" s="45">
        <f t="shared" si="1"/>
        <v>427.68523978986764</v>
      </c>
      <c r="J31" s="9">
        <f t="shared" si="2"/>
        <v>77.795852219438828</v>
      </c>
      <c r="K31" s="9">
        <f t="shared" si="2"/>
        <v>97.144209039305011</v>
      </c>
      <c r="L31" s="9">
        <f t="shared" si="2"/>
        <v>117.24907251827536</v>
      </c>
      <c r="M31" s="9">
        <f t="shared" si="2"/>
        <v>137.97164939744215</v>
      </c>
      <c r="N31" s="9">
        <f t="shared" si="2"/>
        <v>158.67294368761907</v>
      </c>
      <c r="O31" s="9">
        <f t="shared" si="2"/>
        <v>177.42496704872156</v>
      </c>
      <c r="P31" s="9">
        <f t="shared" si="2"/>
        <v>188.72956462528748</v>
      </c>
      <c r="Q31" s="9">
        <f t="shared" si="2"/>
        <v>175.94296083525649</v>
      </c>
      <c r="R31" s="9">
        <f t="shared" si="2"/>
        <v>80.232169544891917</v>
      </c>
      <c r="S31" s="9"/>
      <c r="T31" s="9"/>
      <c r="U31" s="9"/>
      <c r="V31" s="9"/>
      <c r="W31" s="9"/>
      <c r="X31" s="9"/>
    </row>
    <row r="32" spans="1:24" x14ac:dyDescent="0.3">
      <c r="G32" s="34"/>
      <c r="H32" s="42">
        <v>0.95</v>
      </c>
      <c r="I32" s="45">
        <f t="shared" si="1"/>
        <v>432.23508276635567</v>
      </c>
      <c r="J32" s="9">
        <f t="shared" si="2"/>
        <v>79.290017183010534</v>
      </c>
      <c r="K32" s="9">
        <f t="shared" si="2"/>
        <v>98.852727415357663</v>
      </c>
      <c r="L32" s="9">
        <f t="shared" si="2"/>
        <v>119.25427199684005</v>
      </c>
      <c r="M32" s="9">
        <f t="shared" si="2"/>
        <v>140.39821811112068</v>
      </c>
      <c r="N32" s="9">
        <f t="shared" si="2"/>
        <v>161.72045260179721</v>
      </c>
      <c r="O32" s="9">
        <f t="shared" si="2"/>
        <v>181.43536600585094</v>
      </c>
      <c r="P32" s="9">
        <f t="shared" si="2"/>
        <v>194.34303026348965</v>
      </c>
      <c r="Q32" s="9">
        <f t="shared" si="2"/>
        <v>184.51381722053316</v>
      </c>
      <c r="R32" s="9">
        <f t="shared" si="2"/>
        <v>95.199182211519997</v>
      </c>
      <c r="S32" s="9"/>
      <c r="T32" s="9"/>
      <c r="U32" s="9"/>
      <c r="V32" s="9"/>
      <c r="W32" s="9"/>
      <c r="X32" s="9"/>
    </row>
    <row r="33" spans="7:24" x14ac:dyDescent="0.3">
      <c r="G33" s="34"/>
      <c r="H33" s="42">
        <v>0.96</v>
      </c>
      <c r="I33" s="45">
        <f t="shared" si="1"/>
        <v>436.78492574284354</v>
      </c>
      <c r="J33" s="9">
        <f t="shared" si="2"/>
        <v>80.737733111290751</v>
      </c>
      <c r="K33" s="9">
        <f t="shared" si="2"/>
        <v>100.50813316176084</v>
      </c>
      <c r="L33" s="9">
        <f t="shared" si="2"/>
        <v>121.19713593440549</v>
      </c>
      <c r="M33" s="9">
        <f t="shared" si="2"/>
        <v>142.74935219839131</v>
      </c>
      <c r="N33" s="9">
        <f t="shared" si="2"/>
        <v>164.67322375103177</v>
      </c>
      <c r="O33" s="9">
        <f t="shared" si="2"/>
        <v>185.32109388098186</v>
      </c>
      <c r="P33" s="9">
        <f t="shared" si="2"/>
        <v>199.78199036187971</v>
      </c>
      <c r="Q33" s="9">
        <f t="shared" si="2"/>
        <v>192.81823180023679</v>
      </c>
      <c r="R33" s="9">
        <f t="shared" si="2"/>
        <v>109.70091606589517</v>
      </c>
      <c r="S33" s="9"/>
      <c r="T33" s="9"/>
      <c r="U33" s="9"/>
      <c r="V33" s="9"/>
      <c r="W33" s="9"/>
      <c r="X33" s="9"/>
    </row>
    <row r="34" spans="7:24" x14ac:dyDescent="0.3">
      <c r="G34" s="34"/>
      <c r="H34" s="43">
        <v>0.97</v>
      </c>
      <c r="I34" s="45">
        <f t="shared" si="1"/>
        <v>441.33476871933152</v>
      </c>
      <c r="J34" s="9">
        <f t="shared" si="2"/>
        <v>82.140905520450474</v>
      </c>
      <c r="K34" s="9">
        <f t="shared" si="2"/>
        <v>102.11260516068177</v>
      </c>
      <c r="L34" s="9">
        <f t="shared" si="2"/>
        <v>123.08022157205663</v>
      </c>
      <c r="M34" s="9">
        <f t="shared" si="2"/>
        <v>145.02814627466574</v>
      </c>
      <c r="N34" s="9">
        <f t="shared" si="2"/>
        <v>167.53514363892765</v>
      </c>
      <c r="O34" s="9">
        <f t="shared" si="2"/>
        <v>189.08726515628422</v>
      </c>
      <c r="P34" s="9">
        <f t="shared" si="2"/>
        <v>205.05360380171234</v>
      </c>
      <c r="Q34" s="9">
        <f t="shared" si="2"/>
        <v>200.86713503107063</v>
      </c>
      <c r="R34" s="9">
        <f t="shared" si="2"/>
        <v>123.75645861533008</v>
      </c>
      <c r="S34" s="9"/>
      <c r="T34" s="9"/>
      <c r="U34" s="9"/>
      <c r="V34" s="9"/>
      <c r="W34" s="9"/>
      <c r="X34" s="9"/>
    </row>
    <row r="35" spans="7:24" x14ac:dyDescent="0.3">
      <c r="G35" s="34"/>
      <c r="H35" s="42">
        <v>0.98</v>
      </c>
      <c r="I35" s="45">
        <f t="shared" si="1"/>
        <v>445.88461169581944</v>
      </c>
      <c r="J35" s="9">
        <f t="shared" si="2"/>
        <v>83.50134320506649</v>
      </c>
      <c r="K35" s="9">
        <f t="shared" si="2"/>
        <v>103.66821169698073</v>
      </c>
      <c r="L35" s="9">
        <f t="shared" si="2"/>
        <v>124.90595634855072</v>
      </c>
      <c r="M35" s="9">
        <f t="shared" si="2"/>
        <v>147.2375378765858</v>
      </c>
      <c r="N35" s="9">
        <f t="shared" si="2"/>
        <v>170.30990149507542</v>
      </c>
      <c r="O35" s="9">
        <f t="shared" si="2"/>
        <v>192.73873470927228</v>
      </c>
      <c r="P35" s="9">
        <f t="shared" si="2"/>
        <v>210.16466608847102</v>
      </c>
      <c r="Q35" s="9">
        <f t="shared" si="2"/>
        <v>208.67090255356004</v>
      </c>
      <c r="R35" s="9">
        <f t="shared" si="2"/>
        <v>137.38392850937237</v>
      </c>
      <c r="S35" s="9"/>
      <c r="T35" s="9"/>
      <c r="U35" s="9"/>
      <c r="V35" s="9"/>
      <c r="W35" s="9"/>
      <c r="X35" s="9"/>
    </row>
    <row r="36" spans="7:24" x14ac:dyDescent="0.3">
      <c r="G36" s="34"/>
      <c r="H36" s="42">
        <v>0.99</v>
      </c>
      <c r="I36" s="45">
        <f t="shared" si="1"/>
        <v>450.43445467230742</v>
      </c>
      <c r="J36" s="9">
        <f t="shared" si="2"/>
        <v>84.820764070225124</v>
      </c>
      <c r="K36" s="9">
        <f t="shared" si="2"/>
        <v>105.1769171269904</v>
      </c>
      <c r="L36" s="9">
        <f t="shared" ref="K36:R37" si="3">TAN(RADIANS(L$6))*$B$14 - 0.5*$B$28*POWER($B$14/(COS(RADIANS(L$6))*$I36), 2)</f>
        <v>126.67664572711773</v>
      </c>
      <c r="M36" s="9">
        <f t="shared" si="3"/>
        <v>149.38031693353491</v>
      </c>
      <c r="N36" s="9">
        <f t="shared" si="3"/>
        <v>173.00100117024894</v>
      </c>
      <c r="O36" s="9">
        <f t="shared" si="3"/>
        <v>196.28011346640639</v>
      </c>
      <c r="P36" s="9">
        <f t="shared" si="3"/>
        <v>215.12163126264443</v>
      </c>
      <c r="Q36" s="9">
        <f t="shared" si="3"/>
        <v>216.23938864627348</v>
      </c>
      <c r="R36" s="9">
        <f t="shared" si="3"/>
        <v>150.60053395984187</v>
      </c>
      <c r="S36" s="9"/>
      <c r="T36" s="9"/>
      <c r="U36" s="9"/>
      <c r="V36" s="9"/>
      <c r="W36" s="9"/>
      <c r="X36" s="9"/>
    </row>
    <row r="37" spans="7:24" ht="15" thickBot="1" x14ac:dyDescent="0.35">
      <c r="G37" s="34"/>
      <c r="H37" s="44">
        <v>1</v>
      </c>
      <c r="I37" s="45">
        <f t="shared" si="1"/>
        <v>454.9842976487954</v>
      </c>
      <c r="J37" s="9">
        <f t="shared" si="2"/>
        <v>86.100800557437168</v>
      </c>
      <c r="K37" s="9">
        <f t="shared" si="3"/>
        <v>106.64058808283443</v>
      </c>
      <c r="L37" s="9">
        <f t="shared" si="3"/>
        <v>128.39448047714811</v>
      </c>
      <c r="M37" s="9">
        <f t="shared" si="3"/>
        <v>151.45913457948672</v>
      </c>
      <c r="N37" s="9">
        <f t="shared" si="3"/>
        <v>175.61177220313883</v>
      </c>
      <c r="O37" s="9">
        <f t="shared" si="3"/>
        <v>199.71578296646712</v>
      </c>
      <c r="P37" s="9">
        <f t="shared" si="3"/>
        <v>219.93063228448165</v>
      </c>
      <c r="Q37" s="9">
        <f t="shared" si="3"/>
        <v>223.58195735005501</v>
      </c>
      <c r="R37" s="9">
        <f t="shared" si="3"/>
        <v>163.42262709208342</v>
      </c>
      <c r="S37" s="9"/>
      <c r="T37" s="9"/>
      <c r="U37" s="9"/>
      <c r="V37" s="9"/>
      <c r="W37" s="9"/>
      <c r="X37" s="9"/>
    </row>
    <row r="38" spans="7:24" x14ac:dyDescent="0.3">
      <c r="K38" s="2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7:24" x14ac:dyDescent="0.3">
      <c r="K39" s="2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7:24" x14ac:dyDescent="0.3">
      <c r="H40" s="28"/>
      <c r="I40" s="28"/>
      <c r="J40" s="28"/>
      <c r="K40" s="2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7:24" x14ac:dyDescent="0.3">
      <c r="K41" s="2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7:24" x14ac:dyDescent="0.3">
      <c r="K42" s="2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7:24" x14ac:dyDescent="0.3">
      <c r="K43" s="2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7:24" x14ac:dyDescent="0.3">
      <c r="K44" s="2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7:24" x14ac:dyDescent="0.3">
      <c r="K45" s="2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7:24" x14ac:dyDescent="0.3">
      <c r="K46" s="2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7:24" x14ac:dyDescent="0.3">
      <c r="K47" s="2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7:24" x14ac:dyDescent="0.3">
      <c r="K48" s="2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1:24" x14ac:dyDescent="0.3">
      <c r="K49" s="2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1:24" x14ac:dyDescent="0.3">
      <c r="K50" s="2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</sheetData>
  <conditionalFormatting sqref="J7:R37">
    <cfRule type="cellIs" dxfId="0" priority="1" operator="between">
      <formula>$B$12</formula>
      <formula>$D$12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9E99-8EDF-47B2-BFED-C4808B3BC384}">
  <dimension ref="A1:AD57"/>
  <sheetViews>
    <sheetView tabSelected="1" topLeftCell="Q3" zoomScale="124" zoomScaleNormal="100" workbookViewId="0">
      <selection activeCell="AC6" sqref="AC6"/>
    </sheetView>
  </sheetViews>
  <sheetFormatPr defaultRowHeight="14.4" x14ac:dyDescent="0.3"/>
  <cols>
    <col min="1" max="1" width="26.109375" customWidth="1"/>
    <col min="7" max="7" width="10" bestFit="1" customWidth="1"/>
    <col min="8" max="8" width="13.77734375" bestFit="1" customWidth="1"/>
    <col min="10" max="24" width="9" bestFit="1" customWidth="1"/>
    <col min="28" max="28" width="9" bestFit="1" customWidth="1"/>
    <col min="29" max="29" width="13.109375" bestFit="1" customWidth="1"/>
  </cols>
  <sheetData>
    <row r="1" spans="1:29" ht="18" x14ac:dyDescent="0.35">
      <c r="A1" s="1" t="s">
        <v>0</v>
      </c>
    </row>
    <row r="2" spans="1:29" ht="18" x14ac:dyDescent="0.35">
      <c r="A2" s="1" t="s">
        <v>1</v>
      </c>
    </row>
    <row r="3" spans="1:29" ht="53.4" customHeight="1" x14ac:dyDescent="0.35">
      <c r="A3" s="51" t="s">
        <v>86</v>
      </c>
    </row>
    <row r="4" spans="1:29" x14ac:dyDescent="0.3">
      <c r="A4" s="50"/>
      <c r="F4" s="54" t="s">
        <v>84</v>
      </c>
      <c r="G4" s="53"/>
      <c r="H4" t="s">
        <v>89</v>
      </c>
    </row>
    <row r="5" spans="1:29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F5" s="53"/>
      <c r="G5" s="53"/>
      <c r="H5" s="2" t="s">
        <v>88</v>
      </c>
      <c r="I5" s="52">
        <v>0</v>
      </c>
      <c r="J5" s="52">
        <v>1</v>
      </c>
      <c r="K5" s="52">
        <v>2</v>
      </c>
      <c r="L5" s="52">
        <v>3</v>
      </c>
      <c r="M5" s="52">
        <v>4</v>
      </c>
      <c r="N5" s="52">
        <v>5</v>
      </c>
      <c r="O5" s="52">
        <v>6</v>
      </c>
      <c r="P5" s="52">
        <v>7</v>
      </c>
      <c r="Q5" s="52">
        <v>8</v>
      </c>
      <c r="R5" s="52">
        <v>9</v>
      </c>
      <c r="S5" s="52">
        <v>10</v>
      </c>
      <c r="T5" s="52">
        <v>11</v>
      </c>
      <c r="U5" s="52">
        <v>12</v>
      </c>
      <c r="V5" s="52">
        <v>13</v>
      </c>
      <c r="W5" s="52">
        <v>14</v>
      </c>
      <c r="X5" s="52">
        <v>15</v>
      </c>
      <c r="AA5" t="s">
        <v>94</v>
      </c>
      <c r="AC5">
        <f>34*12</f>
        <v>408</v>
      </c>
    </row>
    <row r="6" spans="1:29" x14ac:dyDescent="0.3">
      <c r="B6" s="13">
        <f>B5*12+D5</f>
        <v>98.25</v>
      </c>
      <c r="C6" t="s">
        <v>4</v>
      </c>
      <c r="F6" t="s">
        <v>90</v>
      </c>
      <c r="G6" s="2" t="s">
        <v>87</v>
      </c>
      <c r="H6" s="31"/>
      <c r="I6">
        <f>I5*12</f>
        <v>0</v>
      </c>
      <c r="J6">
        <f t="shared" ref="J6:X6" si="0">J5*12</f>
        <v>12</v>
      </c>
      <c r="K6">
        <f t="shared" si="0"/>
        <v>24</v>
      </c>
      <c r="L6">
        <f t="shared" si="0"/>
        <v>36</v>
      </c>
      <c r="M6">
        <f t="shared" si="0"/>
        <v>48</v>
      </c>
      <c r="N6">
        <f t="shared" si="0"/>
        <v>60</v>
      </c>
      <c r="O6">
        <f t="shared" si="0"/>
        <v>72</v>
      </c>
      <c r="P6">
        <f t="shared" si="0"/>
        <v>84</v>
      </c>
      <c r="Q6">
        <f t="shared" si="0"/>
        <v>96</v>
      </c>
      <c r="R6">
        <f t="shared" si="0"/>
        <v>108</v>
      </c>
      <c r="S6">
        <f t="shared" si="0"/>
        <v>120</v>
      </c>
      <c r="T6">
        <f t="shared" si="0"/>
        <v>132</v>
      </c>
      <c r="U6">
        <f t="shared" si="0"/>
        <v>144</v>
      </c>
      <c r="V6">
        <f t="shared" si="0"/>
        <v>156</v>
      </c>
      <c r="W6">
        <f t="shared" si="0"/>
        <v>168</v>
      </c>
      <c r="X6">
        <f t="shared" si="0"/>
        <v>180</v>
      </c>
      <c r="AA6" t="s">
        <v>91</v>
      </c>
      <c r="AB6">
        <v>40</v>
      </c>
      <c r="AC6">
        <f>RADIANS(AB6)</f>
        <v>0.69813170079773179</v>
      </c>
    </row>
    <row r="7" spans="1:29" x14ac:dyDescent="0.3">
      <c r="G7" s="52">
        <v>0</v>
      </c>
      <c r="H7">
        <f>G7*12</f>
        <v>0</v>
      </c>
      <c r="I7">
        <f>I$6*$H7*TAN(RADIANS($B$15))+SQRT(POWER(I$6 * $H7 * TAN(RADIANS($B$15)), 2) - 2* $B$27 * POWER($H7, 2) * ($B$10 - $H7 * TAN(RADIANS($B$15))))</f>
        <v>0</v>
      </c>
      <c r="AA7" t="s">
        <v>92</v>
      </c>
      <c r="AC7">
        <v>0</v>
      </c>
    </row>
    <row r="8" spans="1:29" x14ac:dyDescent="0.3">
      <c r="A8" s="2" t="s">
        <v>7</v>
      </c>
      <c r="B8" s="12">
        <v>24</v>
      </c>
      <c r="C8" t="s">
        <v>4</v>
      </c>
      <c r="G8" s="52">
        <v>1</v>
      </c>
      <c r="H8">
        <f t="shared" ref="H8:H57" si="1">G8*12</f>
        <v>12</v>
      </c>
      <c r="I8" t="e">
        <f>I$6*$H8*TAN(RADIANS($B$15))+SQRT(POWER(I$6 * $H8 * TAN(RADIANS($B$15)), 2) - 2* $B$27 * POWER($H8, 2) * ($B$10 - $H8 * TAN(RADIANS($B$15))))</f>
        <v>#NUM!</v>
      </c>
      <c r="J8" t="e">
        <f>J$6*$H8*TAN(RADIANS($B$15))+SQRT(POWER(J$6 * $H8 * TAN(RADIANS($B$15)), 2) - 2* $B$27 * POWER($H8, 2) * ($B$10 - $H8 * TAN(RADIANS($B$15))))</f>
        <v>#NUM!</v>
      </c>
      <c r="K8" t="e">
        <f t="shared" ref="K8:M8" si="2">K$6*$H8*TAN(RADIANS($B$15))+SQRT(POWER(K$6 * $H8 * TAN(RADIANS($B$15)), 2) - 2* $B$27 * POWER($H8, 2) * ($B$10 - $H8 * TAN(RADIANS($B$15))))</f>
        <v>#NUM!</v>
      </c>
      <c r="L8" t="e">
        <f t="shared" si="2"/>
        <v>#NUM!</v>
      </c>
      <c r="M8" t="e">
        <f t="shared" si="2"/>
        <v>#NUM!</v>
      </c>
      <c r="AA8" t="s">
        <v>93</v>
      </c>
      <c r="AB8">
        <v>0.9</v>
      </c>
      <c r="AC8">
        <f>AB8*B24</f>
        <v>409.48586788391589</v>
      </c>
    </row>
    <row r="9" spans="1:29" x14ac:dyDescent="0.3">
      <c r="G9" s="52">
        <v>2</v>
      </c>
      <c r="H9">
        <f t="shared" si="1"/>
        <v>24</v>
      </c>
      <c r="AA9" t="s">
        <v>95</v>
      </c>
      <c r="AC9">
        <f>AC5/(AC8 * COS(AC6) - AC7)</f>
        <v>1.3006704646485063</v>
      </c>
    </row>
    <row r="10" spans="1:29" x14ac:dyDescent="0.3">
      <c r="A10" s="14" t="s">
        <v>2</v>
      </c>
      <c r="B10" s="13">
        <f>B6-B8</f>
        <v>74.25</v>
      </c>
      <c r="C10" t="s">
        <v>4</v>
      </c>
      <c r="G10" s="52">
        <v>3</v>
      </c>
      <c r="H10">
        <f t="shared" si="1"/>
        <v>36</v>
      </c>
      <c r="AA10" t="s">
        <v>96</v>
      </c>
      <c r="AC10">
        <v>74.25</v>
      </c>
    </row>
    <row r="11" spans="1:29" x14ac:dyDescent="0.3">
      <c r="A11" s="14" t="s">
        <v>81</v>
      </c>
      <c r="B11" s="32">
        <v>10</v>
      </c>
      <c r="C11" t="s">
        <v>4</v>
      </c>
      <c r="G11" s="52">
        <v>4</v>
      </c>
      <c r="H11">
        <f t="shared" si="1"/>
        <v>48</v>
      </c>
      <c r="AA11" t="s">
        <v>97</v>
      </c>
      <c r="AC11">
        <f>AC10-AC5*TAN(AC6)</f>
        <v>-268.1026495203302</v>
      </c>
    </row>
    <row r="12" spans="1:29" x14ac:dyDescent="0.3">
      <c r="A12" s="14" t="s">
        <v>82</v>
      </c>
      <c r="B12" s="30">
        <f>B10-B11</f>
        <v>64.25</v>
      </c>
      <c r="C12" t="s">
        <v>83</v>
      </c>
      <c r="D12" s="13">
        <f>B10+B11</f>
        <v>84.25</v>
      </c>
      <c r="G12" s="52">
        <v>5</v>
      </c>
      <c r="H12">
        <f t="shared" si="1"/>
        <v>60</v>
      </c>
      <c r="AA12" t="s">
        <v>98</v>
      </c>
      <c r="AC12">
        <f>-1*AC7*AC5*TAN(AC6)</f>
        <v>0</v>
      </c>
    </row>
    <row r="13" spans="1:29" x14ac:dyDescent="0.3">
      <c r="A13" s="14" t="s">
        <v>73</v>
      </c>
      <c r="B13" s="12"/>
      <c r="C13" t="s">
        <v>3</v>
      </c>
      <c r="D13" s="12">
        <v>213</v>
      </c>
      <c r="E13" t="s">
        <v>4</v>
      </c>
      <c r="G13" s="52">
        <v>6</v>
      </c>
      <c r="H13">
        <f t="shared" si="1"/>
        <v>72</v>
      </c>
      <c r="AA13" t="s">
        <v>99</v>
      </c>
      <c r="AC13">
        <f>0.5*B27*AC5*AC5</f>
        <v>32130881.280000001</v>
      </c>
    </row>
    <row r="14" spans="1:29" x14ac:dyDescent="0.3">
      <c r="A14" s="14"/>
      <c r="B14" s="30">
        <f>B13*12+D13</f>
        <v>213</v>
      </c>
      <c r="C14" t="s">
        <v>4</v>
      </c>
      <c r="D14" s="29"/>
      <c r="G14" s="52">
        <v>7</v>
      </c>
      <c r="H14">
        <f t="shared" si="1"/>
        <v>84</v>
      </c>
      <c r="AA14" t="s">
        <v>100</v>
      </c>
      <c r="AC14">
        <f>(-AC12 + SQRT(AC12 * AC12 - 4 * AC11 * AC13))/(2*AC11)</f>
        <v>-346.18700840115656</v>
      </c>
    </row>
    <row r="15" spans="1:29" x14ac:dyDescent="0.3">
      <c r="A15" s="2" t="s">
        <v>32</v>
      </c>
      <c r="B15" s="13">
        <v>40</v>
      </c>
      <c r="C15" t="s">
        <v>42</v>
      </c>
      <c r="G15" s="52">
        <v>8</v>
      </c>
      <c r="H15">
        <f t="shared" si="1"/>
        <v>96</v>
      </c>
      <c r="AA15" t="s">
        <v>101</v>
      </c>
      <c r="AC15">
        <f>(-AC12 - SQRT(AC12 * AC12 - 4 * AC11 * AC13))/(2*AC11)</f>
        <v>346.18700840115656</v>
      </c>
    </row>
    <row r="16" spans="1:29" x14ac:dyDescent="0.3">
      <c r="A16" s="2" t="s">
        <v>19</v>
      </c>
      <c r="B16" s="12">
        <v>6</v>
      </c>
      <c r="C16" t="s">
        <v>4</v>
      </c>
      <c r="G16" s="52">
        <v>9</v>
      </c>
      <c r="H16">
        <f t="shared" si="1"/>
        <v>108</v>
      </c>
      <c r="AA16" t="s">
        <v>102</v>
      </c>
      <c r="AC16">
        <f>AC14 + AC7</f>
        <v>-346.18700840115656</v>
      </c>
    </row>
    <row r="17" spans="1:30" x14ac:dyDescent="0.3">
      <c r="A17" s="2" t="s">
        <v>74</v>
      </c>
      <c r="B17" s="12">
        <v>6380</v>
      </c>
      <c r="G17" s="52">
        <v>10</v>
      </c>
      <c r="H17">
        <f t="shared" si="1"/>
        <v>120</v>
      </c>
      <c r="AA17" t="s">
        <v>103</v>
      </c>
      <c r="AC17">
        <f>AC15 + AC7</f>
        <v>346.18700840115656</v>
      </c>
    </row>
    <row r="18" spans="1:30" x14ac:dyDescent="0.3">
      <c r="A18" s="2" t="s">
        <v>75</v>
      </c>
      <c r="B18" s="12">
        <v>1</v>
      </c>
      <c r="G18" s="52">
        <v>11</v>
      </c>
      <c r="H18">
        <f t="shared" si="1"/>
        <v>132</v>
      </c>
      <c r="AA18" t="s">
        <v>93</v>
      </c>
      <c r="AC18">
        <f>AC16/COS(AC6)</f>
        <v>-451.91504423900454</v>
      </c>
      <c r="AD18">
        <f>AC18/B24</f>
        <v>-0.99325415530678374</v>
      </c>
    </row>
    <row r="19" spans="1:30" x14ac:dyDescent="0.3">
      <c r="A19" s="14" t="s">
        <v>23</v>
      </c>
      <c r="B19" s="30">
        <f>B17*B18</f>
        <v>6380</v>
      </c>
      <c r="G19" s="52">
        <v>12</v>
      </c>
      <c r="H19">
        <f t="shared" si="1"/>
        <v>144</v>
      </c>
      <c r="AA19" t="s">
        <v>104</v>
      </c>
      <c r="AC19">
        <f>AC17/COS(AC6)</f>
        <v>451.91504423900454</v>
      </c>
      <c r="AD19">
        <f>AC19/B24</f>
        <v>0.99325415530678374</v>
      </c>
    </row>
    <row r="20" spans="1:30" x14ac:dyDescent="0.3">
      <c r="A20" s="14" t="s">
        <v>22</v>
      </c>
      <c r="B20" s="13">
        <f>PI()*B16</f>
        <v>18.849555921538759</v>
      </c>
      <c r="C20" t="s">
        <v>4</v>
      </c>
      <c r="G20" s="52">
        <v>13</v>
      </c>
      <c r="H20">
        <f t="shared" si="1"/>
        <v>156</v>
      </c>
    </row>
    <row r="21" spans="1:30" x14ac:dyDescent="0.3">
      <c r="A21" s="14" t="s">
        <v>33</v>
      </c>
      <c r="B21" s="12">
        <v>0.22700000000000001</v>
      </c>
      <c r="G21" s="52">
        <v>14</v>
      </c>
      <c r="H21">
        <f t="shared" si="1"/>
        <v>168</v>
      </c>
    </row>
    <row r="22" spans="1:30" x14ac:dyDescent="0.3">
      <c r="A22" s="2" t="s">
        <v>20</v>
      </c>
      <c r="B22" s="13">
        <f>B19*B20</f>
        <v>120260.16677941728</v>
      </c>
      <c r="C22" t="s">
        <v>24</v>
      </c>
      <c r="G22" s="52">
        <v>15</v>
      </c>
      <c r="H22">
        <f t="shared" si="1"/>
        <v>180</v>
      </c>
    </row>
    <row r="23" spans="1:30" x14ac:dyDescent="0.3">
      <c r="A23" s="2" t="s">
        <v>77</v>
      </c>
      <c r="B23" s="15">
        <f>($B$21*B22)/(12*60)</f>
        <v>37.915358137399615</v>
      </c>
      <c r="C23" t="s">
        <v>21</v>
      </c>
      <c r="G23" s="52">
        <v>16</v>
      </c>
      <c r="H23">
        <f t="shared" si="1"/>
        <v>192</v>
      </c>
    </row>
    <row r="24" spans="1:30" x14ac:dyDescent="0.3">
      <c r="A24" s="2"/>
      <c r="B24" s="13">
        <f>B23*12</f>
        <v>454.9842976487954</v>
      </c>
      <c r="C24" t="s">
        <v>71</v>
      </c>
      <c r="G24" s="52">
        <v>17</v>
      </c>
      <c r="H24">
        <f t="shared" si="1"/>
        <v>204</v>
      </c>
    </row>
    <row r="25" spans="1:30" x14ac:dyDescent="0.3">
      <c r="G25" s="52">
        <v>18</v>
      </c>
      <c r="H25">
        <f t="shared" si="1"/>
        <v>216</v>
      </c>
    </row>
    <row r="26" spans="1:30" x14ac:dyDescent="0.3">
      <c r="B26">
        <v>32.17</v>
      </c>
      <c r="C26" t="s">
        <v>27</v>
      </c>
      <c r="G26" s="52">
        <v>19</v>
      </c>
      <c r="H26">
        <f t="shared" si="1"/>
        <v>228</v>
      </c>
    </row>
    <row r="27" spans="1:30" x14ac:dyDescent="0.3">
      <c r="A27" s="2" t="s">
        <v>29</v>
      </c>
      <c r="B27" s="29">
        <f>B26*12</f>
        <v>386.04</v>
      </c>
      <c r="C27" t="s">
        <v>28</v>
      </c>
      <c r="G27" s="52">
        <v>20</v>
      </c>
      <c r="H27">
        <f t="shared" si="1"/>
        <v>240</v>
      </c>
    </row>
    <row r="28" spans="1:30" x14ac:dyDescent="0.3">
      <c r="G28" s="52">
        <v>21</v>
      </c>
      <c r="H28">
        <f t="shared" si="1"/>
        <v>252</v>
      </c>
    </row>
    <row r="29" spans="1:30" x14ac:dyDescent="0.3">
      <c r="G29" s="52">
        <v>22</v>
      </c>
      <c r="H29">
        <f t="shared" si="1"/>
        <v>264</v>
      </c>
    </row>
    <row r="30" spans="1:30" x14ac:dyDescent="0.3">
      <c r="G30" s="52">
        <v>23</v>
      </c>
      <c r="H30">
        <f t="shared" si="1"/>
        <v>276</v>
      </c>
    </row>
    <row r="31" spans="1:30" x14ac:dyDescent="0.3">
      <c r="G31" s="52">
        <v>24</v>
      </c>
      <c r="H31">
        <f t="shared" si="1"/>
        <v>288</v>
      </c>
    </row>
    <row r="32" spans="1:30" x14ac:dyDescent="0.3">
      <c r="G32" s="52">
        <v>25</v>
      </c>
      <c r="H32">
        <f t="shared" si="1"/>
        <v>300</v>
      </c>
    </row>
    <row r="33" spans="7:8" x14ac:dyDescent="0.3">
      <c r="G33" s="52">
        <v>26</v>
      </c>
      <c r="H33">
        <f t="shared" si="1"/>
        <v>312</v>
      </c>
    </row>
    <row r="34" spans="7:8" x14ac:dyDescent="0.3">
      <c r="G34" s="52">
        <v>27</v>
      </c>
      <c r="H34">
        <f t="shared" si="1"/>
        <v>324</v>
      </c>
    </row>
    <row r="35" spans="7:8" x14ac:dyDescent="0.3">
      <c r="G35" s="52">
        <v>28</v>
      </c>
      <c r="H35">
        <f t="shared" si="1"/>
        <v>336</v>
      </c>
    </row>
    <row r="36" spans="7:8" x14ac:dyDescent="0.3">
      <c r="G36" s="52">
        <v>29</v>
      </c>
      <c r="H36">
        <f t="shared" si="1"/>
        <v>348</v>
      </c>
    </row>
    <row r="37" spans="7:8" x14ac:dyDescent="0.3">
      <c r="G37" s="52">
        <v>30</v>
      </c>
      <c r="H37">
        <f t="shared" si="1"/>
        <v>360</v>
      </c>
    </row>
    <row r="38" spans="7:8" x14ac:dyDescent="0.3">
      <c r="G38" s="52">
        <v>31</v>
      </c>
      <c r="H38">
        <f t="shared" si="1"/>
        <v>372</v>
      </c>
    </row>
    <row r="39" spans="7:8" x14ac:dyDescent="0.3">
      <c r="G39" s="52">
        <v>32</v>
      </c>
      <c r="H39">
        <f t="shared" si="1"/>
        <v>384</v>
      </c>
    </row>
    <row r="40" spans="7:8" x14ac:dyDescent="0.3">
      <c r="G40" s="52">
        <v>33</v>
      </c>
      <c r="H40">
        <f t="shared" si="1"/>
        <v>396</v>
      </c>
    </row>
    <row r="41" spans="7:8" x14ac:dyDescent="0.3">
      <c r="G41" s="52">
        <v>34</v>
      </c>
      <c r="H41">
        <f t="shared" si="1"/>
        <v>408</v>
      </c>
    </row>
    <row r="42" spans="7:8" x14ac:dyDescent="0.3">
      <c r="G42" s="52">
        <v>35</v>
      </c>
      <c r="H42">
        <f t="shared" si="1"/>
        <v>420</v>
      </c>
    </row>
    <row r="43" spans="7:8" x14ac:dyDescent="0.3">
      <c r="G43" s="52">
        <v>36</v>
      </c>
      <c r="H43">
        <f t="shared" si="1"/>
        <v>432</v>
      </c>
    </row>
    <row r="44" spans="7:8" x14ac:dyDescent="0.3">
      <c r="G44" s="52">
        <v>37</v>
      </c>
      <c r="H44">
        <f t="shared" si="1"/>
        <v>444</v>
      </c>
    </row>
    <row r="45" spans="7:8" x14ac:dyDescent="0.3">
      <c r="G45" s="52">
        <v>38</v>
      </c>
      <c r="H45">
        <f t="shared" si="1"/>
        <v>456</v>
      </c>
    </row>
    <row r="46" spans="7:8" x14ac:dyDescent="0.3">
      <c r="G46" s="52">
        <v>39</v>
      </c>
      <c r="H46">
        <f t="shared" si="1"/>
        <v>468</v>
      </c>
    </row>
    <row r="47" spans="7:8" x14ac:dyDescent="0.3">
      <c r="G47" s="52">
        <v>40</v>
      </c>
      <c r="H47">
        <f t="shared" si="1"/>
        <v>480</v>
      </c>
    </row>
    <row r="48" spans="7:8" x14ac:dyDescent="0.3">
      <c r="G48" s="52">
        <v>41</v>
      </c>
      <c r="H48">
        <f t="shared" si="1"/>
        <v>492</v>
      </c>
    </row>
    <row r="49" spans="7:8" x14ac:dyDescent="0.3">
      <c r="G49" s="52">
        <v>42</v>
      </c>
      <c r="H49">
        <f t="shared" si="1"/>
        <v>504</v>
      </c>
    </row>
    <row r="50" spans="7:8" x14ac:dyDescent="0.3">
      <c r="G50" s="52">
        <v>43</v>
      </c>
      <c r="H50">
        <f t="shared" si="1"/>
        <v>516</v>
      </c>
    </row>
    <row r="51" spans="7:8" x14ac:dyDescent="0.3">
      <c r="G51" s="52">
        <v>44</v>
      </c>
      <c r="H51">
        <f t="shared" si="1"/>
        <v>528</v>
      </c>
    </row>
    <row r="52" spans="7:8" x14ac:dyDescent="0.3">
      <c r="G52" s="52">
        <v>45</v>
      </c>
      <c r="H52">
        <f t="shared" si="1"/>
        <v>540</v>
      </c>
    </row>
    <row r="53" spans="7:8" x14ac:dyDescent="0.3">
      <c r="G53" s="52">
        <v>46</v>
      </c>
      <c r="H53">
        <f t="shared" si="1"/>
        <v>552</v>
      </c>
    </row>
    <row r="54" spans="7:8" x14ac:dyDescent="0.3">
      <c r="G54" s="52">
        <v>47</v>
      </c>
      <c r="H54">
        <f t="shared" si="1"/>
        <v>564</v>
      </c>
    </row>
    <row r="55" spans="7:8" x14ac:dyDescent="0.3">
      <c r="G55" s="52">
        <v>48</v>
      </c>
      <c r="H55">
        <f t="shared" si="1"/>
        <v>576</v>
      </c>
    </row>
    <row r="56" spans="7:8" x14ac:dyDescent="0.3">
      <c r="G56" s="52">
        <v>49</v>
      </c>
      <c r="H56">
        <f t="shared" si="1"/>
        <v>588</v>
      </c>
    </row>
    <row r="57" spans="7:8" x14ac:dyDescent="0.3">
      <c r="G57" s="52">
        <v>50</v>
      </c>
      <c r="H57">
        <f t="shared" si="1"/>
        <v>600</v>
      </c>
    </row>
  </sheetData>
  <mergeCells count="1">
    <mergeCell ref="F4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1B9-AB1F-4E81-B4BB-AF8902B9204F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62</v>
      </c>
    </row>
    <row r="2" spans="1:5" x14ac:dyDescent="0.3">
      <c r="A2" t="s">
        <v>44</v>
      </c>
      <c r="B2" t="s">
        <v>61</v>
      </c>
    </row>
    <row r="3" spans="1:5" x14ac:dyDescent="0.3">
      <c r="A3">
        <v>33</v>
      </c>
      <c r="B3">
        <v>0.95</v>
      </c>
      <c r="C3" t="s">
        <v>63</v>
      </c>
      <c r="E3" t="s">
        <v>64</v>
      </c>
    </row>
    <row r="4" spans="1:5" x14ac:dyDescent="0.3">
      <c r="A4">
        <v>28</v>
      </c>
      <c r="B4">
        <v>0.83</v>
      </c>
      <c r="C4" t="s">
        <v>66</v>
      </c>
      <c r="E4" t="s">
        <v>65</v>
      </c>
    </row>
    <row r="5" spans="1:5" x14ac:dyDescent="0.3">
      <c r="A5">
        <v>28</v>
      </c>
      <c r="B5">
        <v>0.9</v>
      </c>
      <c r="C5" t="s">
        <v>67</v>
      </c>
    </row>
    <row r="6" spans="1:5" x14ac:dyDescent="0.3">
      <c r="A6">
        <v>28</v>
      </c>
      <c r="B6">
        <v>0.92</v>
      </c>
      <c r="C6" t="s">
        <v>68</v>
      </c>
    </row>
    <row r="7" spans="1:5" x14ac:dyDescent="0.3">
      <c r="A7">
        <v>28</v>
      </c>
      <c r="B7">
        <v>0.91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4" x14ac:dyDescent="0.3"/>
  <cols>
    <col min="3" max="3" width="14.5546875" customWidth="1"/>
  </cols>
  <sheetData>
    <row r="1" spans="1:10" x14ac:dyDescent="0.3">
      <c r="A1" t="s">
        <v>48</v>
      </c>
    </row>
    <row r="3" spans="1:10" ht="18" x14ac:dyDescent="0.35">
      <c r="A3" s="1" t="s">
        <v>52</v>
      </c>
      <c r="G3" s="1" t="s">
        <v>56</v>
      </c>
    </row>
    <row r="5" spans="1:10" ht="15.6" x14ac:dyDescent="0.3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3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3">
      <c r="H7" t="s">
        <v>44</v>
      </c>
      <c r="I7" s="10">
        <f>SQRT((D11-B5/2)^2+D13^2)</f>
        <v>221.39756209136542</v>
      </c>
      <c r="J7" t="s">
        <v>4</v>
      </c>
    </row>
    <row r="8" spans="1:10" x14ac:dyDescent="0.3">
      <c r="I8" s="10">
        <f>ROUND(I7/12,1)</f>
        <v>18.399999999999999</v>
      </c>
      <c r="J8" t="s">
        <v>3</v>
      </c>
    </row>
    <row r="9" spans="1:10" ht="18" x14ac:dyDescent="0.35">
      <c r="A9" s="1" t="s">
        <v>55</v>
      </c>
    </row>
    <row r="10" spans="1:10" x14ac:dyDescent="0.3">
      <c r="H10" s="2" t="s">
        <v>59</v>
      </c>
    </row>
    <row r="11" spans="1:10" x14ac:dyDescent="0.3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3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3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3">
      <c r="A14" s="2" t="s">
        <v>57</v>
      </c>
      <c r="D14" s="12">
        <v>374.59</v>
      </c>
      <c r="E14" t="s">
        <v>4</v>
      </c>
    </row>
    <row r="15" spans="1:10" x14ac:dyDescent="0.3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topLeftCell="A4" workbookViewId="0">
      <selection activeCell="D28" sqref="D28:D30"/>
    </sheetView>
  </sheetViews>
  <sheetFormatPr defaultRowHeight="14.4" x14ac:dyDescent="0.3"/>
  <cols>
    <col min="1" max="1" width="10.21875" customWidth="1"/>
    <col min="2" max="2" width="11.88671875" customWidth="1"/>
    <col min="3" max="3" width="12.88671875" customWidth="1"/>
    <col min="8" max="12" width="14.5546875" style="3" customWidth="1"/>
    <col min="13" max="13" width="17.6640625" style="3" customWidth="1"/>
    <col min="14" max="14" width="14.5546875" customWidth="1"/>
  </cols>
  <sheetData>
    <row r="1" spans="1:16" ht="18" x14ac:dyDescent="0.35">
      <c r="A1" s="1" t="s">
        <v>0</v>
      </c>
    </row>
    <row r="2" spans="1:16" ht="18" x14ac:dyDescent="0.35">
      <c r="A2" s="1" t="s">
        <v>1</v>
      </c>
    </row>
    <row r="4" spans="1:16" x14ac:dyDescent="0.3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3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3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5" thickBot="1" x14ac:dyDescent="0.3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3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3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3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3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3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3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3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3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35">
      <c r="A17" s="1" t="s">
        <v>43</v>
      </c>
    </row>
    <row r="18" spans="1:14" x14ac:dyDescent="0.3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5" thickBot="1" x14ac:dyDescent="0.3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3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3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3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5" thickBot="1" x14ac:dyDescent="0.3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3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3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3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3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3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3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3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5" thickBot="1" x14ac:dyDescent="0.3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3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3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3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3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3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3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3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3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3">
      <c r="A40" s="3"/>
      <c r="B40" s="3"/>
    </row>
    <row r="41" spans="1:14" x14ac:dyDescent="0.3">
      <c r="A41" s="3"/>
      <c r="B41" s="3"/>
    </row>
    <row r="42" spans="1:14" x14ac:dyDescent="0.3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5" thickBot="1" x14ac:dyDescent="0.3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3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3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3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3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3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3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3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3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3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5" thickBot="1" x14ac:dyDescent="0.3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3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3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3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3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3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3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3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3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3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5" thickBot="1" x14ac:dyDescent="0.3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3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3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3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3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3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3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3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3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4" x14ac:dyDescent="0.3"/>
  <cols>
    <col min="2" max="2" width="19.5546875" bestFit="1" customWidth="1"/>
    <col min="4" max="4" width="6.77734375" customWidth="1"/>
    <col min="6" max="6" width="4.21875" customWidth="1"/>
  </cols>
  <sheetData>
    <row r="2" spans="1:6" x14ac:dyDescent="0.3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3">
      <c r="A3" s="11" t="s">
        <v>25</v>
      </c>
      <c r="B3" t="s">
        <v>23</v>
      </c>
      <c r="C3">
        <v>8000</v>
      </c>
    </row>
    <row r="4" spans="1:6" x14ac:dyDescent="0.3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3">
      <c r="A5" s="11"/>
      <c r="E5" s="10"/>
    </row>
    <row r="6" spans="1:6" x14ac:dyDescent="0.3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3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Ballistics</vt:lpstr>
      <vt:lpstr>Ballistics2</vt:lpstr>
      <vt:lpstr>Ballistics3</vt:lpstr>
      <vt:lpstr>RobotSpeedAdjusted</vt:lpstr>
      <vt:lpstr>DistanceSpeedTesting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Jonas Muhlenkamp</cp:lastModifiedBy>
  <dcterms:created xsi:type="dcterms:W3CDTF">2020-01-05T23:35:41Z</dcterms:created>
  <dcterms:modified xsi:type="dcterms:W3CDTF">2020-03-12T11:07:02Z</dcterms:modified>
</cp:coreProperties>
</file>