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Code\FRC\2020-Robot\"/>
    </mc:Choice>
  </mc:AlternateContent>
  <xr:revisionPtr revIDLastSave="0" documentId="8_{016291A1-D604-48DD-8F52-77BB33D6DD89}" xr6:coauthVersionLast="45" xr6:coauthVersionMax="45" xr10:uidLastSave="{00000000-0000-0000-0000-000000000000}"/>
  <bookViews>
    <workbookView xWindow="-108" yWindow="-108" windowWidth="23256" windowHeight="13176" firstSheet="1" activeTab="3" xr2:uid="{6505FE35-6DDB-4B85-B29F-6D89AE1E982C}"/>
  </bookViews>
  <sheets>
    <sheet name="Height" sheetId="2" r:id="rId1"/>
    <sheet name="Ballistics" sheetId="7" r:id="rId2"/>
    <sheet name="Ballistics2" sheetId="11" r:id="rId3"/>
    <sheet name="Ballistics3" sheetId="12" r:id="rId4"/>
    <sheet name="DistanceSpeedTesting" sheetId="10" r:id="rId5"/>
    <sheet name="Distance" sheetId="3" r:id="rId6"/>
    <sheet name="Defense" sheetId="8" r:id="rId7"/>
    <sheet name="Locations" sheetId="9" r:id="rId8"/>
    <sheet name="Plot Data" sheetId="1" r:id="rId9"/>
    <sheet name="Motor Speed Estimator" sheetId="6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7" i="12"/>
  <c r="J6" i="11"/>
  <c r="B12" i="12"/>
  <c r="B19" i="12"/>
  <c r="B23" i="12" s="1"/>
  <c r="B24" i="12" s="1"/>
  <c r="B25" i="12" s="1"/>
  <c r="B28" i="12"/>
  <c r="B20" i="12"/>
  <c r="B6" i="12"/>
  <c r="B10" i="12" s="1"/>
  <c r="D12" i="12" s="1"/>
  <c r="I44" i="11" l="1"/>
  <c r="I45" i="11"/>
  <c r="I46" i="11"/>
  <c r="I39" i="11"/>
  <c r="I40" i="11"/>
  <c r="I41" i="11"/>
  <c r="I42" i="11"/>
  <c r="I43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6" i="11"/>
  <c r="B24" i="11"/>
  <c r="B16" i="11"/>
  <c r="B15" i="11"/>
  <c r="B8" i="11"/>
  <c r="B12" i="11" s="1"/>
  <c r="B14" i="7"/>
  <c r="B19" i="11" l="1"/>
  <c r="B20" i="11" s="1"/>
  <c r="B21" i="11" s="1"/>
  <c r="B13" i="7"/>
  <c r="L44" i="11" l="1"/>
  <c r="V45" i="11"/>
  <c r="T45" i="11"/>
  <c r="Q46" i="11"/>
  <c r="O46" i="11"/>
  <c r="S46" i="11"/>
  <c r="N45" i="11"/>
  <c r="U45" i="11"/>
  <c r="Q44" i="11"/>
  <c r="U44" i="11"/>
  <c r="T46" i="11"/>
  <c r="P44" i="11"/>
  <c r="R46" i="11"/>
  <c r="V44" i="11"/>
  <c r="P45" i="11"/>
  <c r="K45" i="11"/>
  <c r="N44" i="11"/>
  <c r="R45" i="11"/>
  <c r="M45" i="11"/>
  <c r="L45" i="11"/>
  <c r="K44" i="11"/>
  <c r="S45" i="11"/>
  <c r="M44" i="11"/>
  <c r="P39" i="11"/>
  <c r="J46" i="11"/>
  <c r="K46" i="11"/>
  <c r="L46" i="11"/>
  <c r="M46" i="11"/>
  <c r="O45" i="11"/>
  <c r="N46" i="11"/>
  <c r="U46" i="11"/>
  <c r="R44" i="11"/>
  <c r="V46" i="11"/>
  <c r="T44" i="11"/>
  <c r="O44" i="11"/>
  <c r="J44" i="11"/>
  <c r="S44" i="11"/>
  <c r="P46" i="11"/>
  <c r="J45" i="11"/>
  <c r="Q45" i="11"/>
  <c r="S43" i="11"/>
  <c r="J40" i="11"/>
  <c r="V40" i="11"/>
  <c r="L42" i="11"/>
  <c r="M43" i="11"/>
  <c r="O41" i="11"/>
  <c r="V39" i="11"/>
  <c r="N43" i="11"/>
  <c r="R40" i="11"/>
  <c r="S40" i="11"/>
  <c r="P43" i="11"/>
  <c r="S41" i="11"/>
  <c r="P42" i="11"/>
  <c r="Q39" i="11"/>
  <c r="J43" i="11"/>
  <c r="K40" i="11"/>
  <c r="J39" i="11"/>
  <c r="P41" i="11"/>
  <c r="M42" i="11"/>
  <c r="N39" i="11"/>
  <c r="N42" i="11"/>
  <c r="S42" i="11"/>
  <c r="M39" i="11"/>
  <c r="Q43" i="11"/>
  <c r="V43" i="11"/>
  <c r="T41" i="11"/>
  <c r="T43" i="11"/>
  <c r="K39" i="11"/>
  <c r="Q42" i="11"/>
  <c r="M40" i="11"/>
  <c r="M41" i="11"/>
  <c r="N40" i="11"/>
  <c r="N41" i="11"/>
  <c r="O40" i="11"/>
  <c r="Q41" i="11"/>
  <c r="P40" i="11"/>
  <c r="R41" i="11"/>
  <c r="Q40" i="11"/>
  <c r="U41" i="11"/>
  <c r="O42" i="11"/>
  <c r="K41" i="11"/>
  <c r="L40" i="11"/>
  <c r="U42" i="11"/>
  <c r="T40" i="11"/>
  <c r="V41" i="11"/>
  <c r="U40" i="11"/>
  <c r="R39" i="11"/>
  <c r="T39" i="11"/>
  <c r="K42" i="11"/>
  <c r="J41" i="11"/>
  <c r="T42" i="11"/>
  <c r="L41" i="11"/>
  <c r="O39" i="11"/>
  <c r="U39" i="11"/>
  <c r="R42" i="11"/>
  <c r="J42" i="11"/>
  <c r="R43" i="11"/>
  <c r="K43" i="11"/>
  <c r="S39" i="11"/>
  <c r="L39" i="11"/>
  <c r="U43" i="11"/>
  <c r="L43" i="11"/>
  <c r="O43" i="11"/>
  <c r="V42" i="11"/>
  <c r="T8" i="11"/>
  <c r="K17" i="11"/>
  <c r="U19" i="11"/>
  <c r="S21" i="11"/>
  <c r="Q23" i="11"/>
  <c r="O25" i="11"/>
  <c r="M27" i="11"/>
  <c r="K29" i="11"/>
  <c r="V30" i="11"/>
  <c r="T32" i="11"/>
  <c r="R34" i="11"/>
  <c r="P36" i="11"/>
  <c r="N38" i="11"/>
  <c r="L29" i="11"/>
  <c r="U32" i="11"/>
  <c r="R35" i="11"/>
  <c r="O38" i="11"/>
  <c r="S35" i="11"/>
  <c r="T23" i="11"/>
  <c r="M30" i="11"/>
  <c r="T35" i="11"/>
  <c r="J34" i="11"/>
  <c r="S37" i="11"/>
  <c r="K6" i="11"/>
  <c r="J7" i="11"/>
  <c r="V7" i="11"/>
  <c r="U8" i="11"/>
  <c r="T9" i="11"/>
  <c r="S10" i="11"/>
  <c r="R11" i="11"/>
  <c r="Q12" i="11"/>
  <c r="P13" i="11"/>
  <c r="O14" i="11"/>
  <c r="N15" i="11"/>
  <c r="M16" i="11"/>
  <c r="L17" i="11"/>
  <c r="K18" i="11"/>
  <c r="J19" i="11"/>
  <c r="V19" i="11"/>
  <c r="U20" i="11"/>
  <c r="T21" i="11"/>
  <c r="S22" i="11"/>
  <c r="R23" i="11"/>
  <c r="Q24" i="11"/>
  <c r="P25" i="11"/>
  <c r="O26" i="11"/>
  <c r="N27" i="11"/>
  <c r="K30" i="11"/>
  <c r="V31" i="11"/>
  <c r="S34" i="11"/>
  <c r="P37" i="11"/>
  <c r="Q37" i="11"/>
  <c r="J21" i="11"/>
  <c r="J33" i="11"/>
  <c r="V34" i="11"/>
  <c r="L6" i="11"/>
  <c r="K7" i="11"/>
  <c r="J8" i="11"/>
  <c r="V8" i="11"/>
  <c r="U9" i="11"/>
  <c r="T10" i="11"/>
  <c r="S11" i="11"/>
  <c r="R12" i="11"/>
  <c r="Q13" i="11"/>
  <c r="P14" i="11"/>
  <c r="O15" i="11"/>
  <c r="N16" i="11"/>
  <c r="M17" i="11"/>
  <c r="L18" i="11"/>
  <c r="K19" i="11"/>
  <c r="J20" i="11"/>
  <c r="V20" i="11"/>
  <c r="U21" i="11"/>
  <c r="T22" i="11"/>
  <c r="S23" i="11"/>
  <c r="R24" i="11"/>
  <c r="Q25" i="11"/>
  <c r="P26" i="11"/>
  <c r="O27" i="11"/>
  <c r="N28" i="11"/>
  <c r="M29" i="11"/>
  <c r="L30" i="11"/>
  <c r="K31" i="11"/>
  <c r="J32" i="11"/>
  <c r="V32" i="11"/>
  <c r="U33" i="11"/>
  <c r="R36" i="11"/>
  <c r="P38" i="11"/>
  <c r="U22" i="11"/>
  <c r="L31" i="11"/>
  <c r="U34" i="11"/>
  <c r="R37" i="11"/>
  <c r="L32" i="11"/>
  <c r="M6" i="11"/>
  <c r="L7" i="11"/>
  <c r="K8" i="11"/>
  <c r="J9" i="11"/>
  <c r="V9" i="11"/>
  <c r="U10" i="11"/>
  <c r="T11" i="11"/>
  <c r="S12" i="11"/>
  <c r="R13" i="11"/>
  <c r="Q14" i="11"/>
  <c r="P15" i="11"/>
  <c r="O16" i="11"/>
  <c r="N17" i="11"/>
  <c r="M18" i="11"/>
  <c r="L19" i="11"/>
  <c r="K20" i="11"/>
  <c r="S24" i="11"/>
  <c r="R25" i="11"/>
  <c r="Q26" i="11"/>
  <c r="P27" i="11"/>
  <c r="N29" i="11"/>
  <c r="K32" i="11"/>
  <c r="S36" i="11"/>
  <c r="Q38" i="11"/>
  <c r="K33" i="11"/>
  <c r="N6" i="11"/>
  <c r="M7" i="11"/>
  <c r="L8" i="11"/>
  <c r="K9" i="11"/>
  <c r="J10" i="11"/>
  <c r="V10" i="11"/>
  <c r="U11" i="11"/>
  <c r="T12" i="11"/>
  <c r="S13" i="11"/>
  <c r="R14" i="11"/>
  <c r="Q15" i="11"/>
  <c r="P16" i="11"/>
  <c r="O17" i="11"/>
  <c r="N18" i="11"/>
  <c r="M19" i="11"/>
  <c r="L20" i="11"/>
  <c r="K21" i="11"/>
  <c r="J22" i="11"/>
  <c r="V22" i="11"/>
  <c r="U23" i="11"/>
  <c r="T24" i="11"/>
  <c r="S25" i="11"/>
  <c r="R26" i="11"/>
  <c r="Q27" i="11"/>
  <c r="P28" i="11"/>
  <c r="O29" i="11"/>
  <c r="N30" i="11"/>
  <c r="M31" i="11"/>
  <c r="U35" i="11"/>
  <c r="R38" i="11"/>
  <c r="O6" i="11"/>
  <c r="N7" i="11"/>
  <c r="M8" i="11"/>
  <c r="L9" i="11"/>
  <c r="K10" i="11"/>
  <c r="J11" i="11"/>
  <c r="V11" i="11"/>
  <c r="U12" i="11"/>
  <c r="T13" i="11"/>
  <c r="S14" i="11"/>
  <c r="R15" i="11"/>
  <c r="Q16" i="11"/>
  <c r="P17" i="11"/>
  <c r="O18" i="11"/>
  <c r="N19" i="11"/>
  <c r="M20" i="11"/>
  <c r="L21" i="11"/>
  <c r="K22" i="11"/>
  <c r="J23" i="11"/>
  <c r="V23" i="11"/>
  <c r="U24" i="11"/>
  <c r="T25" i="11"/>
  <c r="S26" i="11"/>
  <c r="R27" i="11"/>
  <c r="Q28" i="11"/>
  <c r="P29" i="11"/>
  <c r="O30" i="11"/>
  <c r="N31" i="11"/>
  <c r="M32" i="11"/>
  <c r="L33" i="11"/>
  <c r="K34" i="11"/>
  <c r="J35" i="11"/>
  <c r="V35" i="11"/>
  <c r="U36" i="11"/>
  <c r="T37" i="11"/>
  <c r="S38" i="11"/>
  <c r="R28" i="11"/>
  <c r="O31" i="11"/>
  <c r="M33" i="11"/>
  <c r="K35" i="11"/>
  <c r="J36" i="11"/>
  <c r="U37" i="11"/>
  <c r="T38" i="11"/>
  <c r="Q6" i="11"/>
  <c r="N9" i="11"/>
  <c r="L11" i="11"/>
  <c r="J13" i="11"/>
  <c r="U14" i="11"/>
  <c r="R17" i="11"/>
  <c r="Q18" i="11"/>
  <c r="N21" i="11"/>
  <c r="M22" i="11"/>
  <c r="J25" i="11"/>
  <c r="U26" i="11"/>
  <c r="R29" i="11"/>
  <c r="P31" i="11"/>
  <c r="M34" i="11"/>
  <c r="K36" i="11"/>
  <c r="U38" i="11"/>
  <c r="O21" i="11"/>
  <c r="V26" i="11"/>
  <c r="S29" i="11"/>
  <c r="O33" i="11"/>
  <c r="L36" i="11"/>
  <c r="R31" i="11"/>
  <c r="L37" i="11"/>
  <c r="M37" i="11"/>
  <c r="P6" i="11"/>
  <c r="O7" i="11"/>
  <c r="N8" i="11"/>
  <c r="M9" i="11"/>
  <c r="L10" i="11"/>
  <c r="K11" i="11"/>
  <c r="J12" i="11"/>
  <c r="V12" i="11"/>
  <c r="U13" i="11"/>
  <c r="T14" i="11"/>
  <c r="S15" i="11"/>
  <c r="R16" i="11"/>
  <c r="Q17" i="11"/>
  <c r="P18" i="11"/>
  <c r="O19" i="11"/>
  <c r="N20" i="11"/>
  <c r="M21" i="11"/>
  <c r="L22" i="11"/>
  <c r="K23" i="11"/>
  <c r="J24" i="11"/>
  <c r="V24" i="11"/>
  <c r="U25" i="11"/>
  <c r="T26" i="11"/>
  <c r="S27" i="11"/>
  <c r="Q29" i="11"/>
  <c r="P30" i="11"/>
  <c r="N32" i="11"/>
  <c r="L34" i="11"/>
  <c r="V36" i="11"/>
  <c r="P7" i="11"/>
  <c r="M10" i="11"/>
  <c r="K12" i="11"/>
  <c r="V13" i="11"/>
  <c r="T15" i="11"/>
  <c r="P19" i="11"/>
  <c r="L23" i="11"/>
  <c r="V25" i="11"/>
  <c r="S28" i="11"/>
  <c r="O32" i="11"/>
  <c r="L35" i="11"/>
  <c r="V37" i="11"/>
  <c r="M23" i="11"/>
  <c r="P32" i="11"/>
  <c r="K37" i="11"/>
  <c r="Q32" i="11"/>
  <c r="O8" i="11"/>
  <c r="S16" i="11"/>
  <c r="O20" i="11"/>
  <c r="K24" i="11"/>
  <c r="T27" i="11"/>
  <c r="Q30" i="11"/>
  <c r="N33" i="11"/>
  <c r="J37" i="11"/>
  <c r="L24" i="11"/>
  <c r="R30" i="11"/>
  <c r="M35" i="11"/>
  <c r="V38" i="11"/>
  <c r="T29" i="11"/>
  <c r="M36" i="11"/>
  <c r="R6" i="11"/>
  <c r="Q7" i="11"/>
  <c r="P8" i="11"/>
  <c r="O9" i="11"/>
  <c r="N10" i="11"/>
  <c r="M11" i="11"/>
  <c r="L12" i="11"/>
  <c r="K13" i="11"/>
  <c r="J14" i="11"/>
  <c r="V14" i="11"/>
  <c r="U15" i="11"/>
  <c r="T16" i="11"/>
  <c r="S17" i="11"/>
  <c r="R18" i="11"/>
  <c r="Q19" i="11"/>
  <c r="P20" i="11"/>
  <c r="N22" i="11"/>
  <c r="K25" i="11"/>
  <c r="J26" i="11"/>
  <c r="U27" i="11"/>
  <c r="T28" i="11"/>
  <c r="Q31" i="11"/>
  <c r="N34" i="11"/>
  <c r="J38" i="11"/>
  <c r="P33" i="11"/>
  <c r="K38" i="11"/>
  <c r="S6" i="11"/>
  <c r="R7" i="11"/>
  <c r="Q8" i="11"/>
  <c r="P9" i="11"/>
  <c r="O10" i="11"/>
  <c r="N11" i="11"/>
  <c r="M12" i="11"/>
  <c r="L13" i="11"/>
  <c r="K14" i="11"/>
  <c r="J15" i="11"/>
  <c r="V15" i="11"/>
  <c r="U16" i="11"/>
  <c r="T17" i="11"/>
  <c r="S18" i="11"/>
  <c r="R19" i="11"/>
  <c r="Q20" i="11"/>
  <c r="P21" i="11"/>
  <c r="O22" i="11"/>
  <c r="N23" i="11"/>
  <c r="M24" i="11"/>
  <c r="L25" i="11"/>
  <c r="K26" i="11"/>
  <c r="J27" i="11"/>
  <c r="V27" i="11"/>
  <c r="U28" i="11"/>
  <c r="S30" i="11"/>
  <c r="O34" i="11"/>
  <c r="N35" i="11"/>
  <c r="L38" i="11"/>
  <c r="T6" i="11"/>
  <c r="S7" i="11"/>
  <c r="R8" i="11"/>
  <c r="Q9" i="11"/>
  <c r="P10" i="11"/>
  <c r="O11" i="11"/>
  <c r="N12" i="11"/>
  <c r="M13" i="11"/>
  <c r="L14" i="11"/>
  <c r="K15" i="11"/>
  <c r="J16" i="11"/>
  <c r="V16" i="11"/>
  <c r="U17" i="11"/>
  <c r="T18" i="11"/>
  <c r="S19" i="11"/>
  <c r="R20" i="11"/>
  <c r="Q21" i="11"/>
  <c r="P22" i="11"/>
  <c r="O23" i="11"/>
  <c r="N24" i="11"/>
  <c r="M25" i="11"/>
  <c r="L26" i="11"/>
  <c r="K27" i="11"/>
  <c r="J28" i="11"/>
  <c r="V28" i="11"/>
  <c r="U29" i="11"/>
  <c r="T30" i="11"/>
  <c r="S31" i="11"/>
  <c r="R32" i="11"/>
  <c r="Q33" i="11"/>
  <c r="P34" i="11"/>
  <c r="O35" i="11"/>
  <c r="N36" i="11"/>
  <c r="U6" i="11"/>
  <c r="T7" i="11"/>
  <c r="S8" i="11"/>
  <c r="R9" i="11"/>
  <c r="Q10" i="11"/>
  <c r="P11" i="11"/>
  <c r="O12" i="11"/>
  <c r="N13" i="11"/>
  <c r="M14" i="11"/>
  <c r="L15" i="11"/>
  <c r="K16" i="11"/>
  <c r="J17" i="11"/>
  <c r="V17" i="11"/>
  <c r="U18" i="11"/>
  <c r="T19" i="11"/>
  <c r="S20" i="11"/>
  <c r="R21" i="11"/>
  <c r="Q22" i="11"/>
  <c r="P23" i="11"/>
  <c r="O24" i="11"/>
  <c r="N25" i="11"/>
  <c r="M26" i="11"/>
  <c r="L27" i="11"/>
  <c r="K28" i="11"/>
  <c r="J29" i="11"/>
  <c r="V29" i="11"/>
  <c r="U30" i="11"/>
  <c r="T31" i="11"/>
  <c r="S32" i="11"/>
  <c r="R33" i="11"/>
  <c r="Q34" i="11"/>
  <c r="P35" i="11"/>
  <c r="O36" i="11"/>
  <c r="N37" i="11"/>
  <c r="M38" i="11"/>
  <c r="V6" i="11"/>
  <c r="U7" i="11"/>
  <c r="S9" i="11"/>
  <c r="R10" i="11"/>
  <c r="Q11" i="11"/>
  <c r="P12" i="11"/>
  <c r="O13" i="11"/>
  <c r="N14" i="11"/>
  <c r="M15" i="11"/>
  <c r="L16" i="11"/>
  <c r="J18" i="11"/>
  <c r="V18" i="11"/>
  <c r="T20" i="11"/>
  <c r="R22" i="11"/>
  <c r="P24" i="11"/>
  <c r="N26" i="11"/>
  <c r="L28" i="11"/>
  <c r="J30" i="11"/>
  <c r="U31" i="11"/>
  <c r="S33" i="11"/>
  <c r="Q35" i="11"/>
  <c r="O37" i="11"/>
  <c r="M28" i="11"/>
  <c r="J31" i="11"/>
  <c r="T33" i="11"/>
  <c r="Q36" i="11"/>
  <c r="T34" i="11"/>
  <c r="V21" i="11"/>
  <c r="O28" i="11"/>
  <c r="V33" i="11"/>
  <c r="T36" i="11"/>
  <c r="I12" i="9"/>
  <c r="I13" i="9" s="1"/>
  <c r="I11" i="9"/>
  <c r="I6" i="9"/>
  <c r="I7" i="9"/>
  <c r="I8" i="9" s="1"/>
  <c r="B25" i="1"/>
  <c r="C25" i="1" s="1"/>
  <c r="B26" i="1"/>
  <c r="C26" i="1" s="1"/>
  <c r="B27" i="1"/>
  <c r="B28" i="1"/>
  <c r="B29" i="1"/>
  <c r="B30" i="1"/>
  <c r="B31" i="1"/>
  <c r="B32" i="1"/>
  <c r="B33" i="1"/>
  <c r="B34" i="1"/>
  <c r="B35" i="1"/>
  <c r="B36" i="1"/>
  <c r="B24" i="1"/>
  <c r="C24" i="1" s="1"/>
  <c r="C27" i="1"/>
  <c r="C28" i="1" l="1"/>
  <c r="C32" i="1"/>
  <c r="C29" i="1"/>
  <c r="C33" i="1" s="1"/>
  <c r="C31" i="1"/>
  <c r="C36" i="1" s="1"/>
  <c r="C30" i="1"/>
  <c r="C35" i="1" s="1"/>
  <c r="C34" i="1" l="1"/>
  <c r="B17" i="7"/>
  <c r="B18" i="7" s="1"/>
  <c r="B22" i="7"/>
  <c r="B6" i="7"/>
  <c r="B10" i="7" s="1"/>
  <c r="B32" i="7" s="1"/>
  <c r="B34" i="7" s="1"/>
  <c r="B35" i="7" s="1"/>
  <c r="B37" i="7" l="1"/>
  <c r="L12" i="7"/>
  <c r="L16" i="7"/>
  <c r="L20" i="7"/>
  <c r="L24" i="7"/>
  <c r="L28" i="7"/>
  <c r="L32" i="7"/>
  <c r="L36" i="7"/>
  <c r="L40" i="7"/>
  <c r="L8" i="7"/>
  <c r="L22" i="7"/>
  <c r="L30" i="7"/>
  <c r="L38" i="7"/>
  <c r="L11" i="7"/>
  <c r="L19" i="7"/>
  <c r="L31" i="7"/>
  <c r="L39" i="7"/>
  <c r="L9" i="7"/>
  <c r="L13" i="7"/>
  <c r="L17" i="7"/>
  <c r="L21" i="7"/>
  <c r="L25" i="7"/>
  <c r="L29" i="7"/>
  <c r="L33" i="7"/>
  <c r="L37" i="7"/>
  <c r="L41" i="7"/>
  <c r="L10" i="7"/>
  <c r="L14" i="7"/>
  <c r="L18" i="7"/>
  <c r="L26" i="7"/>
  <c r="L34" i="7"/>
  <c r="L42" i="7"/>
  <c r="L15" i="7"/>
  <c r="L23" i="7"/>
  <c r="L27" i="7"/>
  <c r="L35" i="7"/>
  <c r="L43" i="7"/>
  <c r="H43" i="7"/>
  <c r="I43" i="7" s="1"/>
  <c r="H42" i="7"/>
  <c r="I42" i="7" s="1"/>
  <c r="H30" i="7"/>
  <c r="I30" i="7" s="1"/>
  <c r="H32" i="7"/>
  <c r="I32" i="7" s="1"/>
  <c r="H34" i="7"/>
  <c r="I34" i="7" s="1"/>
  <c r="H36" i="7"/>
  <c r="I36" i="7" s="1"/>
  <c r="H38" i="7"/>
  <c r="I38" i="7" s="1"/>
  <c r="H40" i="7"/>
  <c r="I40" i="7" s="1"/>
  <c r="J11" i="7"/>
  <c r="K11" i="7" s="1"/>
  <c r="J15" i="7"/>
  <c r="K15" i="7" s="1"/>
  <c r="J19" i="7"/>
  <c r="K19" i="7" s="1"/>
  <c r="J23" i="7"/>
  <c r="K23" i="7" s="1"/>
  <c r="J27" i="7"/>
  <c r="K27" i="7" s="1"/>
  <c r="H10" i="7"/>
  <c r="I10" i="7" s="1"/>
  <c r="H14" i="7"/>
  <c r="I14" i="7" s="1"/>
  <c r="H18" i="7"/>
  <c r="I18" i="7" s="1"/>
  <c r="H22" i="7"/>
  <c r="I22" i="7" s="1"/>
  <c r="H26" i="7"/>
  <c r="I26" i="7" s="1"/>
  <c r="H16" i="7"/>
  <c r="I16" i="7" s="1"/>
  <c r="H28" i="7"/>
  <c r="I28" i="7" s="1"/>
  <c r="J33" i="7"/>
  <c r="K33" i="7" s="1"/>
  <c r="J10" i="7"/>
  <c r="K10" i="7" s="1"/>
  <c r="J22" i="7"/>
  <c r="K22" i="7" s="1"/>
  <c r="H13" i="7"/>
  <c r="I13" i="7" s="1"/>
  <c r="H25" i="7"/>
  <c r="I25" i="7" s="1"/>
  <c r="J43" i="7"/>
  <c r="K43" i="7" s="1"/>
  <c r="J42" i="7"/>
  <c r="K42" i="7" s="1"/>
  <c r="J30" i="7"/>
  <c r="K30" i="7" s="1"/>
  <c r="J32" i="7"/>
  <c r="K32" i="7" s="1"/>
  <c r="J34" i="7"/>
  <c r="K34" i="7" s="1"/>
  <c r="J36" i="7"/>
  <c r="K36" i="7" s="1"/>
  <c r="J38" i="7"/>
  <c r="K38" i="7" s="1"/>
  <c r="J40" i="7"/>
  <c r="K40" i="7" s="1"/>
  <c r="J12" i="7"/>
  <c r="K12" i="7" s="1"/>
  <c r="J16" i="7"/>
  <c r="K16" i="7" s="1"/>
  <c r="J20" i="7"/>
  <c r="K20" i="7" s="1"/>
  <c r="J24" i="7"/>
  <c r="K24" i="7" s="1"/>
  <c r="J28" i="7"/>
  <c r="K28" i="7" s="1"/>
  <c r="H11" i="7"/>
  <c r="I11" i="7" s="1"/>
  <c r="H15" i="7"/>
  <c r="I15" i="7" s="1"/>
  <c r="H19" i="7"/>
  <c r="I19" i="7" s="1"/>
  <c r="H23" i="7"/>
  <c r="I23" i="7" s="1"/>
  <c r="H27" i="7"/>
  <c r="I27" i="7" s="1"/>
  <c r="H12" i="7"/>
  <c r="I12" i="7" s="1"/>
  <c r="H20" i="7"/>
  <c r="I20" i="7" s="1"/>
  <c r="J41" i="7"/>
  <c r="K41" i="7" s="1"/>
  <c r="J35" i="7"/>
  <c r="K35" i="7" s="1"/>
  <c r="J39" i="7"/>
  <c r="K39" i="7" s="1"/>
  <c r="J18" i="7"/>
  <c r="K18" i="7" s="1"/>
  <c r="H9" i="7"/>
  <c r="I9" i="7" s="1"/>
  <c r="H17" i="7"/>
  <c r="I17" i="7" s="1"/>
  <c r="H8" i="7"/>
  <c r="I8" i="7" s="1"/>
  <c r="H41" i="7"/>
  <c r="I41" i="7" s="1"/>
  <c r="H29" i="7"/>
  <c r="I29" i="7" s="1"/>
  <c r="H31" i="7"/>
  <c r="I31" i="7" s="1"/>
  <c r="H33" i="7"/>
  <c r="I33" i="7" s="1"/>
  <c r="H35" i="7"/>
  <c r="I35" i="7" s="1"/>
  <c r="H37" i="7"/>
  <c r="I37" i="7" s="1"/>
  <c r="H39" i="7"/>
  <c r="I39" i="7" s="1"/>
  <c r="J9" i="7"/>
  <c r="K9" i="7" s="1"/>
  <c r="J13" i="7"/>
  <c r="K13" i="7" s="1"/>
  <c r="J17" i="7"/>
  <c r="K17" i="7" s="1"/>
  <c r="J21" i="7"/>
  <c r="K21" i="7" s="1"/>
  <c r="J25" i="7"/>
  <c r="K25" i="7" s="1"/>
  <c r="J8" i="7"/>
  <c r="K8" i="7" s="1"/>
  <c r="H24" i="7"/>
  <c r="I24" i="7" s="1"/>
  <c r="J29" i="7"/>
  <c r="K29" i="7" s="1"/>
  <c r="J31" i="7"/>
  <c r="K31" i="7" s="1"/>
  <c r="J37" i="7"/>
  <c r="K37" i="7" s="1"/>
  <c r="J14" i="7"/>
  <c r="K14" i="7" s="1"/>
  <c r="J26" i="7"/>
  <c r="K26" i="7" s="1"/>
  <c r="H21" i="7"/>
  <c r="I21" i="7" s="1"/>
  <c r="C4" i="6"/>
  <c r="C6" i="6" s="1"/>
  <c r="C7" i="6" s="1"/>
  <c r="E2" i="6"/>
  <c r="E4" i="6" l="1"/>
  <c r="C10" i="1"/>
  <c r="L74" i="1" s="1"/>
  <c r="M74" i="1" s="1"/>
  <c r="N74" i="1" s="1"/>
  <c r="E7" i="1"/>
  <c r="E4" i="1"/>
  <c r="E5" i="1" s="1"/>
  <c r="K4" i="1" l="1"/>
  <c r="L11" i="1"/>
  <c r="M11" i="1" s="1"/>
  <c r="N11" i="1" s="1"/>
  <c r="L23" i="1"/>
  <c r="M23" i="1" s="1"/>
  <c r="N23" i="1" s="1"/>
  <c r="J10" i="1"/>
  <c r="K10" i="1" s="1"/>
  <c r="J22" i="1"/>
  <c r="K22" i="1" s="1"/>
  <c r="J33" i="1"/>
  <c r="K33" i="1" s="1"/>
  <c r="L38" i="1"/>
  <c r="M38" i="1" s="1"/>
  <c r="N38" i="1" s="1"/>
  <c r="L44" i="1"/>
  <c r="M44" i="1" s="1"/>
  <c r="N44" i="1" s="1"/>
  <c r="J46" i="1"/>
  <c r="K46" i="1" s="1"/>
  <c r="L56" i="1"/>
  <c r="M56" i="1" s="1"/>
  <c r="N56" i="1" s="1"/>
  <c r="L59" i="1"/>
  <c r="M59" i="1" s="1"/>
  <c r="N59" i="1" s="1"/>
  <c r="L61" i="1"/>
  <c r="M61" i="1" s="1"/>
  <c r="N61" i="1" s="1"/>
  <c r="L63" i="1"/>
  <c r="M63" i="1" s="1"/>
  <c r="N63" i="1" s="1"/>
  <c r="L69" i="1"/>
  <c r="M69" i="1" s="1"/>
  <c r="N69" i="1" s="1"/>
  <c r="L71" i="1"/>
  <c r="M71" i="1" s="1"/>
  <c r="N71" i="1" s="1"/>
  <c r="J75" i="1"/>
  <c r="K75" i="1" s="1"/>
  <c r="L14" i="1"/>
  <c r="M14" i="1" s="1"/>
  <c r="N14" i="1" s="1"/>
  <c r="L10" i="1"/>
  <c r="M10" i="1" s="1"/>
  <c r="N10" i="1" s="1"/>
  <c r="L21" i="1"/>
  <c r="M21" i="1" s="1"/>
  <c r="N21" i="1" s="1"/>
  <c r="L24" i="1"/>
  <c r="M24" i="1" s="1"/>
  <c r="N24" i="1" s="1"/>
  <c r="L27" i="1"/>
  <c r="M27" i="1" s="1"/>
  <c r="N27" i="1" s="1"/>
  <c r="J13" i="1"/>
  <c r="K13" i="1" s="1"/>
  <c r="J9" i="1"/>
  <c r="K9" i="1" s="1"/>
  <c r="J25" i="1"/>
  <c r="K25" i="1" s="1"/>
  <c r="J21" i="1"/>
  <c r="K21" i="1" s="1"/>
  <c r="L33" i="1"/>
  <c r="M33" i="1" s="1"/>
  <c r="N33" i="1" s="1"/>
  <c r="J35" i="1"/>
  <c r="K35" i="1" s="1"/>
  <c r="J37" i="1"/>
  <c r="K37" i="1" s="1"/>
  <c r="J39" i="1"/>
  <c r="K39" i="1" s="1"/>
  <c r="J45" i="1"/>
  <c r="K45" i="1" s="1"/>
  <c r="L46" i="1"/>
  <c r="M46" i="1" s="1"/>
  <c r="N46" i="1" s="1"/>
  <c r="J48" i="1"/>
  <c r="K48" i="1" s="1"/>
  <c r="J57" i="1"/>
  <c r="K57" i="1" s="1"/>
  <c r="L58" i="1"/>
  <c r="M58" i="1" s="1"/>
  <c r="N58" i="1" s="1"/>
  <c r="J60" i="1"/>
  <c r="K60" i="1" s="1"/>
  <c r="J62" i="1"/>
  <c r="K62" i="1" s="1"/>
  <c r="J68" i="1"/>
  <c r="K68" i="1" s="1"/>
  <c r="J70" i="1"/>
  <c r="K70" i="1" s="1"/>
  <c r="J72" i="1"/>
  <c r="K72" i="1" s="1"/>
  <c r="L73" i="1"/>
  <c r="M73" i="1" s="1"/>
  <c r="N73" i="1" s="1"/>
  <c r="L75" i="1"/>
  <c r="M75" i="1" s="1"/>
  <c r="N75" i="1" s="1"/>
  <c r="L15" i="1"/>
  <c r="M15" i="1" s="1"/>
  <c r="N15" i="1" s="1"/>
  <c r="L26" i="1"/>
  <c r="M26" i="1" s="1"/>
  <c r="N26" i="1" s="1"/>
  <c r="J14" i="1"/>
  <c r="K14" i="1" s="1"/>
  <c r="J26" i="1"/>
  <c r="K26" i="1" s="1"/>
  <c r="L34" i="1"/>
  <c r="M34" i="1" s="1"/>
  <c r="N34" i="1" s="1"/>
  <c r="L36" i="1"/>
  <c r="M36" i="1" s="1"/>
  <c r="N36" i="1" s="1"/>
  <c r="L47" i="1"/>
  <c r="M47" i="1" s="1"/>
  <c r="N47" i="1" s="1"/>
  <c r="L49" i="1"/>
  <c r="M49" i="1" s="1"/>
  <c r="N49" i="1" s="1"/>
  <c r="J51" i="1"/>
  <c r="K51" i="1" s="1"/>
  <c r="J58" i="1"/>
  <c r="K58" i="1" s="1"/>
  <c r="L13" i="1"/>
  <c r="M13" i="1" s="1"/>
  <c r="N13" i="1" s="1"/>
  <c r="L9" i="1"/>
  <c r="M9" i="1" s="1"/>
  <c r="N9" i="1" s="1"/>
  <c r="J8" i="1"/>
  <c r="K8" i="1" s="1"/>
  <c r="J12" i="1"/>
  <c r="K12" i="1" s="1"/>
  <c r="J20" i="1"/>
  <c r="K20" i="1" s="1"/>
  <c r="J24" i="1"/>
  <c r="K24" i="1" s="1"/>
  <c r="J32" i="1"/>
  <c r="K32" i="1" s="1"/>
  <c r="L35" i="1"/>
  <c r="M35" i="1" s="1"/>
  <c r="N35" i="1" s="1"/>
  <c r="L37" i="1"/>
  <c r="M37" i="1" s="1"/>
  <c r="N37" i="1" s="1"/>
  <c r="L39" i="1"/>
  <c r="M39" i="1" s="1"/>
  <c r="N39" i="1" s="1"/>
  <c r="L45" i="1"/>
  <c r="M45" i="1" s="1"/>
  <c r="N45" i="1" s="1"/>
  <c r="J47" i="1"/>
  <c r="K47" i="1" s="1"/>
  <c r="L48" i="1"/>
  <c r="M48" i="1" s="1"/>
  <c r="N48" i="1" s="1"/>
  <c r="J50" i="1"/>
  <c r="K50" i="1" s="1"/>
  <c r="L51" i="1"/>
  <c r="M51" i="1" s="1"/>
  <c r="N51" i="1" s="1"/>
  <c r="L57" i="1"/>
  <c r="M57" i="1" s="1"/>
  <c r="N57" i="1" s="1"/>
  <c r="J59" i="1"/>
  <c r="K59" i="1" s="1"/>
  <c r="L60" i="1"/>
  <c r="M60" i="1" s="1"/>
  <c r="N60" i="1" s="1"/>
  <c r="L62" i="1"/>
  <c r="M62" i="1" s="1"/>
  <c r="N62" i="1" s="1"/>
  <c r="L68" i="1"/>
  <c r="M68" i="1" s="1"/>
  <c r="N68" i="1" s="1"/>
  <c r="L70" i="1"/>
  <c r="M70" i="1" s="1"/>
  <c r="N70" i="1" s="1"/>
  <c r="L72" i="1"/>
  <c r="M72" i="1" s="1"/>
  <c r="N72" i="1" s="1"/>
  <c r="J74" i="1"/>
  <c r="K74" i="1" s="1"/>
  <c r="L8" i="1"/>
  <c r="M8" i="1" s="1"/>
  <c r="N8" i="1" s="1"/>
  <c r="L12" i="1"/>
  <c r="M12" i="1" s="1"/>
  <c r="N12" i="1" s="1"/>
  <c r="L20" i="1"/>
  <c r="M20" i="1" s="1"/>
  <c r="N20" i="1" s="1"/>
  <c r="L22" i="1"/>
  <c r="M22" i="1" s="1"/>
  <c r="N22" i="1" s="1"/>
  <c r="L25" i="1"/>
  <c r="M25" i="1" s="1"/>
  <c r="N25" i="1" s="1"/>
  <c r="J15" i="1"/>
  <c r="K15" i="1" s="1"/>
  <c r="J11" i="1"/>
  <c r="K11" i="1" s="1"/>
  <c r="J27" i="1"/>
  <c r="K27" i="1" s="1"/>
  <c r="J23" i="1"/>
  <c r="K23" i="1" s="1"/>
  <c r="L32" i="1"/>
  <c r="M32" i="1" s="1"/>
  <c r="N32" i="1" s="1"/>
  <c r="J34" i="1"/>
  <c r="K34" i="1" s="1"/>
  <c r="J36" i="1"/>
  <c r="K36" i="1" s="1"/>
  <c r="J38" i="1"/>
  <c r="K38" i="1" s="1"/>
  <c r="J44" i="1"/>
  <c r="K44" i="1" s="1"/>
  <c r="J49" i="1"/>
  <c r="K49" i="1" s="1"/>
  <c r="L50" i="1"/>
  <c r="M50" i="1" s="1"/>
  <c r="N50" i="1" s="1"/>
  <c r="J56" i="1"/>
  <c r="K56" i="1" s="1"/>
  <c r="J61" i="1"/>
  <c r="K61" i="1" s="1"/>
  <c r="J63" i="1"/>
  <c r="K63" i="1" s="1"/>
  <c r="J69" i="1"/>
  <c r="K69" i="1" s="1"/>
  <c r="J71" i="1"/>
  <c r="K71" i="1" s="1"/>
  <c r="J73" i="1"/>
  <c r="K73" i="1" s="1"/>
  <c r="P9" i="1"/>
  <c r="P13" i="1"/>
  <c r="P10" i="1"/>
  <c r="P14" i="1"/>
  <c r="P11" i="1"/>
  <c r="P15" i="1"/>
  <c r="P12" i="1"/>
  <c r="P8" i="1"/>
  <c r="I4" i="1"/>
  <c r="B14" i="12"/>
  <c r="O17" i="12" l="1"/>
  <c r="K31" i="12"/>
  <c r="O35" i="12"/>
  <c r="J12" i="12"/>
  <c r="J36" i="12"/>
  <c r="P8" i="12"/>
  <c r="L13" i="12"/>
  <c r="P17" i="12"/>
  <c r="P20" i="12"/>
  <c r="P23" i="12"/>
  <c r="P26" i="12"/>
  <c r="P29" i="12"/>
  <c r="P32" i="12"/>
  <c r="L37" i="12"/>
  <c r="J25" i="12"/>
  <c r="M13" i="12"/>
  <c r="Q20" i="12"/>
  <c r="Q26" i="12"/>
  <c r="M34" i="12"/>
  <c r="J26" i="12"/>
  <c r="R32" i="12"/>
  <c r="P14" i="12"/>
  <c r="L34" i="12"/>
  <c r="Q14" i="12"/>
  <c r="M25" i="12"/>
  <c r="M31" i="12"/>
  <c r="J14" i="12"/>
  <c r="J27" i="12"/>
  <c r="M7" i="12"/>
  <c r="Q8" i="12"/>
  <c r="M10" i="12"/>
  <c r="Q11" i="12"/>
  <c r="Q17" i="12"/>
  <c r="M19" i="12"/>
  <c r="Q23" i="12"/>
  <c r="Q29" i="12"/>
  <c r="Q35" i="12"/>
  <c r="N7" i="12"/>
  <c r="R8" i="12"/>
  <c r="N10" i="12"/>
  <c r="R11" i="12"/>
  <c r="N13" i="12"/>
  <c r="R14" i="12"/>
  <c r="N16" i="12"/>
  <c r="R17" i="12"/>
  <c r="N19" i="12"/>
  <c r="R20" i="12"/>
  <c r="N22" i="12"/>
  <c r="R23" i="12"/>
  <c r="N34" i="12"/>
  <c r="O7" i="12"/>
  <c r="K9" i="12"/>
  <c r="O10" i="12"/>
  <c r="K12" i="12"/>
  <c r="O13" i="12"/>
  <c r="K15" i="12"/>
  <c r="O16" i="12"/>
  <c r="K18" i="12"/>
  <c r="O19" i="12"/>
  <c r="K21" i="12"/>
  <c r="O22" i="12"/>
  <c r="K24" i="12"/>
  <c r="O25" i="12"/>
  <c r="K27" i="12"/>
  <c r="O28" i="12"/>
  <c r="K30" i="12"/>
  <c r="O31" i="12"/>
  <c r="K33" i="12"/>
  <c r="O34" i="12"/>
  <c r="K36" i="12"/>
  <c r="O37" i="12"/>
  <c r="J16" i="12"/>
  <c r="J28" i="12"/>
  <c r="N12" i="12"/>
  <c r="N21" i="12"/>
  <c r="R28" i="12"/>
  <c r="N33" i="12"/>
  <c r="J19" i="12"/>
  <c r="O9" i="12"/>
  <c r="K14" i="12"/>
  <c r="K17" i="12"/>
  <c r="O21" i="12"/>
  <c r="O27" i="12"/>
  <c r="O33" i="12"/>
  <c r="L11" i="12"/>
  <c r="P18" i="12"/>
  <c r="P24" i="12"/>
  <c r="P30" i="12"/>
  <c r="Q18" i="12"/>
  <c r="Q27" i="12"/>
  <c r="J22" i="12"/>
  <c r="J15" i="12"/>
  <c r="P7" i="12"/>
  <c r="L9" i="12"/>
  <c r="P10" i="12"/>
  <c r="L12" i="12"/>
  <c r="P13" i="12"/>
  <c r="L15" i="12"/>
  <c r="P16" i="12"/>
  <c r="L18" i="12"/>
  <c r="P19" i="12"/>
  <c r="L21" i="12"/>
  <c r="P22" i="12"/>
  <c r="L24" i="12"/>
  <c r="P25" i="12"/>
  <c r="L27" i="12"/>
  <c r="P28" i="12"/>
  <c r="L30" i="12"/>
  <c r="P31" i="12"/>
  <c r="L33" i="12"/>
  <c r="P34" i="12"/>
  <c r="L36" i="12"/>
  <c r="P37" i="12"/>
  <c r="J17" i="12"/>
  <c r="J29" i="12"/>
  <c r="R10" i="12"/>
  <c r="R19" i="12"/>
  <c r="N27" i="12"/>
  <c r="R31" i="12"/>
  <c r="R37" i="12"/>
  <c r="K11" i="12"/>
  <c r="O15" i="12"/>
  <c r="O18" i="12"/>
  <c r="K23" i="12"/>
  <c r="O30" i="12"/>
  <c r="O36" i="12"/>
  <c r="P12" i="12"/>
  <c r="L17" i="12"/>
  <c r="L26" i="12"/>
  <c r="L32" i="12"/>
  <c r="M17" i="12"/>
  <c r="M29" i="12"/>
  <c r="R29" i="12"/>
  <c r="Q7" i="12"/>
  <c r="M9" i="12"/>
  <c r="Q10" i="12"/>
  <c r="M12" i="12"/>
  <c r="Q13" i="12"/>
  <c r="M15" i="12"/>
  <c r="Q16" i="12"/>
  <c r="M18" i="12"/>
  <c r="Q19" i="12"/>
  <c r="M21" i="12"/>
  <c r="Q22" i="12"/>
  <c r="M24" i="12"/>
  <c r="Q25" i="12"/>
  <c r="M27" i="12"/>
  <c r="Q28" i="12"/>
  <c r="M30" i="12"/>
  <c r="Q31" i="12"/>
  <c r="M33" i="12"/>
  <c r="Q34" i="12"/>
  <c r="M36" i="12"/>
  <c r="Q37" i="12"/>
  <c r="J18" i="12"/>
  <c r="J30" i="12"/>
  <c r="R7" i="12"/>
  <c r="N9" i="12"/>
  <c r="R13" i="12"/>
  <c r="N15" i="12"/>
  <c r="R16" i="12"/>
  <c r="N18" i="12"/>
  <c r="R22" i="12"/>
  <c r="R25" i="12"/>
  <c r="N30" i="12"/>
  <c r="R34" i="12"/>
  <c r="N36" i="12"/>
  <c r="J31" i="12"/>
  <c r="K8" i="12"/>
  <c r="K20" i="12"/>
  <c r="O24" i="12"/>
  <c r="K29" i="12"/>
  <c r="K32" i="12"/>
  <c r="J8" i="12"/>
  <c r="P9" i="12"/>
  <c r="P15" i="12"/>
  <c r="L20" i="12"/>
  <c r="L29" i="12"/>
  <c r="L35" i="12"/>
  <c r="J33" i="12"/>
  <c r="M20" i="12"/>
  <c r="Q30" i="12"/>
  <c r="J10" i="12"/>
  <c r="J7" i="12"/>
  <c r="R35" i="12"/>
  <c r="N24" i="12"/>
  <c r="O12" i="12"/>
  <c r="K26" i="12"/>
  <c r="K35" i="12"/>
  <c r="J32" i="12"/>
  <c r="L14" i="12"/>
  <c r="P27" i="12"/>
  <c r="P33" i="12"/>
  <c r="J21" i="12"/>
  <c r="Q15" i="12"/>
  <c r="Q33" i="12"/>
  <c r="N25" i="12"/>
  <c r="J20" i="12"/>
  <c r="P21" i="12"/>
  <c r="P36" i="12"/>
  <c r="M23" i="12"/>
  <c r="M32" i="12"/>
  <c r="J34" i="12"/>
  <c r="N31" i="12"/>
  <c r="L8" i="12"/>
  <c r="L23" i="12"/>
  <c r="J9" i="12"/>
  <c r="Q24" i="12"/>
  <c r="M35" i="12"/>
  <c r="N28" i="12"/>
  <c r="M8" i="12"/>
  <c r="Q9" i="12"/>
  <c r="M11" i="12"/>
  <c r="Q12" i="12"/>
  <c r="M14" i="12"/>
  <c r="Q21" i="12"/>
  <c r="M26" i="12"/>
  <c r="Q36" i="12"/>
  <c r="R26" i="12"/>
  <c r="N8" i="12"/>
  <c r="R9" i="12"/>
  <c r="N11" i="12"/>
  <c r="R12" i="12"/>
  <c r="N14" i="12"/>
  <c r="R15" i="12"/>
  <c r="N17" i="12"/>
  <c r="R18" i="12"/>
  <c r="N20" i="12"/>
  <c r="R21" i="12"/>
  <c r="N23" i="12"/>
  <c r="R24" i="12"/>
  <c r="N26" i="12"/>
  <c r="R27" i="12"/>
  <c r="N29" i="12"/>
  <c r="R30" i="12"/>
  <c r="N32" i="12"/>
  <c r="R33" i="12"/>
  <c r="N35" i="12"/>
  <c r="R36" i="12"/>
  <c r="J11" i="12"/>
  <c r="J23" i="12"/>
  <c r="J35" i="12"/>
  <c r="K7" i="12"/>
  <c r="O8" i="12"/>
  <c r="K10" i="12"/>
  <c r="O11" i="12"/>
  <c r="K13" i="12"/>
  <c r="O14" i="12"/>
  <c r="K16" i="12"/>
  <c r="K19" i="12"/>
  <c r="O20" i="12"/>
  <c r="K22" i="12"/>
  <c r="O23" i="12"/>
  <c r="K25" i="12"/>
  <c r="O26" i="12"/>
  <c r="K28" i="12"/>
  <c r="O29" i="12"/>
  <c r="O32" i="12"/>
  <c r="K34" i="12"/>
  <c r="K37" i="12"/>
  <c r="J24" i="12"/>
  <c r="L7" i="12"/>
  <c r="L10" i="12"/>
  <c r="P11" i="12"/>
  <c r="L16" i="12"/>
  <c r="L19" i="12"/>
  <c r="L22" i="12"/>
  <c r="L25" i="12"/>
  <c r="L28" i="12"/>
  <c r="L31" i="12"/>
  <c r="P35" i="12"/>
  <c r="J13" i="12"/>
  <c r="J37" i="12"/>
  <c r="M16" i="12"/>
  <c r="M22" i="12"/>
  <c r="M28" i="12"/>
  <c r="Q32" i="12"/>
  <c r="M37" i="12"/>
  <c r="N37" i="12"/>
</calcChain>
</file>

<file path=xl/sharedStrings.xml><?xml version="1.0" encoding="utf-8"?>
<sst xmlns="http://schemas.openxmlformats.org/spreadsheetml/2006/main" count="274" uniqueCount="86">
  <si>
    <t>2020 FRC - Infinite Recharge</t>
  </si>
  <si>
    <t>Power Cell to Power Port Ballistics</t>
  </si>
  <si>
    <t>Target height</t>
  </si>
  <si>
    <t>ft</t>
  </si>
  <si>
    <t>in</t>
  </si>
  <si>
    <t>Angle</t>
  </si>
  <si>
    <t>Launch</t>
  </si>
  <si>
    <t>Shooter height</t>
  </si>
  <si>
    <t>Max</t>
  </si>
  <si>
    <t>cm</t>
  </si>
  <si>
    <t>Port height</t>
  </si>
  <si>
    <t>Gravity</t>
  </si>
  <si>
    <t>m/s2</t>
  </si>
  <si>
    <t>cm/s2</t>
  </si>
  <si>
    <t>Height (cm)</t>
  </si>
  <si>
    <t>Distance To</t>
  </si>
  <si>
    <t>Height (in)</t>
  </si>
  <si>
    <t>Velocity (ft/s)</t>
  </si>
  <si>
    <t>Height (ft)</t>
  </si>
  <si>
    <t>Wheel Dia</t>
  </si>
  <si>
    <t xml:space="preserve">Wheel Surface Speed </t>
  </si>
  <si>
    <t>ft/sec</t>
  </si>
  <si>
    <t>Wheel Circumference</t>
  </si>
  <si>
    <t>Motor Speed (rpm)</t>
  </si>
  <si>
    <t>in/min</t>
  </si>
  <si>
    <t>variable</t>
  </si>
  <si>
    <t>calculation</t>
  </si>
  <si>
    <t>ft/s^2</t>
  </si>
  <si>
    <t>in/s^2</t>
  </si>
  <si>
    <t>Accel of Gravity</t>
  </si>
  <si>
    <t>Time (s)</t>
  </si>
  <si>
    <t>Distance (in)</t>
  </si>
  <si>
    <t>Launch Angle</t>
  </si>
  <si>
    <t>Wheel Ball Slip Factor</t>
  </si>
  <si>
    <t>Distance (ft)</t>
  </si>
  <si>
    <t>Targeting Calcs</t>
  </si>
  <si>
    <t>Distance to Target</t>
  </si>
  <si>
    <t>Launch Velocity</t>
  </si>
  <si>
    <t>in/s</t>
  </si>
  <si>
    <t>ft/s</t>
  </si>
  <si>
    <t>Motor Speed</t>
  </si>
  <si>
    <t>rpm</t>
  </si>
  <si>
    <t>degrees</t>
  </si>
  <si>
    <t>Defense Against Us</t>
  </si>
  <si>
    <t>Distance</t>
  </si>
  <si>
    <t>Safe</t>
  </si>
  <si>
    <t>Max Robot Height</t>
  </si>
  <si>
    <t>Ball Diameter</t>
  </si>
  <si>
    <t>This sheet calculates the distance and angle from various shooting locations to the target</t>
  </si>
  <si>
    <t>Center of target to edge of field</t>
  </si>
  <si>
    <t>Initiation line to front of target</t>
  </si>
  <si>
    <t>Front of trench to front of target</t>
  </si>
  <si>
    <t>Robot Dimensions</t>
  </si>
  <si>
    <t>Width</t>
  </si>
  <si>
    <t>Length</t>
  </si>
  <si>
    <t>Field Dimensions</t>
  </si>
  <si>
    <t>Shooting Locations</t>
  </si>
  <si>
    <t>Back edge of control panel to target</t>
  </si>
  <si>
    <t>Control panel width</t>
  </si>
  <si>
    <t>Front of Control Panel</t>
  </si>
  <si>
    <t>Front of Trench</t>
  </si>
  <si>
    <t>Speed</t>
  </si>
  <si>
    <t>Fixed 45 degree angle</t>
  </si>
  <si>
    <t>all shots made</t>
  </si>
  <si>
    <t>center of trench, behind wheel</t>
  </si>
  <si>
    <t>immediately in front of wheel</t>
  </si>
  <si>
    <t>not enough</t>
  </si>
  <si>
    <t>missed 3 shots</t>
  </si>
  <si>
    <t>missed 2 shots</t>
  </si>
  <si>
    <t>angle (degrees)</t>
  </si>
  <si>
    <t>distance (in)</t>
  </si>
  <si>
    <t>in/sec</t>
  </si>
  <si>
    <t>Heights</t>
  </si>
  <si>
    <t>Target distance</t>
  </si>
  <si>
    <t>Motor Max Speed (rpm)</t>
  </si>
  <si>
    <t>Software Speed Limit (%)</t>
  </si>
  <si>
    <t>Objective: Input Distance, Determine Optimal Angle and Speed</t>
  </si>
  <si>
    <t>Ball Speed accounting for loss</t>
  </si>
  <si>
    <r>
      <t>speed</t>
    </r>
    <r>
      <rPr>
        <b/>
        <sz val="11"/>
        <color theme="1"/>
        <rFont val="TI-Nspire Sans"/>
        <family val="2"/>
      </rPr>
      <t>▼</t>
    </r>
  </si>
  <si>
    <t>angle ►</t>
  </si>
  <si>
    <t>HEIGHT</t>
  </si>
  <si>
    <t>Tolerance</t>
  </si>
  <si>
    <t>Height range</t>
  </si>
  <si>
    <t>to</t>
  </si>
  <si>
    <t>SPEED</t>
  </si>
  <si>
    <t>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</si>
</sst>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-Nspire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Border="1"/>
    <xf numFmtId="0" fontId="0" fillId="2" borderId="0" xfId="0" applyFill="1" applyBorder="1"/>
    <xf numFmtId="0" fontId="4" fillId="0" borderId="0" xfId="0" applyFont="1" applyBorder="1"/>
    <xf numFmtId="0" fontId="4" fillId="0" borderId="5" xfId="0" applyFont="1" applyBorder="1"/>
    <xf numFmtId="165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4" fillId="0" borderId="0" xfId="0" applyFont="1" applyFill="1"/>
    <xf numFmtId="0" fontId="1" fillId="4" borderId="0" xfId="0" applyFont="1" applyFill="1"/>
    <xf numFmtId="0" fontId="6" fillId="2" borderId="0" xfId="0" applyFont="1" applyFill="1"/>
    <xf numFmtId="0" fontId="1" fillId="4" borderId="0" xfId="0" quotePrefix="1" applyFont="1" applyFill="1" applyAlignment="1">
      <alignment horizontal="center" vertical="center" textRotation="255"/>
    </xf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1" fontId="1" fillId="0" borderId="10" xfId="0" applyNumberFormat="1" applyFont="1" applyBorder="1"/>
    <xf numFmtId="1" fontId="1" fillId="0" borderId="11" xfId="0" applyNumberFormat="1" applyFont="1" applyBorder="1" applyAlignment="1">
      <alignment horizontal="right"/>
    </xf>
    <xf numFmtId="1" fontId="1" fillId="0" borderId="11" xfId="0" applyNumberFormat="1" applyFont="1" applyBorder="1"/>
    <xf numFmtId="1" fontId="1" fillId="0" borderId="12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right"/>
    </xf>
    <xf numFmtId="0" fontId="1" fillId="0" borderId="15" xfId="0" applyFont="1" applyBorder="1"/>
    <xf numFmtId="0" fontId="1" fillId="0" borderId="0" xfId="0" applyFont="1" applyBorder="1"/>
    <xf numFmtId="0" fontId="7" fillId="0" borderId="0" xfId="0" applyFo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Data'!$K$20:$K$27</c:f>
              <c:numCache>
                <c:formatCode>0.00</c:formatCode>
                <c:ptCount val="8"/>
                <c:pt idx="0">
                  <c:v>0.56192125535826298</c:v>
                </c:pt>
                <c:pt idx="1">
                  <c:v>2.179934334036691</c:v>
                </c:pt>
                <c:pt idx="2">
                  <c:v>4.6589558551318966</c:v>
                </c:pt>
                <c:pt idx="3">
                  <c:v>7.7000908924900573</c:v>
                </c:pt>
                <c:pt idx="4">
                  <c:v>10.936670651717893</c:v>
                </c:pt>
                <c:pt idx="5">
                  <c:v>13.978461623387059</c:v>
                </c:pt>
                <c:pt idx="6">
                  <c:v>16.458715927289258</c:v>
                </c:pt>
                <c:pt idx="7">
                  <c:v>18.078390000995057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4EA3-AD3B-037463C8F43C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Data'!$K$32:$K$39</c:f>
              <c:numCache>
                <c:formatCode>0.00</c:formatCode>
                <c:ptCount val="8"/>
                <c:pt idx="0">
                  <c:v>2.2476850214330519</c:v>
                </c:pt>
                <c:pt idx="1">
                  <c:v>8.7197373361467641</c:v>
                </c:pt>
                <c:pt idx="2">
                  <c:v>18.635823420527586</c:v>
                </c:pt>
                <c:pt idx="3">
                  <c:v>30.800363569960229</c:v>
                </c:pt>
                <c:pt idx="4">
                  <c:v>43.746682606871573</c:v>
                </c:pt>
                <c:pt idx="5">
                  <c:v>55.913846493548235</c:v>
                </c:pt>
                <c:pt idx="6">
                  <c:v>65.834863709157034</c:v>
                </c:pt>
                <c:pt idx="7">
                  <c:v>72.313560003980228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4EA3-AD3B-037463C8F43C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Data'!$K$44:$K$51</c:f>
              <c:numCache>
                <c:formatCode>0.00</c:formatCode>
                <c:ptCount val="8"/>
                <c:pt idx="0">
                  <c:v>5.0572912982243663</c:v>
                </c:pt>
                <c:pt idx="1">
                  <c:v>19.619409006330216</c:v>
                </c:pt>
                <c:pt idx="2">
                  <c:v>41.930602696187073</c:v>
                </c:pt>
                <c:pt idx="3">
                  <c:v>69.300818032410504</c:v>
                </c:pt>
                <c:pt idx="4">
                  <c:v>98.430035865461022</c:v>
                </c:pt>
                <c:pt idx="5">
                  <c:v>125.80615461048352</c:v>
                </c:pt>
                <c:pt idx="6">
                  <c:v>148.12844334560333</c:v>
                </c:pt>
                <c:pt idx="7">
                  <c:v>162.70551000895549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A-4EA3-AD3B-037463C8F43C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Data'!$K$56:$K$63</c:f>
              <c:numCache>
                <c:formatCode>0.00</c:formatCode>
                <c:ptCount val="8"/>
                <c:pt idx="0">
                  <c:v>8.9907400857322077</c:v>
                </c:pt>
                <c:pt idx="1">
                  <c:v>34.878949344587056</c:v>
                </c:pt>
                <c:pt idx="2">
                  <c:v>74.543293682110345</c:v>
                </c:pt>
                <c:pt idx="3">
                  <c:v>123.20145427984092</c:v>
                </c:pt>
                <c:pt idx="4">
                  <c:v>174.98673042748629</c:v>
                </c:pt>
                <c:pt idx="5">
                  <c:v>223.65538597419294</c:v>
                </c:pt>
                <c:pt idx="6">
                  <c:v>263.33945483662814</c:v>
                </c:pt>
                <c:pt idx="7">
                  <c:v>289.25424001592091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A-4EA3-AD3B-037463C8F43C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Data'!$K$68:$K$75</c:f>
              <c:numCache>
                <c:formatCode>0.00</c:formatCode>
                <c:ptCount val="8"/>
                <c:pt idx="0">
                  <c:v>14.048031383956573</c:v>
                </c:pt>
                <c:pt idx="1">
                  <c:v>54.498358350917272</c:v>
                </c:pt>
                <c:pt idx="2">
                  <c:v>116.47389637829741</c:v>
                </c:pt>
                <c:pt idx="3">
                  <c:v>192.50227231225142</c:v>
                </c:pt>
                <c:pt idx="4">
                  <c:v>273.41676629294733</c:v>
                </c:pt>
                <c:pt idx="5">
                  <c:v>349.46154058467647</c:v>
                </c:pt>
                <c:pt idx="6">
                  <c:v>411.46789818223147</c:v>
                </c:pt>
                <c:pt idx="7">
                  <c:v>451.95975002487643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A-4EA3-AD3B-037463C8F43C}"/>
            </c:ext>
          </c:extLst>
        </c:ser>
        <c:ser>
          <c:idx val="5"/>
          <c:order val="5"/>
          <c:tx>
            <c:v>Target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'Plot Data'!$I$8:$I$15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Data'!$P$8:$P$15</c:f>
              <c:numCache>
                <c:formatCode>General</c:formatCode>
                <c:ptCount val="8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A-4EA3-AD3B-037463C8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Ballistics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27.350462424058719</c:v>
                </c:pt>
                <c:pt idx="2">
                  <c:v>54.700924848117438</c:v>
                </c:pt>
                <c:pt idx="3">
                  <c:v>82.051387272176157</c:v>
                </c:pt>
                <c:pt idx="4">
                  <c:v>109.40184969623488</c:v>
                </c:pt>
                <c:pt idx="5">
                  <c:v>136.7523121202936</c:v>
                </c:pt>
                <c:pt idx="6">
                  <c:v>164.10277454435231</c:v>
                </c:pt>
                <c:pt idx="7">
                  <c:v>191.45323696841103</c:v>
                </c:pt>
                <c:pt idx="8">
                  <c:v>218.80369939246975</c:v>
                </c:pt>
                <c:pt idx="9">
                  <c:v>246.15416181652847</c:v>
                </c:pt>
                <c:pt idx="10">
                  <c:v>273.50462424058719</c:v>
                </c:pt>
                <c:pt idx="11">
                  <c:v>300.85508666464591</c:v>
                </c:pt>
                <c:pt idx="12">
                  <c:v>328.20554908870463</c:v>
                </c:pt>
                <c:pt idx="13">
                  <c:v>355.55601151276335</c:v>
                </c:pt>
                <c:pt idx="14">
                  <c:v>382.90647393682207</c:v>
                </c:pt>
                <c:pt idx="15">
                  <c:v>410.25693636088079</c:v>
                </c:pt>
                <c:pt idx="16">
                  <c:v>437.60739878493951</c:v>
                </c:pt>
                <c:pt idx="17">
                  <c:v>464.95786120899822</c:v>
                </c:pt>
                <c:pt idx="18">
                  <c:v>492.30832363305694</c:v>
                </c:pt>
                <c:pt idx="19">
                  <c:v>519.65878605711566</c:v>
                </c:pt>
                <c:pt idx="20">
                  <c:v>547.00924848117438</c:v>
                </c:pt>
                <c:pt idx="21">
                  <c:v>574.3597109052331</c:v>
                </c:pt>
                <c:pt idx="22">
                  <c:v>601.71017332929182</c:v>
                </c:pt>
                <c:pt idx="23">
                  <c:v>629.06063575335054</c:v>
                </c:pt>
                <c:pt idx="24">
                  <c:v>656.41109817740926</c:v>
                </c:pt>
                <c:pt idx="25">
                  <c:v>683.76156060146798</c:v>
                </c:pt>
                <c:pt idx="26">
                  <c:v>711.1120230255267</c:v>
                </c:pt>
                <c:pt idx="27">
                  <c:v>738.46248544958542</c:v>
                </c:pt>
                <c:pt idx="28">
                  <c:v>765.81294787364413</c:v>
                </c:pt>
                <c:pt idx="29">
                  <c:v>793.16341029770285</c:v>
                </c:pt>
                <c:pt idx="30">
                  <c:v>820.51387272176157</c:v>
                </c:pt>
                <c:pt idx="31">
                  <c:v>847.86433514582029</c:v>
                </c:pt>
                <c:pt idx="32">
                  <c:v>875.21479756987901</c:v>
                </c:pt>
                <c:pt idx="33">
                  <c:v>902.56525999393773</c:v>
                </c:pt>
                <c:pt idx="34">
                  <c:v>929.91572241799645</c:v>
                </c:pt>
                <c:pt idx="35">
                  <c:v>957.26618484205517</c:v>
                </c:pt>
              </c:numCache>
            </c:numRef>
          </c:xVal>
          <c:yVal>
            <c:numRef>
              <c:f>Ballistics!$J$8:$J$43</c:f>
              <c:numCache>
                <c:formatCode>0.00</c:formatCode>
                <c:ptCount val="36"/>
                <c:pt idx="0">
                  <c:v>0</c:v>
                </c:pt>
                <c:pt idx="1">
                  <c:v>25.412158949768642</c:v>
                </c:pt>
                <c:pt idx="2">
                  <c:v>46.963917899537279</c:v>
                </c:pt>
                <c:pt idx="3">
                  <c:v>64.65527684930592</c:v>
                </c:pt>
                <c:pt idx="4">
                  <c:v>78.486235799074564</c:v>
                </c:pt>
                <c:pt idx="5">
                  <c:v>88.456794748843208</c:v>
                </c:pt>
                <c:pt idx="6">
                  <c:v>94.566953698611826</c:v>
                </c:pt>
                <c:pt idx="7">
                  <c:v>96.816712648380488</c:v>
                </c:pt>
                <c:pt idx="8">
                  <c:v>95.206071598149094</c:v>
                </c:pt>
                <c:pt idx="9">
                  <c:v>89.735030547917773</c:v>
                </c:pt>
                <c:pt idx="10">
                  <c:v>80.403589497686397</c:v>
                </c:pt>
                <c:pt idx="11">
                  <c:v>67.211748447455022</c:v>
                </c:pt>
                <c:pt idx="12">
                  <c:v>50.159507397223649</c:v>
                </c:pt>
                <c:pt idx="13">
                  <c:v>29.246866346992306</c:v>
                </c:pt>
                <c:pt idx="14">
                  <c:v>4.4738252967609924</c:v>
                </c:pt>
                <c:pt idx="15">
                  <c:v>-24.159615753470405</c:v>
                </c:pt>
                <c:pt idx="16">
                  <c:v>-56.653456803701886</c:v>
                </c:pt>
                <c:pt idx="17">
                  <c:v>-93.007697853933053</c:v>
                </c:pt>
                <c:pt idx="18">
                  <c:v>-133.22233890416447</c:v>
                </c:pt>
                <c:pt idx="19">
                  <c:v>-177.29737995439586</c:v>
                </c:pt>
                <c:pt idx="20">
                  <c:v>-225.23282100462723</c:v>
                </c:pt>
                <c:pt idx="21">
                  <c:v>-277.0286620548585</c:v>
                </c:pt>
                <c:pt idx="22">
                  <c:v>-332.68490310509003</c:v>
                </c:pt>
                <c:pt idx="23">
                  <c:v>-392.20154415532113</c:v>
                </c:pt>
                <c:pt idx="24">
                  <c:v>-455.57858520555271</c:v>
                </c:pt>
                <c:pt idx="25">
                  <c:v>-522.81602625578398</c:v>
                </c:pt>
                <c:pt idx="26">
                  <c:v>-593.9138673060155</c:v>
                </c:pt>
                <c:pt idx="27">
                  <c:v>-668.87210835624694</c:v>
                </c:pt>
                <c:pt idx="28">
                  <c:v>-747.69074940647795</c:v>
                </c:pt>
                <c:pt idx="29">
                  <c:v>-830.36979045670967</c:v>
                </c:pt>
                <c:pt idx="30">
                  <c:v>-916.90923150694084</c:v>
                </c:pt>
                <c:pt idx="31">
                  <c:v>-1007.3090725571725</c:v>
                </c:pt>
                <c:pt idx="32">
                  <c:v>-1101.5693136074042</c:v>
                </c:pt>
                <c:pt idx="33">
                  <c:v>-1199.6899546576346</c:v>
                </c:pt>
                <c:pt idx="34">
                  <c:v>-1301.670995707866</c:v>
                </c:pt>
                <c:pt idx="35">
                  <c:v>-1407.5124367580979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5F2-946A-560AE812745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27.350462424058719</c:v>
                </c:pt>
                <c:pt idx="2">
                  <c:v>54.700924848117438</c:v>
                </c:pt>
                <c:pt idx="3">
                  <c:v>82.051387272176157</c:v>
                </c:pt>
                <c:pt idx="4">
                  <c:v>109.40184969623488</c:v>
                </c:pt>
                <c:pt idx="5">
                  <c:v>136.7523121202936</c:v>
                </c:pt>
                <c:pt idx="6">
                  <c:v>164.10277454435231</c:v>
                </c:pt>
                <c:pt idx="7">
                  <c:v>191.45323696841103</c:v>
                </c:pt>
                <c:pt idx="8">
                  <c:v>218.80369939246975</c:v>
                </c:pt>
                <c:pt idx="9">
                  <c:v>246.15416181652847</c:v>
                </c:pt>
                <c:pt idx="10">
                  <c:v>273.50462424058719</c:v>
                </c:pt>
                <c:pt idx="11">
                  <c:v>300.85508666464591</c:v>
                </c:pt>
                <c:pt idx="12">
                  <c:v>328.20554908870463</c:v>
                </c:pt>
                <c:pt idx="13">
                  <c:v>355.55601151276335</c:v>
                </c:pt>
                <c:pt idx="14">
                  <c:v>382.90647393682207</c:v>
                </c:pt>
                <c:pt idx="15">
                  <c:v>410.25693636088079</c:v>
                </c:pt>
                <c:pt idx="16">
                  <c:v>437.60739878493951</c:v>
                </c:pt>
                <c:pt idx="17">
                  <c:v>464.95786120899822</c:v>
                </c:pt>
                <c:pt idx="18">
                  <c:v>492.30832363305694</c:v>
                </c:pt>
                <c:pt idx="19">
                  <c:v>519.65878605711566</c:v>
                </c:pt>
                <c:pt idx="20">
                  <c:v>547.00924848117438</c:v>
                </c:pt>
                <c:pt idx="21">
                  <c:v>574.3597109052331</c:v>
                </c:pt>
                <c:pt idx="22">
                  <c:v>601.71017332929182</c:v>
                </c:pt>
                <c:pt idx="23">
                  <c:v>629.06063575335054</c:v>
                </c:pt>
                <c:pt idx="24">
                  <c:v>656.41109817740926</c:v>
                </c:pt>
                <c:pt idx="25">
                  <c:v>683.76156060146798</c:v>
                </c:pt>
                <c:pt idx="26">
                  <c:v>711.1120230255267</c:v>
                </c:pt>
                <c:pt idx="27">
                  <c:v>738.46248544958542</c:v>
                </c:pt>
                <c:pt idx="28">
                  <c:v>765.81294787364413</c:v>
                </c:pt>
                <c:pt idx="29">
                  <c:v>793.16341029770285</c:v>
                </c:pt>
                <c:pt idx="30">
                  <c:v>820.51387272176157</c:v>
                </c:pt>
                <c:pt idx="31">
                  <c:v>847.86433514582029</c:v>
                </c:pt>
                <c:pt idx="32">
                  <c:v>875.21479756987901</c:v>
                </c:pt>
                <c:pt idx="33">
                  <c:v>902.56525999393773</c:v>
                </c:pt>
                <c:pt idx="34">
                  <c:v>929.91572241799645</c:v>
                </c:pt>
                <c:pt idx="35">
                  <c:v>957.26618484205517</c:v>
                </c:pt>
              </c:numCache>
            </c:numRef>
          </c:xVal>
          <c:yVal>
            <c:numRef>
              <c:f>Ballistics!$L$8:$L$43</c:f>
              <c:numCache>
                <c:formatCode>General</c:formatCode>
                <c:ptCount val="36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  <c:pt idx="8">
                  <c:v>74.25</c:v>
                </c:pt>
                <c:pt idx="9">
                  <c:v>74.25</c:v>
                </c:pt>
                <c:pt idx="10">
                  <c:v>74.25</c:v>
                </c:pt>
                <c:pt idx="11">
                  <c:v>74.25</c:v>
                </c:pt>
                <c:pt idx="12">
                  <c:v>74.25</c:v>
                </c:pt>
                <c:pt idx="13">
                  <c:v>74.25</c:v>
                </c:pt>
                <c:pt idx="14">
                  <c:v>74.25</c:v>
                </c:pt>
                <c:pt idx="15">
                  <c:v>74.25</c:v>
                </c:pt>
                <c:pt idx="16">
                  <c:v>74.25</c:v>
                </c:pt>
                <c:pt idx="17">
                  <c:v>74.25</c:v>
                </c:pt>
                <c:pt idx="18">
                  <c:v>74.25</c:v>
                </c:pt>
                <c:pt idx="19">
                  <c:v>74.25</c:v>
                </c:pt>
                <c:pt idx="20">
                  <c:v>74.25</c:v>
                </c:pt>
                <c:pt idx="21">
                  <c:v>74.25</c:v>
                </c:pt>
                <c:pt idx="22">
                  <c:v>74.25</c:v>
                </c:pt>
                <c:pt idx="23">
                  <c:v>74.25</c:v>
                </c:pt>
                <c:pt idx="24">
                  <c:v>74.25</c:v>
                </c:pt>
                <c:pt idx="25">
                  <c:v>74.25</c:v>
                </c:pt>
                <c:pt idx="26">
                  <c:v>74.25</c:v>
                </c:pt>
                <c:pt idx="27">
                  <c:v>74.25</c:v>
                </c:pt>
                <c:pt idx="28">
                  <c:v>74.25</c:v>
                </c:pt>
                <c:pt idx="29">
                  <c:v>74.25</c:v>
                </c:pt>
                <c:pt idx="30">
                  <c:v>74.25</c:v>
                </c:pt>
                <c:pt idx="31">
                  <c:v>74.25</c:v>
                </c:pt>
                <c:pt idx="32">
                  <c:v>74.25</c:v>
                </c:pt>
                <c:pt idx="33">
                  <c:v>74.25</c:v>
                </c:pt>
                <c:pt idx="34">
                  <c:v>74.25</c:v>
                </c:pt>
                <c:pt idx="35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5F2-946A-560AE812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3312"/>
        <c:axId val="449303640"/>
      </c:scatterChart>
      <c:valAx>
        <c:axId val="4493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640"/>
        <c:crosses val="autoZero"/>
        <c:crossBetween val="midCat"/>
      </c:valAx>
      <c:valAx>
        <c:axId val="4493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Distance to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Data'!$N$20:$N$27</c:f>
              <c:numCache>
                <c:formatCode>0.000</c:formatCode>
                <c:ptCount val="8"/>
                <c:pt idx="0">
                  <c:v>0.53123791386159191</c:v>
                </c:pt>
                <c:pt idx="1">
                  <c:v>0.99842462216381322</c:v>
                </c:pt>
                <c:pt idx="2">
                  <c:v>1.3452315551505016</c:v>
                </c:pt>
                <c:pt idx="3">
                  <c:v>1.5298442986495295</c:v>
                </c:pt>
                <c:pt idx="4">
                  <c:v>1.530004146205288</c:v>
                </c:pt>
                <c:pt idx="5">
                  <c:v>1.3456918250430283</c:v>
                </c:pt>
                <c:pt idx="6">
                  <c:v>0.99912981978188053</c:v>
                </c:pt>
                <c:pt idx="7">
                  <c:v>0.53210301372713031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7-4C78-A833-3B834B9994D5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Data'!$N$32:$N$39</c:f>
              <c:numCache>
                <c:formatCode>0.000</c:formatCode>
                <c:ptCount val="8"/>
                <c:pt idx="0">
                  <c:v>2.1249516554463677</c:v>
                </c:pt>
                <c:pt idx="1">
                  <c:v>3.9936984886552529</c:v>
                </c:pt>
                <c:pt idx="2">
                  <c:v>5.3809262206020065</c:v>
                </c:pt>
                <c:pt idx="3">
                  <c:v>6.1193771945981181</c:v>
                </c:pt>
                <c:pt idx="4">
                  <c:v>6.1200165848211521</c:v>
                </c:pt>
                <c:pt idx="5">
                  <c:v>5.3827673001721132</c:v>
                </c:pt>
                <c:pt idx="6">
                  <c:v>3.9965192791275221</c:v>
                </c:pt>
                <c:pt idx="7">
                  <c:v>2.1284120549085213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7-4C78-A833-3B834B9994D5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Data'!$N$44:$N$51</c:f>
              <c:numCache>
                <c:formatCode>0.000</c:formatCode>
                <c:ptCount val="8"/>
                <c:pt idx="0">
                  <c:v>4.7811412247543261</c:v>
                </c:pt>
                <c:pt idx="1">
                  <c:v>8.9858215994743187</c:v>
                </c:pt>
                <c:pt idx="2">
                  <c:v>12.107083996354513</c:v>
                </c:pt>
                <c:pt idx="3">
                  <c:v>13.768598687845767</c:v>
                </c:pt>
                <c:pt idx="4">
                  <c:v>13.770037315847594</c:v>
                </c:pt>
                <c:pt idx="5">
                  <c:v>12.111226425387253</c:v>
                </c:pt>
                <c:pt idx="6">
                  <c:v>8.9921683780369257</c:v>
                </c:pt>
                <c:pt idx="7">
                  <c:v>4.7889271235441724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37-4C78-A833-3B834B9994D5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Data'!$N$56:$N$63</c:f>
              <c:numCache>
                <c:formatCode>0.000</c:formatCode>
                <c:ptCount val="8"/>
                <c:pt idx="0">
                  <c:v>8.4998066217854706</c:v>
                </c:pt>
                <c:pt idx="1">
                  <c:v>15.974793954621012</c:v>
                </c:pt>
                <c:pt idx="2">
                  <c:v>21.523704882408026</c:v>
                </c:pt>
                <c:pt idx="3">
                  <c:v>24.477508778392473</c:v>
                </c:pt>
                <c:pt idx="4">
                  <c:v>24.480066339284608</c:v>
                </c:pt>
                <c:pt idx="5">
                  <c:v>21.531069200688453</c:v>
                </c:pt>
                <c:pt idx="6">
                  <c:v>15.986077116510089</c:v>
                </c:pt>
                <c:pt idx="7">
                  <c:v>8.513648219634085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37-4C78-A833-3B834B9994D5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Data'!$N$68:$N$75</c:f>
              <c:numCache>
                <c:formatCode>0.000</c:formatCode>
                <c:ptCount val="8"/>
                <c:pt idx="0">
                  <c:v>13.280947846539796</c:v>
                </c:pt>
                <c:pt idx="1">
                  <c:v>24.96061555409533</c:v>
                </c:pt>
                <c:pt idx="2">
                  <c:v>33.630788878762537</c:v>
                </c:pt>
                <c:pt idx="3">
                  <c:v>38.246107466238236</c:v>
                </c:pt>
                <c:pt idx="4">
                  <c:v>38.2501036551322</c:v>
                </c:pt>
                <c:pt idx="5">
                  <c:v>33.6422956260757</c:v>
                </c:pt>
                <c:pt idx="6">
                  <c:v>24.978245494547014</c:v>
                </c:pt>
                <c:pt idx="7">
                  <c:v>13.30257534317826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37-4C78-A833-3B834B9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</a:t>
            </a:r>
            <a:r>
              <a:rPr lang="en-US" baseline="0"/>
              <a:t> Distance to Prevent Power Cell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Data'!$A$24:$A$36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'Plot Data'!$C$24:$C$36</c:f>
              <c:numCache>
                <c:formatCode>0.0</c:formatCode>
                <c:ptCount val="13"/>
                <c:pt idx="0">
                  <c:v>5.6105825898244035</c:v>
                </c:pt>
                <c:pt idx="1">
                  <c:v>4.3793093909236225</c:v>
                </c:pt>
                <c:pt idx="2">
                  <c:v>3.5370772042069745</c:v>
                </c:pt>
                <c:pt idx="3">
                  <c:v>2.9165174507065417</c:v>
                </c:pt>
                <c:pt idx="4">
                  <c:v>2.4338144731167453</c:v>
                </c:pt>
                <c:pt idx="5">
                  <c:v>2.0422717568628941</c:v>
                </c:pt>
                <c:pt idx="6">
                  <c:v>1.7137345896093861</c:v>
                </c:pt>
                <c:pt idx="7">
                  <c:v>1.4301414544347331</c:v>
                </c:pt>
                <c:pt idx="8">
                  <c:v>1.1792946392038492</c:v>
                </c:pt>
                <c:pt idx="9">
                  <c:v>0.95257681052336729</c:v>
                </c:pt>
                <c:pt idx="10">
                  <c:v>0.74363883223931726</c:v>
                </c:pt>
                <c:pt idx="11">
                  <c:v>0.54760333500126313</c:v>
                </c:pt>
                <c:pt idx="12">
                  <c:v>0.36055544314502419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4-46D4-AF55-00398E5D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3504"/>
        <c:axId val="458347768"/>
      </c:scatterChart>
      <c:valAx>
        <c:axId val="4583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7768"/>
        <c:crosses val="autoZero"/>
        <c:crossBetween val="midCat"/>
      </c:valAx>
      <c:valAx>
        <c:axId val="458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71B03-CD02-43FF-943F-73E9D4B2D1A5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72955-79A8-4AE8-923E-96E5EAD2813F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62C60-775B-4601-97B5-D31A3B37AFD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19B4-BD5A-4D57-9E24-797D01F53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411954</xdr:colOff>
      <xdr:row>6</xdr:row>
      <xdr:rowOff>183356</xdr:rowOff>
    </xdr:from>
    <xdr:to>
      <xdr:col>23</xdr:col>
      <xdr:colOff>500062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70963-76EE-46D7-9C9B-00FA9E4B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98055-B25D-4CDE-B08D-2F642BCB5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C863-A2E3-437A-B1ED-B061B33EF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71DE-853C-4645-838D-52D3EBDAE5F1}">
  <dimension ref="A1:L61"/>
  <sheetViews>
    <sheetView topLeftCell="A3" zoomScale="84" workbookViewId="0">
      <selection activeCell="H5" sqref="H5"/>
    </sheetView>
  </sheetViews>
  <sheetFormatPr defaultRowHeight="14.4" x14ac:dyDescent="0.3"/>
  <cols>
    <col min="1" max="1" width="21.5546875" customWidth="1"/>
    <col min="2" max="2" width="9.109375" customWidth="1"/>
    <col min="7" max="11" width="14.5546875" style="3" customWidth="1"/>
    <col min="12" max="12" width="10.21875" style="3" customWidth="1"/>
  </cols>
  <sheetData>
    <row r="1" spans="1:12" ht="18" x14ac:dyDescent="0.35">
      <c r="A1" s="1" t="s">
        <v>0</v>
      </c>
    </row>
    <row r="2" spans="1:12" ht="18" x14ac:dyDescent="0.35">
      <c r="A2" s="1" t="s">
        <v>1</v>
      </c>
    </row>
    <row r="5" spans="1:12" x14ac:dyDescent="0.3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4" t="s">
        <v>32</v>
      </c>
      <c r="H5" s="16">
        <v>45</v>
      </c>
    </row>
    <row r="6" spans="1:12" x14ac:dyDescent="0.3">
      <c r="B6" s="13">
        <f>B5*12+D5</f>
        <v>98.25</v>
      </c>
      <c r="C6" t="s">
        <v>4</v>
      </c>
    </row>
    <row r="7" spans="1:12" ht="15" thickBot="1" x14ac:dyDescent="0.35">
      <c r="G7" s="5" t="s">
        <v>30</v>
      </c>
      <c r="H7" s="5" t="s">
        <v>31</v>
      </c>
      <c r="I7" s="5" t="s">
        <v>34</v>
      </c>
      <c r="J7" s="5" t="s">
        <v>16</v>
      </c>
      <c r="K7" s="5" t="s">
        <v>18</v>
      </c>
    </row>
    <row r="8" spans="1:12" x14ac:dyDescent="0.3">
      <c r="A8" s="2" t="s">
        <v>7</v>
      </c>
      <c r="B8" s="12">
        <v>24</v>
      </c>
      <c r="C8" t="s">
        <v>4</v>
      </c>
      <c r="G8" s="3">
        <v>0</v>
      </c>
      <c r="H8" s="7">
        <f t="shared" ref="H8:H43" si="0">($B$18*12)*COS($H$5*0.01745)*G8</f>
        <v>0</v>
      </c>
      <c r="I8" s="7">
        <f>H8/12</f>
        <v>0</v>
      </c>
      <c r="J8" s="7">
        <f t="shared" ref="J8:J43" si="1">($B$18*12)*SIN($H$5*0.01745)*G8-0.5*$B$22*G8^2</f>
        <v>0</v>
      </c>
      <c r="K8" s="7">
        <f>J8/12</f>
        <v>0</v>
      </c>
      <c r="L8" s="3">
        <f>$B$10</f>
        <v>74.25</v>
      </c>
    </row>
    <row r="9" spans="1:12" x14ac:dyDescent="0.3">
      <c r="G9" s="3">
        <v>0.1</v>
      </c>
      <c r="H9" s="7">
        <f t="shared" si="0"/>
        <v>27.350462424058719</v>
      </c>
      <c r="I9" s="7">
        <f t="shared" ref="I9:I43" si="2">H9/12</f>
        <v>2.2792052020048934</v>
      </c>
      <c r="J9" s="7">
        <f t="shared" si="1"/>
        <v>25.412158949768642</v>
      </c>
      <c r="K9" s="7">
        <f t="shared" ref="K9:K43" si="3">J9/12</f>
        <v>2.1176799124807202</v>
      </c>
      <c r="L9" s="3">
        <f t="shared" ref="L9:L43" si="4">$B$10</f>
        <v>74.25</v>
      </c>
    </row>
    <row r="10" spans="1:12" x14ac:dyDescent="0.3">
      <c r="A10" s="14" t="s">
        <v>2</v>
      </c>
      <c r="B10">
        <f>B6-B8</f>
        <v>74.25</v>
      </c>
      <c r="C10" t="s">
        <v>4</v>
      </c>
      <c r="G10" s="3">
        <v>0.2</v>
      </c>
      <c r="H10" s="7">
        <f t="shared" si="0"/>
        <v>54.700924848117438</v>
      </c>
      <c r="I10" s="7">
        <f t="shared" si="2"/>
        <v>4.5584104040097868</v>
      </c>
      <c r="J10" s="7">
        <f t="shared" si="1"/>
        <v>46.963917899537279</v>
      </c>
      <c r="K10" s="7">
        <f t="shared" si="3"/>
        <v>3.91365982496144</v>
      </c>
      <c r="L10" s="3">
        <f t="shared" si="4"/>
        <v>74.25</v>
      </c>
    </row>
    <row r="11" spans="1:12" x14ac:dyDescent="0.3">
      <c r="G11" s="3">
        <v>0.3</v>
      </c>
      <c r="H11" s="7">
        <f t="shared" si="0"/>
        <v>82.051387272176157</v>
      </c>
      <c r="I11" s="7">
        <f t="shared" si="2"/>
        <v>6.8376156060146798</v>
      </c>
      <c r="J11" s="7">
        <f t="shared" si="1"/>
        <v>64.65527684930592</v>
      </c>
      <c r="K11" s="7">
        <f t="shared" si="3"/>
        <v>5.38793973744216</v>
      </c>
      <c r="L11" s="3">
        <f t="shared" si="4"/>
        <v>74.25</v>
      </c>
    </row>
    <row r="12" spans="1:12" x14ac:dyDescent="0.3">
      <c r="A12" s="2" t="s">
        <v>19</v>
      </c>
      <c r="B12" s="12">
        <v>6</v>
      </c>
      <c r="C12" t="s">
        <v>4</v>
      </c>
      <c r="G12" s="3">
        <v>0.4</v>
      </c>
      <c r="H12" s="7">
        <f t="shared" si="0"/>
        <v>109.40184969623488</v>
      </c>
      <c r="I12" s="7">
        <f t="shared" si="2"/>
        <v>9.1168208080195736</v>
      </c>
      <c r="J12" s="7">
        <f t="shared" si="1"/>
        <v>78.486235799074564</v>
      </c>
      <c r="K12" s="7">
        <f t="shared" si="3"/>
        <v>6.5405196499228806</v>
      </c>
      <c r="L12" s="3">
        <f t="shared" si="4"/>
        <v>74.25</v>
      </c>
    </row>
    <row r="13" spans="1:12" x14ac:dyDescent="0.3">
      <c r="A13" s="14" t="s">
        <v>23</v>
      </c>
      <c r="B13" s="12">
        <f>C13*D13</f>
        <v>5423</v>
      </c>
      <c r="C13">
        <v>0.85</v>
      </c>
      <c r="D13">
        <v>6380</v>
      </c>
      <c r="G13" s="3">
        <v>0.5</v>
      </c>
      <c r="H13" s="7">
        <f t="shared" si="0"/>
        <v>136.7523121202936</v>
      </c>
      <c r="I13" s="7">
        <f t="shared" si="2"/>
        <v>11.396026010024466</v>
      </c>
      <c r="J13" s="7">
        <f t="shared" si="1"/>
        <v>88.456794748843208</v>
      </c>
      <c r="K13" s="7">
        <f t="shared" si="3"/>
        <v>7.3713995624036004</v>
      </c>
      <c r="L13" s="3">
        <f t="shared" si="4"/>
        <v>74.25</v>
      </c>
    </row>
    <row r="14" spans="1:12" x14ac:dyDescent="0.3">
      <c r="A14" s="14" t="s">
        <v>22</v>
      </c>
      <c r="B14" s="13">
        <f>PI()*B12</f>
        <v>18.849555921538759</v>
      </c>
      <c r="C14" t="s">
        <v>4</v>
      </c>
      <c r="G14" s="3">
        <v>0.6</v>
      </c>
      <c r="H14" s="7">
        <f t="shared" si="0"/>
        <v>164.10277454435231</v>
      </c>
      <c r="I14" s="7">
        <f t="shared" si="2"/>
        <v>13.67523121202936</v>
      </c>
      <c r="J14" s="7">
        <f t="shared" si="1"/>
        <v>94.566953698611826</v>
      </c>
      <c r="K14" s="7">
        <f t="shared" si="3"/>
        <v>7.8805794748843185</v>
      </c>
      <c r="L14" s="3">
        <f t="shared" si="4"/>
        <v>74.25</v>
      </c>
    </row>
    <row r="15" spans="1:12" x14ac:dyDescent="0.3">
      <c r="A15" s="14" t="s">
        <v>33</v>
      </c>
      <c r="B15" s="12">
        <v>0.22700000000000001</v>
      </c>
      <c r="G15" s="3">
        <v>0.7</v>
      </c>
      <c r="H15" s="7">
        <f t="shared" si="0"/>
        <v>191.45323696841103</v>
      </c>
      <c r="I15" s="7">
        <f t="shared" si="2"/>
        <v>15.954436414034253</v>
      </c>
      <c r="J15" s="7">
        <f t="shared" si="1"/>
        <v>96.816712648380488</v>
      </c>
      <c r="K15" s="7">
        <f t="shared" si="3"/>
        <v>8.0680593873650412</v>
      </c>
      <c r="L15" s="3">
        <f t="shared" si="4"/>
        <v>74.25</v>
      </c>
    </row>
    <row r="16" spans="1:12" x14ac:dyDescent="0.3">
      <c r="G16" s="3">
        <v>0.8</v>
      </c>
      <c r="H16" s="7">
        <f t="shared" si="0"/>
        <v>218.80369939246975</v>
      </c>
      <c r="I16" s="7">
        <f t="shared" si="2"/>
        <v>18.233641616039147</v>
      </c>
      <c r="J16" s="7">
        <f t="shared" si="1"/>
        <v>95.206071598149094</v>
      </c>
      <c r="K16" s="7">
        <f t="shared" si="3"/>
        <v>7.9338392998457579</v>
      </c>
      <c r="L16" s="3">
        <f t="shared" si="4"/>
        <v>74.25</v>
      </c>
    </row>
    <row r="17" spans="1:12" x14ac:dyDescent="0.3">
      <c r="A17" s="2" t="s">
        <v>20</v>
      </c>
      <c r="B17" s="13">
        <f>B13*B14</f>
        <v>102221.14176250469</v>
      </c>
      <c r="C17" t="s">
        <v>24</v>
      </c>
      <c r="G17" s="3">
        <v>0.9</v>
      </c>
      <c r="H17" s="7">
        <f t="shared" si="0"/>
        <v>246.15416181652847</v>
      </c>
      <c r="I17" s="7">
        <f t="shared" si="2"/>
        <v>20.512846818044039</v>
      </c>
      <c r="J17" s="7">
        <f t="shared" si="1"/>
        <v>89.735030547917773</v>
      </c>
      <c r="K17" s="7">
        <f t="shared" si="3"/>
        <v>7.4779192123264808</v>
      </c>
      <c r="L17" s="3">
        <f t="shared" si="4"/>
        <v>74.25</v>
      </c>
    </row>
    <row r="18" spans="1:12" x14ac:dyDescent="0.3">
      <c r="A18" s="2" t="s">
        <v>20</v>
      </c>
      <c r="B18" s="15">
        <f>($B$15*B17)/(12*60)</f>
        <v>32.228054416789675</v>
      </c>
      <c r="C18" t="s">
        <v>21</v>
      </c>
      <c r="G18" s="3">
        <v>1</v>
      </c>
      <c r="H18" s="7">
        <f t="shared" si="0"/>
        <v>273.50462424058719</v>
      </c>
      <c r="I18" s="7">
        <f t="shared" si="2"/>
        <v>22.792052020048931</v>
      </c>
      <c r="J18" s="7">
        <f t="shared" si="1"/>
        <v>80.403589497686397</v>
      </c>
      <c r="K18" s="7">
        <f t="shared" si="3"/>
        <v>6.7002991248071995</v>
      </c>
      <c r="L18" s="3">
        <f t="shared" si="4"/>
        <v>74.25</v>
      </c>
    </row>
    <row r="19" spans="1:12" x14ac:dyDescent="0.3">
      <c r="G19" s="3">
        <v>1.1000000000000001</v>
      </c>
      <c r="H19" s="7">
        <f t="shared" si="0"/>
        <v>300.85508666464591</v>
      </c>
      <c r="I19" s="7">
        <f t="shared" si="2"/>
        <v>25.071257222053827</v>
      </c>
      <c r="J19" s="7">
        <f t="shared" si="1"/>
        <v>67.211748447455022</v>
      </c>
      <c r="K19" s="7">
        <f t="shared" si="3"/>
        <v>5.6009790372879182</v>
      </c>
      <c r="L19" s="3">
        <f t="shared" si="4"/>
        <v>74.25</v>
      </c>
    </row>
    <row r="20" spans="1:12" x14ac:dyDescent="0.3">
      <c r="G20" s="3">
        <v>1.2</v>
      </c>
      <c r="H20" s="7">
        <f t="shared" si="0"/>
        <v>328.20554908870463</v>
      </c>
      <c r="I20" s="7">
        <f t="shared" si="2"/>
        <v>27.350462424058719</v>
      </c>
      <c r="J20" s="7">
        <f t="shared" si="1"/>
        <v>50.159507397223649</v>
      </c>
      <c r="K20" s="7">
        <f t="shared" si="3"/>
        <v>4.1799589497686371</v>
      </c>
      <c r="L20" s="3">
        <f t="shared" si="4"/>
        <v>74.25</v>
      </c>
    </row>
    <row r="21" spans="1:12" x14ac:dyDescent="0.3">
      <c r="A21" s="2" t="s">
        <v>29</v>
      </c>
      <c r="B21">
        <v>32.17</v>
      </c>
      <c r="C21" t="s">
        <v>27</v>
      </c>
      <c r="G21" s="3">
        <v>1.3</v>
      </c>
      <c r="H21" s="7">
        <f t="shared" si="0"/>
        <v>355.55601151276335</v>
      </c>
      <c r="I21" s="7">
        <f t="shared" si="2"/>
        <v>29.629667626063611</v>
      </c>
      <c r="J21" s="7">
        <f t="shared" si="1"/>
        <v>29.246866346992306</v>
      </c>
      <c r="K21" s="7">
        <f t="shared" si="3"/>
        <v>2.4372388622493588</v>
      </c>
      <c r="L21" s="3">
        <f t="shared" si="4"/>
        <v>74.25</v>
      </c>
    </row>
    <row r="22" spans="1:12" x14ac:dyDescent="0.3">
      <c r="B22">
        <f>B21*12</f>
        <v>386.04</v>
      </c>
      <c r="C22" t="s">
        <v>28</v>
      </c>
      <c r="G22" s="3">
        <v>1.4</v>
      </c>
      <c r="H22" s="7">
        <f t="shared" si="0"/>
        <v>382.90647393682207</v>
      </c>
      <c r="I22" s="7">
        <f t="shared" si="2"/>
        <v>31.908872828068507</v>
      </c>
      <c r="J22" s="7">
        <f t="shared" si="1"/>
        <v>4.4738252967609924</v>
      </c>
      <c r="K22" s="7">
        <f t="shared" si="3"/>
        <v>0.37281877473008268</v>
      </c>
      <c r="L22" s="3">
        <f t="shared" si="4"/>
        <v>74.25</v>
      </c>
    </row>
    <row r="23" spans="1:12" x14ac:dyDescent="0.3">
      <c r="G23" s="3">
        <v>1.5</v>
      </c>
      <c r="H23" s="7">
        <f t="shared" si="0"/>
        <v>410.25693636088079</v>
      </c>
      <c r="I23" s="7">
        <f t="shared" si="2"/>
        <v>34.188078030073399</v>
      </c>
      <c r="J23" s="7">
        <f t="shared" si="1"/>
        <v>-24.159615753470405</v>
      </c>
      <c r="K23" s="7">
        <f t="shared" si="3"/>
        <v>-2.0133013127892005</v>
      </c>
      <c r="L23" s="3">
        <f t="shared" si="4"/>
        <v>74.25</v>
      </c>
    </row>
    <row r="24" spans="1:12" x14ac:dyDescent="0.3">
      <c r="G24" s="3">
        <v>1.6</v>
      </c>
      <c r="H24" s="7">
        <f t="shared" si="0"/>
        <v>437.60739878493951</v>
      </c>
      <c r="I24" s="7">
        <f t="shared" si="2"/>
        <v>36.467283232078294</v>
      </c>
      <c r="J24" s="7">
        <f t="shared" si="1"/>
        <v>-56.653456803701886</v>
      </c>
      <c r="K24" s="7">
        <f t="shared" si="3"/>
        <v>-4.7211214003084905</v>
      </c>
      <c r="L24" s="3">
        <f t="shared" si="4"/>
        <v>74.25</v>
      </c>
    </row>
    <row r="25" spans="1:12" x14ac:dyDescent="0.3">
      <c r="G25" s="3">
        <v>1.7</v>
      </c>
      <c r="H25" s="7">
        <f t="shared" si="0"/>
        <v>464.95786120899822</v>
      </c>
      <c r="I25" s="7">
        <f t="shared" si="2"/>
        <v>38.746488434083183</v>
      </c>
      <c r="J25" s="7">
        <f t="shared" si="1"/>
        <v>-93.007697853933053</v>
      </c>
      <c r="K25" s="7">
        <f t="shared" si="3"/>
        <v>-7.7506414878277541</v>
      </c>
      <c r="L25" s="3">
        <f t="shared" si="4"/>
        <v>74.25</v>
      </c>
    </row>
    <row r="26" spans="1:12" x14ac:dyDescent="0.3">
      <c r="G26" s="3">
        <v>1.8</v>
      </c>
      <c r="H26" s="7">
        <f t="shared" si="0"/>
        <v>492.30832363305694</v>
      </c>
      <c r="I26" s="7">
        <f t="shared" si="2"/>
        <v>41.025693636088079</v>
      </c>
      <c r="J26" s="7">
        <f t="shared" si="1"/>
        <v>-133.22233890416447</v>
      </c>
      <c r="K26" s="7">
        <f t="shared" si="3"/>
        <v>-11.101861575347039</v>
      </c>
      <c r="L26" s="3">
        <f t="shared" si="4"/>
        <v>74.25</v>
      </c>
    </row>
    <row r="27" spans="1:12" ht="15" thickBot="1" x14ac:dyDescent="0.35">
      <c r="G27" s="3">
        <v>1.9</v>
      </c>
      <c r="H27" s="7">
        <f t="shared" si="0"/>
        <v>519.65878605711566</v>
      </c>
      <c r="I27" s="7">
        <f t="shared" si="2"/>
        <v>43.304898838092974</v>
      </c>
      <c r="J27" s="7">
        <f t="shared" si="1"/>
        <v>-177.29737995439586</v>
      </c>
      <c r="K27" s="7">
        <f t="shared" si="3"/>
        <v>-14.774781662866323</v>
      </c>
      <c r="L27" s="3">
        <f t="shared" si="4"/>
        <v>74.25</v>
      </c>
    </row>
    <row r="28" spans="1:12" ht="16.8" thickTop="1" thickBot="1" x14ac:dyDescent="0.35">
      <c r="A28" s="47" t="s">
        <v>35</v>
      </c>
      <c r="B28" s="48"/>
      <c r="C28" s="49"/>
      <c r="G28" s="3">
        <v>2</v>
      </c>
      <c r="H28" s="7">
        <f t="shared" si="0"/>
        <v>547.00924848117438</v>
      </c>
      <c r="I28" s="7">
        <f t="shared" si="2"/>
        <v>45.584104040097863</v>
      </c>
      <c r="J28" s="7">
        <f t="shared" si="1"/>
        <v>-225.23282100462723</v>
      </c>
      <c r="K28" s="7">
        <f t="shared" si="3"/>
        <v>-18.769401750385601</v>
      </c>
      <c r="L28" s="3">
        <f t="shared" si="4"/>
        <v>74.25</v>
      </c>
    </row>
    <row r="29" spans="1:12" ht="15" thickTop="1" x14ac:dyDescent="0.3">
      <c r="A29" s="17"/>
      <c r="B29" s="18"/>
      <c r="C29" s="19"/>
      <c r="G29" s="3">
        <v>2.1</v>
      </c>
      <c r="H29" s="7">
        <f t="shared" si="0"/>
        <v>574.3597109052331</v>
      </c>
      <c r="I29" s="7">
        <f t="shared" si="2"/>
        <v>47.863309242102758</v>
      </c>
      <c r="J29" s="7">
        <f t="shared" si="1"/>
        <v>-277.0286620548585</v>
      </c>
      <c r="K29" s="7">
        <f t="shared" si="3"/>
        <v>-23.085721837904874</v>
      </c>
      <c r="L29" s="3">
        <f t="shared" si="4"/>
        <v>74.25</v>
      </c>
    </row>
    <row r="30" spans="1:12" x14ac:dyDescent="0.3">
      <c r="A30" s="20" t="s">
        <v>36</v>
      </c>
      <c r="B30" s="23">
        <v>220</v>
      </c>
      <c r="C30" s="19" t="s">
        <v>4</v>
      </c>
      <c r="G30" s="3">
        <v>2.2000000000000002</v>
      </c>
      <c r="H30" s="7">
        <f t="shared" si="0"/>
        <v>601.71017332929182</v>
      </c>
      <c r="I30" s="7">
        <f t="shared" si="2"/>
        <v>50.142514444107654</v>
      </c>
      <c r="J30" s="7">
        <f t="shared" si="1"/>
        <v>-332.68490310509003</v>
      </c>
      <c r="K30" s="7">
        <f t="shared" si="3"/>
        <v>-27.723741925424168</v>
      </c>
      <c r="L30" s="3">
        <f t="shared" si="4"/>
        <v>74.25</v>
      </c>
    </row>
    <row r="31" spans="1:12" x14ac:dyDescent="0.3">
      <c r="A31" s="17"/>
      <c r="B31" s="18"/>
      <c r="C31" s="19"/>
      <c r="G31" s="3">
        <v>2.2999999999999998</v>
      </c>
      <c r="H31" s="7">
        <f t="shared" si="0"/>
        <v>629.06063575335054</v>
      </c>
      <c r="I31" s="7">
        <f t="shared" si="2"/>
        <v>52.421719646112543</v>
      </c>
      <c r="J31" s="7">
        <f t="shared" si="1"/>
        <v>-392.20154415532113</v>
      </c>
      <c r="K31" s="7">
        <f t="shared" si="3"/>
        <v>-32.68346201294343</v>
      </c>
      <c r="L31" s="3">
        <f t="shared" si="4"/>
        <v>74.25</v>
      </c>
    </row>
    <row r="32" spans="1:12" x14ac:dyDescent="0.3">
      <c r="A32" s="20" t="s">
        <v>32</v>
      </c>
      <c r="B32" s="24">
        <f>ROUND(ATAN($B$10/B30)*57.2958,1)</f>
        <v>18.600000000000001</v>
      </c>
      <c r="C32" s="19" t="s">
        <v>42</v>
      </c>
      <c r="G32" s="3">
        <v>2.4</v>
      </c>
      <c r="H32" s="7">
        <f t="shared" si="0"/>
        <v>656.41109817740926</v>
      </c>
      <c r="I32" s="7">
        <f t="shared" si="2"/>
        <v>54.700924848117438</v>
      </c>
      <c r="J32" s="7">
        <f t="shared" si="1"/>
        <v>-455.57858520555271</v>
      </c>
      <c r="K32" s="7">
        <f t="shared" si="3"/>
        <v>-37.964882100462724</v>
      </c>
      <c r="L32" s="3">
        <f t="shared" si="4"/>
        <v>74.25</v>
      </c>
    </row>
    <row r="33" spans="1:12" x14ac:dyDescent="0.3">
      <c r="A33" s="17"/>
      <c r="B33" s="18"/>
      <c r="C33" s="19"/>
      <c r="G33" s="3">
        <v>2.5</v>
      </c>
      <c r="H33" s="7">
        <f t="shared" si="0"/>
        <v>683.76156060146798</v>
      </c>
      <c r="I33" s="7">
        <f t="shared" si="2"/>
        <v>56.980130050122334</v>
      </c>
      <c r="J33" s="7">
        <f t="shared" si="1"/>
        <v>-522.81602625578398</v>
      </c>
      <c r="K33" s="7">
        <f t="shared" si="3"/>
        <v>-43.568002187981996</v>
      </c>
      <c r="L33" s="3">
        <f t="shared" si="4"/>
        <v>74.25</v>
      </c>
    </row>
    <row r="34" spans="1:12" x14ac:dyDescent="0.3">
      <c r="A34" s="20" t="s">
        <v>37</v>
      </c>
      <c r="B34" s="24">
        <f>ROUND(SQRT((2*$B$22*$B$10)/(SIN(B32*0.01745)*SIN(B32*0.01745))),1)</f>
        <v>750.8</v>
      </c>
      <c r="C34" s="19" t="s">
        <v>38</v>
      </c>
      <c r="G34" s="3">
        <v>2.6</v>
      </c>
      <c r="H34" s="7">
        <f t="shared" si="0"/>
        <v>711.1120230255267</v>
      </c>
      <c r="I34" s="7">
        <f t="shared" si="2"/>
        <v>59.259335252127222</v>
      </c>
      <c r="J34" s="7">
        <f t="shared" si="1"/>
        <v>-593.9138673060155</v>
      </c>
      <c r="K34" s="7">
        <f t="shared" si="3"/>
        <v>-49.49282227550129</v>
      </c>
      <c r="L34" s="3">
        <f t="shared" si="4"/>
        <v>74.25</v>
      </c>
    </row>
    <row r="35" spans="1:12" x14ac:dyDescent="0.3">
      <c r="A35" s="17"/>
      <c r="B35" s="24">
        <f>ROUND(B34/12,1)</f>
        <v>62.6</v>
      </c>
      <c r="C35" s="19" t="s">
        <v>39</v>
      </c>
      <c r="G35" s="3">
        <v>2.7</v>
      </c>
      <c r="H35" s="7">
        <f t="shared" si="0"/>
        <v>738.46248544958542</v>
      </c>
      <c r="I35" s="7">
        <f t="shared" si="2"/>
        <v>61.538540454132118</v>
      </c>
      <c r="J35" s="7">
        <f t="shared" si="1"/>
        <v>-668.87210835624694</v>
      </c>
      <c r="K35" s="7">
        <f t="shared" si="3"/>
        <v>-55.739342363020576</v>
      </c>
      <c r="L35" s="3">
        <f t="shared" si="4"/>
        <v>74.25</v>
      </c>
    </row>
    <row r="36" spans="1:12" x14ac:dyDescent="0.3">
      <c r="A36" s="17"/>
      <c r="B36" s="18"/>
      <c r="C36" s="19"/>
      <c r="G36" s="3">
        <v>2.8</v>
      </c>
      <c r="H36" s="7">
        <f t="shared" si="0"/>
        <v>765.81294787364413</v>
      </c>
      <c r="I36" s="7">
        <f t="shared" si="2"/>
        <v>63.817745656137014</v>
      </c>
      <c r="J36" s="7">
        <f t="shared" si="1"/>
        <v>-747.69074940647795</v>
      </c>
      <c r="K36" s="7">
        <f t="shared" si="3"/>
        <v>-62.307562450539827</v>
      </c>
      <c r="L36" s="3">
        <f t="shared" si="4"/>
        <v>74.25</v>
      </c>
    </row>
    <row r="37" spans="1:12" ht="15" thickBot="1" x14ac:dyDescent="0.35">
      <c r="A37" s="21" t="s">
        <v>40</v>
      </c>
      <c r="B37" s="25">
        <f>ROUND((720*B35)/(B15*B14),0)</f>
        <v>10534</v>
      </c>
      <c r="C37" s="22" t="s">
        <v>41</v>
      </c>
      <c r="G37" s="3">
        <v>2.9</v>
      </c>
      <c r="H37" s="7">
        <f t="shared" si="0"/>
        <v>793.16341029770285</v>
      </c>
      <c r="I37" s="7">
        <f t="shared" si="2"/>
        <v>66.096950858141909</v>
      </c>
      <c r="J37" s="7">
        <f t="shared" si="1"/>
        <v>-830.36979045670967</v>
      </c>
      <c r="K37" s="7">
        <f t="shared" si="3"/>
        <v>-69.197482538059134</v>
      </c>
      <c r="L37" s="3">
        <f t="shared" si="4"/>
        <v>74.25</v>
      </c>
    </row>
    <row r="38" spans="1:12" ht="15" thickTop="1" x14ac:dyDescent="0.3">
      <c r="G38" s="3">
        <v>3</v>
      </c>
      <c r="H38" s="7">
        <f t="shared" si="0"/>
        <v>820.51387272176157</v>
      </c>
      <c r="I38" s="7">
        <f t="shared" si="2"/>
        <v>68.376156060146798</v>
      </c>
      <c r="J38" s="7">
        <f t="shared" si="1"/>
        <v>-916.90923150694084</v>
      </c>
      <c r="K38" s="7">
        <f t="shared" si="3"/>
        <v>-76.409102625578399</v>
      </c>
      <c r="L38" s="3">
        <f t="shared" si="4"/>
        <v>74.25</v>
      </c>
    </row>
    <row r="39" spans="1:12" x14ac:dyDescent="0.3">
      <c r="G39" s="3">
        <v>3.1</v>
      </c>
      <c r="H39" s="7">
        <f t="shared" si="0"/>
        <v>847.86433514582029</v>
      </c>
      <c r="I39" s="7">
        <f t="shared" si="2"/>
        <v>70.655361262151686</v>
      </c>
      <c r="J39" s="7">
        <f t="shared" si="1"/>
        <v>-1007.3090725571725</v>
      </c>
      <c r="K39" s="7">
        <f t="shared" si="3"/>
        <v>-83.942422713097713</v>
      </c>
      <c r="L39" s="3">
        <f t="shared" si="4"/>
        <v>74.25</v>
      </c>
    </row>
    <row r="40" spans="1:12" x14ac:dyDescent="0.3">
      <c r="G40" s="3">
        <v>3.2</v>
      </c>
      <c r="H40" s="7">
        <f t="shared" si="0"/>
        <v>875.21479756987901</v>
      </c>
      <c r="I40" s="7">
        <f t="shared" si="2"/>
        <v>72.934566464156589</v>
      </c>
      <c r="J40" s="7">
        <f t="shared" si="1"/>
        <v>-1101.5693136074042</v>
      </c>
      <c r="K40" s="7">
        <f t="shared" si="3"/>
        <v>-91.79744280061702</v>
      </c>
      <c r="L40" s="3">
        <f t="shared" si="4"/>
        <v>74.25</v>
      </c>
    </row>
    <row r="41" spans="1:12" x14ac:dyDescent="0.3">
      <c r="G41" s="3">
        <v>3.3</v>
      </c>
      <c r="H41" s="7">
        <f t="shared" si="0"/>
        <v>902.56525999393773</v>
      </c>
      <c r="I41" s="7">
        <f t="shared" si="2"/>
        <v>75.213771666161477</v>
      </c>
      <c r="J41" s="7">
        <f t="shared" si="1"/>
        <v>-1199.6899546576346</v>
      </c>
      <c r="K41" s="7">
        <f t="shared" si="3"/>
        <v>-99.97416288813622</v>
      </c>
      <c r="L41" s="3">
        <f t="shared" si="4"/>
        <v>74.25</v>
      </c>
    </row>
    <row r="42" spans="1:12" x14ac:dyDescent="0.3">
      <c r="G42" s="3">
        <v>3.4</v>
      </c>
      <c r="H42" s="7">
        <f t="shared" si="0"/>
        <v>929.91572241799645</v>
      </c>
      <c r="I42" s="7">
        <f t="shared" si="2"/>
        <v>77.492976868166366</v>
      </c>
      <c r="J42" s="7">
        <f t="shared" si="1"/>
        <v>-1301.670995707866</v>
      </c>
      <c r="K42" s="7">
        <f t="shared" si="3"/>
        <v>-108.4725829756555</v>
      </c>
      <c r="L42" s="3">
        <f t="shared" si="4"/>
        <v>74.25</v>
      </c>
    </row>
    <row r="43" spans="1:12" x14ac:dyDescent="0.3">
      <c r="G43" s="3">
        <v>3.5</v>
      </c>
      <c r="H43" s="7">
        <f t="shared" si="0"/>
        <v>957.26618484205517</v>
      </c>
      <c r="I43" s="7">
        <f t="shared" si="2"/>
        <v>79.772182070171269</v>
      </c>
      <c r="J43" s="7">
        <f t="shared" si="1"/>
        <v>-1407.5124367580979</v>
      </c>
      <c r="K43" s="7">
        <f t="shared" si="3"/>
        <v>-117.29270306317483</v>
      </c>
      <c r="L43" s="3">
        <f t="shared" si="4"/>
        <v>74.25</v>
      </c>
    </row>
    <row r="47" spans="1:12" x14ac:dyDescent="0.3">
      <c r="G47" s="4"/>
      <c r="H47" s="4"/>
      <c r="I47" s="4"/>
    </row>
    <row r="48" spans="1:12" x14ac:dyDescent="0.3">
      <c r="G48"/>
      <c r="H48"/>
      <c r="I48"/>
    </row>
    <row r="49" spans="7:8" x14ac:dyDescent="0.3">
      <c r="G49"/>
      <c r="H49"/>
    </row>
    <row r="50" spans="7:8" x14ac:dyDescent="0.3">
      <c r="G50"/>
      <c r="H50"/>
    </row>
    <row r="51" spans="7:8" x14ac:dyDescent="0.3">
      <c r="G51"/>
      <c r="H51"/>
    </row>
    <row r="52" spans="7:8" x14ac:dyDescent="0.3">
      <c r="G52"/>
      <c r="H52"/>
    </row>
    <row r="53" spans="7:8" x14ac:dyDescent="0.3">
      <c r="G53"/>
      <c r="H53"/>
    </row>
    <row r="54" spans="7:8" x14ac:dyDescent="0.3">
      <c r="G54"/>
      <c r="H54"/>
    </row>
    <row r="55" spans="7:8" x14ac:dyDescent="0.3">
      <c r="G55"/>
      <c r="H55"/>
    </row>
    <row r="56" spans="7:8" x14ac:dyDescent="0.3">
      <c r="G56"/>
      <c r="H56"/>
    </row>
    <row r="57" spans="7:8" x14ac:dyDescent="0.3">
      <c r="G57"/>
      <c r="H57"/>
    </row>
    <row r="58" spans="7:8" x14ac:dyDescent="0.3">
      <c r="G58"/>
      <c r="H58"/>
    </row>
    <row r="59" spans="7:8" x14ac:dyDescent="0.3">
      <c r="G59"/>
      <c r="H59"/>
    </row>
    <row r="60" spans="7:8" x14ac:dyDescent="0.3">
      <c r="G60"/>
      <c r="H60"/>
    </row>
    <row r="61" spans="7:8" x14ac:dyDescent="0.3">
      <c r="G61"/>
      <c r="H61"/>
    </row>
  </sheetData>
  <mergeCells count="1">
    <mergeCell ref="A28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9CD4-8DEB-4F2A-87C8-9FF228A68946}">
  <dimension ref="A1:V46"/>
  <sheetViews>
    <sheetView topLeftCell="A2" zoomScale="71" workbookViewId="0">
      <selection activeCell="J6" sqref="J6"/>
    </sheetView>
  </sheetViews>
  <sheetFormatPr defaultRowHeight="14.4" x14ac:dyDescent="0.3"/>
  <cols>
    <col min="1" max="1" width="19.109375" customWidth="1"/>
    <col min="2" max="4" width="9" bestFit="1" customWidth="1"/>
    <col min="6" max="6" width="10.88671875" bestFit="1" customWidth="1"/>
    <col min="7" max="7" width="9" bestFit="1" customWidth="1"/>
    <col min="8" max="8" width="10.77734375" hidden="1" customWidth="1"/>
    <col min="9" max="9" width="0" hidden="1" customWidth="1"/>
    <col min="10" max="21" width="9" bestFit="1" customWidth="1"/>
    <col min="22" max="22" width="9.77734375" bestFit="1" customWidth="1"/>
  </cols>
  <sheetData>
    <row r="1" spans="1:22" ht="18" x14ac:dyDescent="0.35">
      <c r="A1" s="1" t="s">
        <v>0</v>
      </c>
    </row>
    <row r="2" spans="1:22" ht="18" x14ac:dyDescent="0.35">
      <c r="A2" s="1" t="s">
        <v>1</v>
      </c>
      <c r="F2" t="s">
        <v>72</v>
      </c>
      <c r="G2" t="s">
        <v>69</v>
      </c>
    </row>
    <row r="3" spans="1:22" x14ac:dyDescent="0.3">
      <c r="J3" s="28">
        <v>25</v>
      </c>
      <c r="K3" s="28">
        <v>30</v>
      </c>
      <c r="L3" s="28">
        <v>35</v>
      </c>
      <c r="M3" s="28">
        <v>40</v>
      </c>
      <c r="N3" s="28">
        <v>45</v>
      </c>
      <c r="O3" s="28">
        <v>50</v>
      </c>
      <c r="P3" s="28">
        <v>55</v>
      </c>
      <c r="Q3" s="28">
        <v>60</v>
      </c>
      <c r="R3" s="28">
        <v>65</v>
      </c>
      <c r="S3" s="28">
        <v>70</v>
      </c>
      <c r="T3" s="28">
        <v>75</v>
      </c>
      <c r="U3" s="28">
        <v>80</v>
      </c>
      <c r="V3" s="28">
        <v>85</v>
      </c>
    </row>
    <row r="4" spans="1:22" hidden="1" x14ac:dyDescent="0.3"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idden="1" x14ac:dyDescent="0.3">
      <c r="J5" s="28">
        <f t="shared" ref="J5:V5" si="0">RADIANS(J3)</f>
        <v>0.43633231299858238</v>
      </c>
      <c r="K5" s="28">
        <f t="shared" si="0"/>
        <v>0.52359877559829882</v>
      </c>
      <c r="L5" s="28">
        <f t="shared" si="0"/>
        <v>0.6108652381980153</v>
      </c>
      <c r="M5" s="28">
        <f t="shared" si="0"/>
        <v>0.69813170079773179</v>
      </c>
      <c r="N5" s="28">
        <f t="shared" si="0"/>
        <v>0.78539816339744828</v>
      </c>
      <c r="O5" s="28">
        <f t="shared" si="0"/>
        <v>0.87266462599716477</v>
      </c>
      <c r="P5" s="28">
        <f t="shared" si="0"/>
        <v>0.95993108859688125</v>
      </c>
      <c r="Q5" s="28">
        <f t="shared" si="0"/>
        <v>1.0471975511965976</v>
      </c>
      <c r="R5" s="28">
        <f t="shared" si="0"/>
        <v>1.1344640137963142</v>
      </c>
      <c r="S5" s="28">
        <f t="shared" si="0"/>
        <v>1.2217304763960306</v>
      </c>
      <c r="T5" s="28">
        <f t="shared" si="0"/>
        <v>1.3089969389957472</v>
      </c>
      <c r="U5" s="28">
        <f t="shared" si="0"/>
        <v>1.3962634015954636</v>
      </c>
      <c r="V5" s="28">
        <f t="shared" si="0"/>
        <v>1.4835298641951802</v>
      </c>
    </row>
    <row r="6" spans="1:22" x14ac:dyDescent="0.3">
      <c r="F6" s="3" t="s">
        <v>34</v>
      </c>
      <c r="G6" s="28">
        <v>0</v>
      </c>
      <c r="H6" s="28" t="s">
        <v>70</v>
      </c>
      <c r="I6" s="28">
        <f>G6*12</f>
        <v>0</v>
      </c>
      <c r="J6" s="9">
        <f>TAN(J$5)*$I6-(0.5*$B$24)*POWER($I6/($B$21*COS(J$5)), 2)</f>
        <v>0</v>
      </c>
      <c r="K6" s="9">
        <f t="shared" ref="J6:V7" si="1">TAN(K$5)*$I6-(0.5*$B$24)*POWER($I6/($B$21*COS(K$5)), 2)</f>
        <v>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</row>
    <row r="7" spans="1:22" x14ac:dyDescent="0.3">
      <c r="A7" s="2" t="s">
        <v>10</v>
      </c>
      <c r="B7" s="12">
        <v>8</v>
      </c>
      <c r="C7" t="s">
        <v>3</v>
      </c>
      <c r="D7" s="12">
        <v>2.25</v>
      </c>
      <c r="E7" t="s">
        <v>4</v>
      </c>
      <c r="G7">
        <v>1</v>
      </c>
      <c r="I7" s="28">
        <f t="shared" ref="I7:I46" si="2">G7*12</f>
        <v>12</v>
      </c>
      <c r="J7" s="9">
        <f t="shared" si="1"/>
        <v>5.3050902742447725</v>
      </c>
      <c r="K7" s="9">
        <f t="shared" si="1"/>
        <v>6.6099387325222692</v>
      </c>
      <c r="L7" s="9">
        <f t="shared" si="1"/>
        <v>8.0467605173497478</v>
      </c>
      <c r="M7" s="9">
        <f t="shared" si="1"/>
        <v>9.6624324949404894</v>
      </c>
      <c r="N7" s="9">
        <f t="shared" si="1"/>
        <v>11.522603253370139</v>
      </c>
      <c r="O7" s="9">
        <f t="shared" si="1"/>
        <v>13.723327017660782</v>
      </c>
      <c r="P7" s="9">
        <f t="shared" si="1"/>
        <v>16.412226899137416</v>
      </c>
      <c r="Q7" s="9">
        <f t="shared" si="1"/>
        <v>19.829816197566803</v>
      </c>
      <c r="R7" s="9">
        <f t="shared" si="1"/>
        <v>24.397632352982438</v>
      </c>
      <c r="S7" s="9">
        <f t="shared" si="1"/>
        <v>30.929184440310195</v>
      </c>
      <c r="T7" s="9">
        <f t="shared" si="1"/>
        <v>41.221271863245086</v>
      </c>
      <c r="U7" s="9">
        <f t="shared" si="1"/>
        <v>60.139323255995571</v>
      </c>
      <c r="V7" s="9">
        <f t="shared" si="1"/>
        <v>105.73691874968517</v>
      </c>
    </row>
    <row r="8" spans="1:22" x14ac:dyDescent="0.3">
      <c r="B8" s="13">
        <f>B7*12+D7</f>
        <v>98.25</v>
      </c>
      <c r="C8" t="s">
        <v>4</v>
      </c>
      <c r="G8">
        <v>2</v>
      </c>
      <c r="I8" s="28">
        <f t="shared" si="2"/>
        <v>24</v>
      </c>
      <c r="J8" s="9">
        <f t="shared" ref="J8:V23" si="3">TAN(J$5)*$I8-(0.5*$B$24)*POWER($I8/($B$21*COS(J$5)), 2)</f>
        <v>10.028977301259124</v>
      </c>
      <c r="K8" s="9">
        <f t="shared" si="3"/>
        <v>12.583348469538061</v>
      </c>
      <c r="L8" s="9">
        <f t="shared" si="3"/>
        <v>15.382061152365958</v>
      </c>
      <c r="M8" s="9">
        <f t="shared" si="3"/>
        <v>18.511338831507238</v>
      </c>
      <c r="N8" s="9">
        <f t="shared" si="3"/>
        <v>22.090413013480561</v>
      </c>
      <c r="O8" s="9">
        <f t="shared" si="3"/>
        <v>26.291221848382094</v>
      </c>
      <c r="P8" s="9">
        <f t="shared" si="3"/>
        <v>31.373355434738915</v>
      </c>
      <c r="Q8" s="9">
        <f t="shared" si="3"/>
        <v>37.75004540861417</v>
      </c>
      <c r="R8" s="9">
        <f t="shared" si="3"/>
        <v>46.122363319700334</v>
      </c>
      <c r="S8" s="9">
        <f t="shared" si="3"/>
        <v>57.777279694329863</v>
      </c>
      <c r="T8" s="9">
        <f t="shared" si="3"/>
        <v>75.315868071327287</v>
      </c>
      <c r="U8" s="9">
        <f t="shared" si="3"/>
        <v>104.44652935315733</v>
      </c>
      <c r="V8" s="9">
        <f t="shared" si="3"/>
        <v>148.62641973246832</v>
      </c>
    </row>
    <row r="9" spans="1:22" x14ac:dyDescent="0.3">
      <c r="G9">
        <v>3</v>
      </c>
      <c r="I9" s="28">
        <f t="shared" si="2"/>
        <v>36</v>
      </c>
      <c r="J9" s="9">
        <f t="shared" si="3"/>
        <v>14.171661081043055</v>
      </c>
      <c r="K9" s="9">
        <f t="shared" si="3"/>
        <v>17.920229211047374</v>
      </c>
      <c r="L9" s="9">
        <f t="shared" si="3"/>
        <v>22.005901905048628</v>
      </c>
      <c r="M9" s="9">
        <f t="shared" si="3"/>
        <v>26.546719009700251</v>
      </c>
      <c r="N9" s="9">
        <f t="shared" si="3"/>
        <v>31.703429280331264</v>
      </c>
      <c r="O9" s="9">
        <f t="shared" si="3"/>
        <v>37.70368449216393</v>
      </c>
      <c r="P9" s="9">
        <f t="shared" si="3"/>
        <v>44.883385606804502</v>
      </c>
      <c r="Q9" s="9">
        <f t="shared" si="3"/>
        <v>53.760687633142098</v>
      </c>
      <c r="R9" s="9">
        <f t="shared" si="3"/>
        <v>65.174192900153699</v>
      </c>
      <c r="S9" s="9">
        <f t="shared" si="3"/>
        <v>80.544285762059005</v>
      </c>
      <c r="T9" s="9">
        <f t="shared" si="3"/>
        <v>102.28378862424663</v>
      </c>
      <c r="U9" s="9">
        <f t="shared" si="3"/>
        <v>132.92161829148529</v>
      </c>
      <c r="V9" s="9">
        <f t="shared" si="3"/>
        <v>128.6685029483495</v>
      </c>
    </row>
    <row r="10" spans="1:22" x14ac:dyDescent="0.3">
      <c r="A10" s="2" t="s">
        <v>7</v>
      </c>
      <c r="B10" s="12">
        <v>24</v>
      </c>
      <c r="C10" t="s">
        <v>4</v>
      </c>
      <c r="G10">
        <v>4</v>
      </c>
      <c r="I10" s="28">
        <f t="shared" si="2"/>
        <v>48</v>
      </c>
      <c r="J10" s="9">
        <f t="shared" si="3"/>
        <v>17.733141613596565</v>
      </c>
      <c r="K10" s="9">
        <f t="shared" si="3"/>
        <v>22.620580957050208</v>
      </c>
      <c r="L10" s="9">
        <f t="shared" si="3"/>
        <v>27.918282775397767</v>
      </c>
      <c r="M10" s="9">
        <f t="shared" si="3"/>
        <v>33.768573029519523</v>
      </c>
      <c r="N10" s="9">
        <f t="shared" si="3"/>
        <v>40.361652053922249</v>
      </c>
      <c r="O10" s="9">
        <f t="shared" si="3"/>
        <v>47.960714949006288</v>
      </c>
      <c r="P10" s="9">
        <f t="shared" si="3"/>
        <v>56.942317415334166</v>
      </c>
      <c r="Q10" s="9">
        <f t="shared" si="3"/>
        <v>67.861742871150597</v>
      </c>
      <c r="R10" s="9">
        <f t="shared" si="3"/>
        <v>81.553121094342515</v>
      </c>
      <c r="S10" s="9">
        <f t="shared" si="3"/>
        <v>99.230202643497606</v>
      </c>
      <c r="T10" s="9">
        <f t="shared" si="3"/>
        <v>122.12503352200305</v>
      </c>
      <c r="U10" s="9">
        <f t="shared" si="3"/>
        <v>145.56459007097939</v>
      </c>
      <c r="V10" s="9">
        <f t="shared" si="3"/>
        <v>45.863168397328593</v>
      </c>
    </row>
    <row r="11" spans="1:22" x14ac:dyDescent="0.3">
      <c r="G11" s="28">
        <v>5</v>
      </c>
      <c r="H11" s="28"/>
      <c r="I11" s="28">
        <f t="shared" si="2"/>
        <v>60</v>
      </c>
      <c r="J11" s="9">
        <f t="shared" si="3"/>
        <v>20.713418898919652</v>
      </c>
      <c r="K11" s="9">
        <f t="shared" si="3"/>
        <v>26.684403707546558</v>
      </c>
      <c r="L11" s="9">
        <f t="shared" si="3"/>
        <v>33.119203763413353</v>
      </c>
      <c r="M11" s="9">
        <f t="shared" si="3"/>
        <v>40.176900890965044</v>
      </c>
      <c r="N11" s="9">
        <f t="shared" si="3"/>
        <v>48.06508133425352</v>
      </c>
      <c r="O11" s="9">
        <f t="shared" si="3"/>
        <v>57.062313218909182</v>
      </c>
      <c r="P11" s="9">
        <f t="shared" si="3"/>
        <v>67.550150860327932</v>
      </c>
      <c r="Q11" s="9">
        <f t="shared" si="3"/>
        <v>80.053211122639667</v>
      </c>
      <c r="R11" s="9">
        <f t="shared" si="3"/>
        <v>95.259147902266818</v>
      </c>
      <c r="S11" s="9">
        <f t="shared" si="3"/>
        <v>113.83503033864571</v>
      </c>
      <c r="T11" s="9">
        <f t="shared" si="3"/>
        <v>134.83960276459663</v>
      </c>
      <c r="U11" s="9">
        <f t="shared" si="3"/>
        <v>142.3754446916397</v>
      </c>
      <c r="V11" s="9">
        <f t="shared" si="3"/>
        <v>-99.789583920594396</v>
      </c>
    </row>
    <row r="12" spans="1:22" x14ac:dyDescent="0.3">
      <c r="A12" s="14" t="s">
        <v>2</v>
      </c>
      <c r="B12">
        <f>B8-B10</f>
        <v>74.25</v>
      </c>
      <c r="C12" t="s">
        <v>4</v>
      </c>
      <c r="G12">
        <v>6</v>
      </c>
      <c r="I12" s="28">
        <f t="shared" si="2"/>
        <v>72</v>
      </c>
      <c r="J12" s="9">
        <f t="shared" si="3"/>
        <v>23.11249293701232</v>
      </c>
      <c r="K12" s="9">
        <f t="shared" si="3"/>
        <v>30.111697462536441</v>
      </c>
      <c r="L12" s="9">
        <f t="shared" si="3"/>
        <v>37.608664869095414</v>
      </c>
      <c r="M12" s="9">
        <f t="shared" si="3"/>
        <v>45.771702594036846</v>
      </c>
      <c r="N12" s="9">
        <f t="shared" si="3"/>
        <v>54.813717121325062</v>
      </c>
      <c r="O12" s="9">
        <f t="shared" si="3"/>
        <v>65.008479301872597</v>
      </c>
      <c r="P12" s="9">
        <f t="shared" si="3"/>
        <v>76.706885941785771</v>
      </c>
      <c r="Q12" s="9">
        <f t="shared" si="3"/>
        <v>90.335092387609279</v>
      </c>
      <c r="R12" s="9">
        <f t="shared" si="3"/>
        <v>106.29227332392657</v>
      </c>
      <c r="S12" s="9">
        <f t="shared" si="3"/>
        <v>124.35876884750324</v>
      </c>
      <c r="T12" s="9">
        <f t="shared" si="3"/>
        <v>140.4274963520273</v>
      </c>
      <c r="U12" s="9">
        <f t="shared" si="3"/>
        <v>123.35418215346624</v>
      </c>
      <c r="V12" s="9">
        <f t="shared" si="3"/>
        <v>-308.28975400541913</v>
      </c>
    </row>
    <row r="13" spans="1:22" x14ac:dyDescent="0.3">
      <c r="G13">
        <v>7</v>
      </c>
      <c r="I13" s="28">
        <f t="shared" si="2"/>
        <v>84</v>
      </c>
      <c r="J13" s="9">
        <f t="shared" si="3"/>
        <v>24.930363727874564</v>
      </c>
      <c r="K13" s="9">
        <f t="shared" si="3"/>
        <v>32.902462222019835</v>
      </c>
      <c r="L13" s="9">
        <f t="shared" si="3"/>
        <v>41.386666092443939</v>
      </c>
      <c r="M13" s="9">
        <f t="shared" si="3"/>
        <v>50.552978138734886</v>
      </c>
      <c r="N13" s="9">
        <f t="shared" si="3"/>
        <v>60.60755941513689</v>
      </c>
      <c r="O13" s="9">
        <f t="shared" si="3"/>
        <v>71.799213197896535</v>
      </c>
      <c r="P13" s="9">
        <f t="shared" si="3"/>
        <v>84.41252265970769</v>
      </c>
      <c r="Q13" s="9">
        <f t="shared" si="3"/>
        <v>98.707386666059463</v>
      </c>
      <c r="R13" s="9">
        <f t="shared" si="3"/>
        <v>114.65249735932177</v>
      </c>
      <c r="S13" s="9">
        <f t="shared" si="3"/>
        <v>130.80141817007024</v>
      </c>
      <c r="T13" s="9">
        <f t="shared" si="3"/>
        <v>138.88871428429508</v>
      </c>
      <c r="U13" s="9">
        <f t="shared" si="3"/>
        <v>88.500802456458928</v>
      </c>
      <c r="V13" s="9">
        <f t="shared" si="3"/>
        <v>-579.637341857146</v>
      </c>
    </row>
    <row r="14" spans="1:22" x14ac:dyDescent="0.3">
      <c r="A14" s="2" t="s">
        <v>19</v>
      </c>
      <c r="B14" s="12">
        <v>6</v>
      </c>
      <c r="C14" t="s">
        <v>4</v>
      </c>
      <c r="G14">
        <v>8</v>
      </c>
      <c r="I14" s="28">
        <f t="shared" si="2"/>
        <v>96</v>
      </c>
      <c r="J14" s="9">
        <f t="shared" si="3"/>
        <v>26.167031271506389</v>
      </c>
      <c r="K14" s="9">
        <f t="shared" si="3"/>
        <v>35.056697985996756</v>
      </c>
      <c r="L14" s="9">
        <f t="shared" si="3"/>
        <v>44.453207433458928</v>
      </c>
      <c r="M14" s="9">
        <f t="shared" si="3"/>
        <v>54.520727525059208</v>
      </c>
      <c r="N14" s="9">
        <f t="shared" si="3"/>
        <v>65.446608215689011</v>
      </c>
      <c r="O14" s="9">
        <f t="shared" si="3"/>
        <v>77.434514906981008</v>
      </c>
      <c r="P14" s="9">
        <f t="shared" si="3"/>
        <v>90.66706101409369</v>
      </c>
      <c r="Q14" s="9">
        <f t="shared" si="3"/>
        <v>105.17009395799022</v>
      </c>
      <c r="R14" s="9">
        <f t="shared" si="3"/>
        <v>120.33982000845245</v>
      </c>
      <c r="S14" s="9">
        <f t="shared" si="3"/>
        <v>133.16297830634676</v>
      </c>
      <c r="T14" s="9">
        <f t="shared" si="3"/>
        <v>130.22325656139998</v>
      </c>
      <c r="U14" s="9">
        <f t="shared" si="3"/>
        <v>37.815305600617762</v>
      </c>
      <c r="V14" s="9">
        <f t="shared" si="3"/>
        <v>-913.83234747577512</v>
      </c>
    </row>
    <row r="15" spans="1:22" x14ac:dyDescent="0.3">
      <c r="A15" s="14" t="s">
        <v>23</v>
      </c>
      <c r="B15" s="12">
        <f>C15*D15</f>
        <v>4785</v>
      </c>
      <c r="C15">
        <v>0.75</v>
      </c>
      <c r="D15">
        <v>6380</v>
      </c>
      <c r="G15">
        <v>9</v>
      </c>
      <c r="I15" s="28">
        <f t="shared" si="2"/>
        <v>108</v>
      </c>
      <c r="J15" s="9">
        <f t="shared" si="3"/>
        <v>26.82249556790779</v>
      </c>
      <c r="K15" s="9">
        <f t="shared" si="3"/>
        <v>36.574404754467196</v>
      </c>
      <c r="L15" s="9">
        <f t="shared" si="3"/>
        <v>46.808288892140354</v>
      </c>
      <c r="M15" s="9">
        <f t="shared" si="3"/>
        <v>57.674950753009767</v>
      </c>
      <c r="N15" s="9">
        <f t="shared" si="3"/>
        <v>69.330863522981417</v>
      </c>
      <c r="O15" s="9">
        <f t="shared" si="3"/>
        <v>81.914384429125988</v>
      </c>
      <c r="P15" s="9">
        <f t="shared" si="3"/>
        <v>95.470501004943785</v>
      </c>
      <c r="Q15" s="9">
        <f t="shared" si="3"/>
        <v>109.72321426340156</v>
      </c>
      <c r="R15" s="9">
        <f t="shared" si="3"/>
        <v>123.35424127131854</v>
      </c>
      <c r="S15" s="9">
        <f t="shared" si="3"/>
        <v>131.44344925633271</v>
      </c>
      <c r="T15" s="9">
        <f t="shared" si="3"/>
        <v>114.43112318334209</v>
      </c>
      <c r="U15" s="9">
        <f t="shared" si="3"/>
        <v>-28.702308414057143</v>
      </c>
      <c r="V15" s="9">
        <f t="shared" si="3"/>
        <v>-1310.8747708613062</v>
      </c>
    </row>
    <row r="16" spans="1:22" x14ac:dyDescent="0.3">
      <c r="A16" s="14" t="s">
        <v>22</v>
      </c>
      <c r="B16" s="13">
        <f>PI()*B14</f>
        <v>18.849555921538759</v>
      </c>
      <c r="C16" t="s">
        <v>4</v>
      </c>
      <c r="G16" s="28">
        <v>10</v>
      </c>
      <c r="H16" s="28"/>
      <c r="I16" s="28">
        <f t="shared" si="2"/>
        <v>120</v>
      </c>
      <c r="J16" s="9">
        <f t="shared" si="3"/>
        <v>26.896756617078776</v>
      </c>
      <c r="K16" s="9">
        <f t="shared" si="3"/>
        <v>37.455582527431154</v>
      </c>
      <c r="L16" s="9">
        <f t="shared" si="3"/>
        <v>48.451910468488265</v>
      </c>
      <c r="M16" s="9">
        <f t="shared" si="3"/>
        <v>60.015647822586594</v>
      </c>
      <c r="N16" s="9">
        <f t="shared" si="3"/>
        <v>72.260325337014081</v>
      </c>
      <c r="O16" s="9">
        <f t="shared" si="3"/>
        <v>85.238821764331519</v>
      </c>
      <c r="P16" s="9">
        <f t="shared" si="3"/>
        <v>98.822842632258002</v>
      </c>
      <c r="Q16" s="9">
        <f t="shared" si="3"/>
        <v>112.36674758229343</v>
      </c>
      <c r="R16" s="9">
        <f t="shared" si="3"/>
        <v>123.69576114792019</v>
      </c>
      <c r="S16" s="9">
        <f t="shared" si="3"/>
        <v>125.64283102002821</v>
      </c>
      <c r="T16" s="9">
        <f t="shared" si="3"/>
        <v>91.512314150121199</v>
      </c>
      <c r="U16" s="9">
        <f t="shared" si="3"/>
        <v>-111.05203958756601</v>
      </c>
      <c r="V16" s="9">
        <f t="shared" si="3"/>
        <v>-1770.7646120137395</v>
      </c>
    </row>
    <row r="17" spans="1:22" x14ac:dyDescent="0.3">
      <c r="A17" s="14" t="s">
        <v>33</v>
      </c>
      <c r="B17" s="12">
        <v>0.22700000000000001</v>
      </c>
      <c r="G17">
        <v>11</v>
      </c>
      <c r="I17" s="28">
        <f t="shared" si="2"/>
        <v>132</v>
      </c>
      <c r="J17" s="9">
        <f t="shared" si="3"/>
        <v>26.389814419019338</v>
      </c>
      <c r="K17" s="9">
        <f t="shared" si="3"/>
        <v>37.700231304888639</v>
      </c>
      <c r="L17" s="9">
        <f t="shared" si="3"/>
        <v>49.38407216250264</v>
      </c>
      <c r="M17" s="9">
        <f t="shared" si="3"/>
        <v>61.542818733789687</v>
      </c>
      <c r="N17" s="9">
        <f t="shared" si="3"/>
        <v>74.234993657787044</v>
      </c>
      <c r="O17" s="9">
        <f t="shared" si="3"/>
        <v>87.407826912597571</v>
      </c>
      <c r="P17" s="9">
        <f t="shared" si="3"/>
        <v>100.72408589603623</v>
      </c>
      <c r="Q17" s="9">
        <f t="shared" si="3"/>
        <v>113.10069391466587</v>
      </c>
      <c r="R17" s="9">
        <f t="shared" si="3"/>
        <v>121.36437963825722</v>
      </c>
      <c r="S17" s="9">
        <f t="shared" si="3"/>
        <v>115.76112359743303</v>
      </c>
      <c r="T17" s="9">
        <f t="shared" si="3"/>
        <v>61.466829461737518</v>
      </c>
      <c r="U17" s="9">
        <f t="shared" si="3"/>
        <v>-209.23388791990851</v>
      </c>
      <c r="V17" s="9">
        <f t="shared" si="3"/>
        <v>-2293.5018709330743</v>
      </c>
    </row>
    <row r="18" spans="1:22" x14ac:dyDescent="0.3">
      <c r="G18">
        <v>12</v>
      </c>
      <c r="I18" s="28">
        <f t="shared" si="2"/>
        <v>144</v>
      </c>
      <c r="J18" s="9">
        <f t="shared" si="3"/>
        <v>25.301668973729484</v>
      </c>
      <c r="K18" s="9">
        <f t="shared" si="3"/>
        <v>37.30835108683965</v>
      </c>
      <c r="L18" s="9">
        <f t="shared" si="3"/>
        <v>49.604773974183459</v>
      </c>
      <c r="M18" s="9">
        <f t="shared" si="3"/>
        <v>62.256463486619062</v>
      </c>
      <c r="N18" s="9">
        <f t="shared" si="3"/>
        <v>75.254868485300278</v>
      </c>
      <c r="O18" s="9">
        <f t="shared" si="3"/>
        <v>88.421399873924145</v>
      </c>
      <c r="P18" s="9">
        <f t="shared" si="3"/>
        <v>101.17423079627861</v>
      </c>
      <c r="Q18" s="9">
        <f t="shared" si="3"/>
        <v>111.92505326051887</v>
      </c>
      <c r="R18" s="9">
        <f t="shared" si="3"/>
        <v>116.36009674232977</v>
      </c>
      <c r="S18" s="9">
        <f t="shared" si="3"/>
        <v>101.79832698854744</v>
      </c>
      <c r="T18" s="9">
        <f t="shared" si="3"/>
        <v>24.294669118190882</v>
      </c>
      <c r="U18" s="9">
        <f t="shared" si="3"/>
        <v>-323.24785341108475</v>
      </c>
      <c r="V18" s="9">
        <f t="shared" si="3"/>
        <v>-2879.0865476193107</v>
      </c>
    </row>
    <row r="19" spans="1:22" x14ac:dyDescent="0.3">
      <c r="A19" s="2" t="s">
        <v>20</v>
      </c>
      <c r="B19" s="13">
        <f>B15*B16</f>
        <v>90195.125084562955</v>
      </c>
      <c r="C19" t="s">
        <v>24</v>
      </c>
      <c r="G19">
        <v>13</v>
      </c>
      <c r="I19" s="28">
        <f t="shared" si="2"/>
        <v>156</v>
      </c>
      <c r="J19" s="9">
        <f t="shared" si="3"/>
        <v>23.632320281209182</v>
      </c>
      <c r="K19" s="9">
        <f t="shared" si="3"/>
        <v>36.279941873284166</v>
      </c>
      <c r="L19" s="9">
        <f t="shared" si="3"/>
        <v>49.114015903530763</v>
      </c>
      <c r="M19" s="9">
        <f t="shared" si="3"/>
        <v>62.15658208107466</v>
      </c>
      <c r="N19" s="9">
        <f t="shared" si="3"/>
        <v>75.319949819553813</v>
      </c>
      <c r="O19" s="9">
        <f t="shared" si="3"/>
        <v>88.279540648311269</v>
      </c>
      <c r="P19" s="9">
        <f t="shared" si="3"/>
        <v>100.17327733298504</v>
      </c>
      <c r="Q19" s="9">
        <f t="shared" si="3"/>
        <v>108.83982561985243</v>
      </c>
      <c r="R19" s="9">
        <f t="shared" si="3"/>
        <v>108.68291246013774</v>
      </c>
      <c r="S19" s="9">
        <f t="shared" si="3"/>
        <v>83.754441193371235</v>
      </c>
      <c r="T19" s="9">
        <f t="shared" si="3"/>
        <v>-20.004166880518596</v>
      </c>
      <c r="U19" s="9">
        <f t="shared" si="3"/>
        <v>-453.09393606109506</v>
      </c>
      <c r="V19" s="9">
        <f t="shared" si="3"/>
        <v>-3527.5186420724494</v>
      </c>
    </row>
    <row r="20" spans="1:22" x14ac:dyDescent="0.3">
      <c r="A20" s="2" t="s">
        <v>20</v>
      </c>
      <c r="B20" s="15">
        <f>($B$17*B19)/(12*60)</f>
        <v>28.436518603049713</v>
      </c>
      <c r="C20" t="s">
        <v>21</v>
      </c>
      <c r="G20">
        <v>14</v>
      </c>
      <c r="I20" s="28">
        <f t="shared" si="2"/>
        <v>168</v>
      </c>
      <c r="J20" s="9">
        <f t="shared" si="3"/>
        <v>21.381768341458496</v>
      </c>
      <c r="K20" s="9">
        <f t="shared" si="3"/>
        <v>34.615003664222229</v>
      </c>
      <c r="L20" s="9">
        <f t="shared" si="3"/>
        <v>47.911797950544525</v>
      </c>
      <c r="M20" s="9">
        <f t="shared" si="3"/>
        <v>61.243174517156532</v>
      </c>
      <c r="N20" s="9">
        <f t="shared" si="3"/>
        <v>74.430237660547604</v>
      </c>
      <c r="O20" s="9">
        <f t="shared" si="3"/>
        <v>86.982249235758857</v>
      </c>
      <c r="P20" s="9">
        <f t="shared" si="3"/>
        <v>97.721225506155548</v>
      </c>
      <c r="Q20" s="9">
        <f t="shared" si="3"/>
        <v>103.84501099266657</v>
      </c>
      <c r="R20" s="9">
        <f t="shared" si="3"/>
        <v>98.332826791681214</v>
      </c>
      <c r="S20" s="9">
        <f t="shared" si="3"/>
        <v>61.629466211904514</v>
      </c>
      <c r="T20" s="9">
        <f t="shared" si="3"/>
        <v>-71.429678534391087</v>
      </c>
      <c r="U20" s="9">
        <f t="shared" si="3"/>
        <v>-598.77213586993901</v>
      </c>
      <c r="V20" s="9">
        <f t="shared" si="3"/>
        <v>-4238.7981542924908</v>
      </c>
    </row>
    <row r="21" spans="1:22" x14ac:dyDescent="0.3">
      <c r="B21">
        <f>B20*12</f>
        <v>341.23822323659658</v>
      </c>
      <c r="C21" t="s">
        <v>71</v>
      </c>
      <c r="G21" s="28">
        <v>15</v>
      </c>
      <c r="H21" s="28"/>
      <c r="I21" s="28">
        <f t="shared" si="2"/>
        <v>180</v>
      </c>
      <c r="J21" s="9">
        <f t="shared" si="3"/>
        <v>18.550013154477355</v>
      </c>
      <c r="K21" s="9">
        <f t="shared" si="3"/>
        <v>32.313536459653776</v>
      </c>
      <c r="L21" s="9">
        <f t="shared" si="3"/>
        <v>45.998120115224722</v>
      </c>
      <c r="M21" s="9">
        <f t="shared" si="3"/>
        <v>59.516240794864643</v>
      </c>
      <c r="N21" s="9">
        <f t="shared" si="3"/>
        <v>72.58573200828171</v>
      </c>
      <c r="O21" s="9">
        <f t="shared" si="3"/>
        <v>84.52952563626701</v>
      </c>
      <c r="P21" s="9">
        <f t="shared" si="3"/>
        <v>93.818075315790139</v>
      </c>
      <c r="Q21" s="9">
        <f t="shared" si="3"/>
        <v>96.940609378961256</v>
      </c>
      <c r="R21" s="9">
        <f t="shared" si="3"/>
        <v>85.3098397369601</v>
      </c>
      <c r="S21" s="9">
        <f t="shared" si="3"/>
        <v>35.423402044147394</v>
      </c>
      <c r="T21" s="9">
        <f t="shared" si="3"/>
        <v>-129.98186584342614</v>
      </c>
      <c r="U21" s="9">
        <f t="shared" si="3"/>
        <v>-760.28245283761657</v>
      </c>
      <c r="V21" s="9">
        <f t="shared" si="3"/>
        <v>-5012.9250842794336</v>
      </c>
    </row>
    <row r="22" spans="1:22" x14ac:dyDescent="0.3">
      <c r="G22">
        <v>16</v>
      </c>
      <c r="I22" s="28">
        <f t="shared" si="2"/>
        <v>192</v>
      </c>
      <c r="J22" s="9">
        <f t="shared" si="3"/>
        <v>15.137054720265823</v>
      </c>
      <c r="K22" s="9">
        <f t="shared" si="3"/>
        <v>29.375540259578884</v>
      </c>
      <c r="L22" s="9">
        <f t="shared" si="3"/>
        <v>43.37298239757142</v>
      </c>
      <c r="M22" s="9">
        <f t="shared" si="3"/>
        <v>56.975780914199078</v>
      </c>
      <c r="N22" s="9">
        <f t="shared" si="3"/>
        <v>69.786432862756087</v>
      </c>
      <c r="O22" s="9">
        <f t="shared" si="3"/>
        <v>80.921369849835685</v>
      </c>
      <c r="P22" s="9">
        <f t="shared" si="3"/>
        <v>88.463826761888839</v>
      </c>
      <c r="Q22" s="9">
        <f t="shared" si="3"/>
        <v>88.126620778736566</v>
      </c>
      <c r="R22" s="9">
        <f t="shared" si="3"/>
        <v>69.613951295974516</v>
      </c>
      <c r="S22" s="9">
        <f t="shared" si="3"/>
        <v>5.1362486900997055</v>
      </c>
      <c r="T22" s="9">
        <f t="shared" si="3"/>
        <v>-195.66072880762454</v>
      </c>
      <c r="U22" s="9">
        <f t="shared" si="3"/>
        <v>-937.62488696412856</v>
      </c>
      <c r="V22" s="9">
        <f t="shared" si="3"/>
        <v>-5849.8994320332795</v>
      </c>
    </row>
    <row r="23" spans="1:22" x14ac:dyDescent="0.3">
      <c r="A23" s="2" t="s">
        <v>29</v>
      </c>
      <c r="B23">
        <v>32.17</v>
      </c>
      <c r="C23" t="s">
        <v>27</v>
      </c>
      <c r="G23">
        <v>17</v>
      </c>
      <c r="I23" s="28">
        <f t="shared" si="2"/>
        <v>204</v>
      </c>
      <c r="J23" s="9">
        <f t="shared" si="3"/>
        <v>11.142893038823843</v>
      </c>
      <c r="K23" s="9">
        <f t="shared" si="3"/>
        <v>25.801015063997482</v>
      </c>
      <c r="L23" s="9">
        <f t="shared" si="3"/>
        <v>40.036384797584546</v>
      </c>
      <c r="M23" s="9">
        <f t="shared" si="3"/>
        <v>53.621794875159708</v>
      </c>
      <c r="N23" s="9">
        <f t="shared" si="3"/>
        <v>66.032340223970721</v>
      </c>
      <c r="O23" s="9">
        <f t="shared" si="3"/>
        <v>76.157781876464924</v>
      </c>
      <c r="P23" s="9">
        <f t="shared" si="3"/>
        <v>81.65847984445162</v>
      </c>
      <c r="Q23" s="9">
        <f t="shared" si="3"/>
        <v>77.403045191992419</v>
      </c>
      <c r="R23" s="9">
        <f t="shared" si="3"/>
        <v>51.245161468724291</v>
      </c>
      <c r="S23" s="9">
        <f t="shared" si="3"/>
        <v>-29.231993850238609</v>
      </c>
      <c r="T23" s="9">
        <f t="shared" si="3"/>
        <v>-268.46626742698561</v>
      </c>
      <c r="U23" s="9">
        <f t="shared" si="3"/>
        <v>-1130.7994382494737</v>
      </c>
      <c r="V23" s="9">
        <f t="shared" si="3"/>
        <v>-6749.7211975540276</v>
      </c>
    </row>
    <row r="24" spans="1:22" x14ac:dyDescent="0.3">
      <c r="B24">
        <f>B23*12</f>
        <v>386.04</v>
      </c>
      <c r="C24" t="s">
        <v>28</v>
      </c>
      <c r="G24">
        <v>18</v>
      </c>
      <c r="I24" s="28">
        <f t="shared" si="2"/>
        <v>216</v>
      </c>
      <c r="J24" s="9">
        <f t="shared" ref="J24:V24" si="4">TAN(J$5)*$I24-(0.5*$B$24)*POWER($I24/($B$21*COS(J$5)), 2)</f>
        <v>6.5675281101514713</v>
      </c>
      <c r="K24" s="9">
        <f t="shared" si="4"/>
        <v>21.589960872909614</v>
      </c>
      <c r="L24" s="9">
        <f t="shared" si="4"/>
        <v>35.988327315264129</v>
      </c>
      <c r="M24" s="9">
        <f t="shared" si="4"/>
        <v>49.454282677746619</v>
      </c>
      <c r="N24" s="9">
        <f t="shared" si="4"/>
        <v>61.323454091925669</v>
      </c>
      <c r="O24" s="9">
        <f t="shared" si="4"/>
        <v>70.238761716154613</v>
      </c>
      <c r="P24" s="9">
        <f t="shared" si="4"/>
        <v>73.402034563478423</v>
      </c>
      <c r="Q24" s="9">
        <f t="shared" si="4"/>
        <v>64.769882618728843</v>
      </c>
      <c r="R24" s="9">
        <f t="shared" si="4"/>
        <v>30.203470255209538</v>
      </c>
      <c r="S24" s="9">
        <f t="shared" si="4"/>
        <v>-67.68132557686738</v>
      </c>
      <c r="T24" s="9">
        <f t="shared" si="4"/>
        <v>-348.39848170150924</v>
      </c>
      <c r="U24" s="9">
        <f t="shared" si="4"/>
        <v>-1339.8061066936532</v>
      </c>
      <c r="V24" s="9">
        <f t="shared" si="4"/>
        <v>-7712.3903808416762</v>
      </c>
    </row>
    <row r="25" spans="1:22" x14ac:dyDescent="0.3">
      <c r="G25">
        <v>19</v>
      </c>
      <c r="I25" s="28">
        <f t="shared" si="2"/>
        <v>228</v>
      </c>
      <c r="J25" s="9">
        <f t="shared" ref="J25:V40" si="5">TAN(J$5)*$I25-(0.5*$B$24)*POWER($I25/($B$21*COS(J$5)), 2)</f>
        <v>1.4109599342486661</v>
      </c>
      <c r="K25" s="9">
        <f t="shared" si="5"/>
        <v>16.742377686315265</v>
      </c>
      <c r="L25" s="9">
        <f t="shared" si="5"/>
        <v>31.228809950610241</v>
      </c>
      <c r="M25" s="9">
        <f t="shared" si="5"/>
        <v>44.473244321959783</v>
      </c>
      <c r="N25" s="9">
        <f t="shared" si="5"/>
        <v>55.659774466620917</v>
      </c>
      <c r="O25" s="9">
        <f t="shared" si="5"/>
        <v>63.164309368904838</v>
      </c>
      <c r="P25" s="9">
        <f t="shared" si="5"/>
        <v>63.69449091896945</v>
      </c>
      <c r="Q25" s="9">
        <f t="shared" si="5"/>
        <v>50.22713305894581</v>
      </c>
      <c r="R25" s="9">
        <f t="shared" si="5"/>
        <v>6.4888776554303149</v>
      </c>
      <c r="S25" s="9">
        <f t="shared" si="5"/>
        <v>-110.21174648978695</v>
      </c>
      <c r="T25" s="9">
        <f t="shared" si="5"/>
        <v>-435.45737163119622</v>
      </c>
      <c r="U25" s="9">
        <f t="shared" si="5"/>
        <v>-1564.6448922966667</v>
      </c>
      <c r="V25" s="9">
        <f t="shared" si="5"/>
        <v>-8737.9069818962253</v>
      </c>
    </row>
    <row r="26" spans="1:22" x14ac:dyDescent="0.3">
      <c r="G26" s="28">
        <v>20</v>
      </c>
      <c r="H26" s="28"/>
      <c r="I26" s="28">
        <f t="shared" si="2"/>
        <v>240</v>
      </c>
      <c r="J26" s="9">
        <f t="shared" si="5"/>
        <v>-4.3268114888845588</v>
      </c>
      <c r="K26" s="9">
        <f t="shared" si="5"/>
        <v>11.258265504214449</v>
      </c>
      <c r="L26" s="9">
        <f t="shared" si="5"/>
        <v>25.757832703622739</v>
      </c>
      <c r="M26" s="9">
        <f t="shared" si="5"/>
        <v>38.678679807799199</v>
      </c>
      <c r="N26" s="9">
        <f t="shared" si="5"/>
        <v>49.041301348056379</v>
      </c>
      <c r="O26" s="9">
        <f t="shared" si="5"/>
        <v>54.934424834715685</v>
      </c>
      <c r="P26" s="9">
        <f t="shared" si="5"/>
        <v>52.535848910924528</v>
      </c>
      <c r="Q26" s="9">
        <f t="shared" si="5"/>
        <v>33.774796512643263</v>
      </c>
      <c r="R26" s="9">
        <f t="shared" si="5"/>
        <v>-19.898616330613322</v>
      </c>
      <c r="S26" s="9">
        <f t="shared" si="5"/>
        <v>-156.8232565889964</v>
      </c>
      <c r="T26" s="9">
        <f t="shared" si="5"/>
        <v>-529.64293721604588</v>
      </c>
      <c r="U26" s="9">
        <f t="shared" si="5"/>
        <v>-1805.3157950585137</v>
      </c>
      <c r="V26" s="9">
        <f t="shared" si="5"/>
        <v>-9826.2710007176811</v>
      </c>
    </row>
    <row r="27" spans="1:22" x14ac:dyDescent="0.3">
      <c r="G27">
        <v>21</v>
      </c>
      <c r="I27" s="28">
        <f t="shared" si="2"/>
        <v>252</v>
      </c>
      <c r="J27" s="9">
        <f t="shared" si="5"/>
        <v>-10.645786159248246</v>
      </c>
      <c r="K27" s="9">
        <f t="shared" si="5"/>
        <v>5.1376243266071526</v>
      </c>
      <c r="L27" s="9">
        <f t="shared" si="5"/>
        <v>19.575395574301695</v>
      </c>
      <c r="M27" s="9">
        <f t="shared" si="5"/>
        <v>32.070589135264925</v>
      </c>
      <c r="N27" s="9">
        <f t="shared" si="5"/>
        <v>41.468034736232141</v>
      </c>
      <c r="O27" s="9">
        <f t="shared" si="5"/>
        <v>45.549108113586982</v>
      </c>
      <c r="P27" s="9">
        <f t="shared" si="5"/>
        <v>39.926108539343488</v>
      </c>
      <c r="Q27" s="9">
        <f t="shared" si="5"/>
        <v>15.412872979821316</v>
      </c>
      <c r="R27" s="9">
        <f t="shared" si="5"/>
        <v>-48.959011702921885</v>
      </c>
      <c r="S27" s="9">
        <f t="shared" si="5"/>
        <v>-207.51585587449676</v>
      </c>
      <c r="T27" s="9">
        <f t="shared" si="5"/>
        <v>-630.95517845605843</v>
      </c>
      <c r="U27" s="9">
        <f t="shared" si="5"/>
        <v>-2061.8188149791936</v>
      </c>
      <c r="V27" s="9">
        <f t="shared" si="5"/>
        <v>-10977.482437306035</v>
      </c>
    </row>
    <row r="28" spans="1:22" x14ac:dyDescent="0.3">
      <c r="G28">
        <v>22</v>
      </c>
      <c r="I28" s="28">
        <f t="shared" si="2"/>
        <v>264</v>
      </c>
      <c r="J28" s="9">
        <f t="shared" si="5"/>
        <v>-17.545964076842282</v>
      </c>
      <c r="K28" s="9">
        <f t="shared" si="5"/>
        <v>-1.6195458465066395</v>
      </c>
      <c r="L28" s="9">
        <f t="shared" si="5"/>
        <v>12.681498562647192</v>
      </c>
      <c r="M28" s="9">
        <f t="shared" si="5"/>
        <v>24.648972304356846</v>
      </c>
      <c r="N28" s="9">
        <f t="shared" si="5"/>
        <v>32.939974631148203</v>
      </c>
      <c r="O28" s="9">
        <f t="shared" si="5"/>
        <v>35.008359205518843</v>
      </c>
      <c r="P28" s="9">
        <f t="shared" si="5"/>
        <v>25.865269804226728</v>
      </c>
      <c r="Q28" s="9">
        <f t="shared" si="5"/>
        <v>-4.8586375395199752</v>
      </c>
      <c r="R28" s="9">
        <f t="shared" si="5"/>
        <v>-80.692308461494576</v>
      </c>
      <c r="S28" s="9">
        <f t="shared" si="5"/>
        <v>-262.28954434628804</v>
      </c>
      <c r="T28" s="9">
        <f t="shared" si="5"/>
        <v>-739.39409535123366</v>
      </c>
      <c r="U28" s="9">
        <f t="shared" si="5"/>
        <v>-2334.1539520587085</v>
      </c>
      <c r="V28" s="9">
        <f t="shared" si="5"/>
        <v>-12191.541291661293</v>
      </c>
    </row>
    <row r="29" spans="1:22" x14ac:dyDescent="0.3">
      <c r="G29">
        <v>23</v>
      </c>
      <c r="I29" s="28">
        <f t="shared" si="2"/>
        <v>276</v>
      </c>
      <c r="J29" s="9">
        <f t="shared" si="5"/>
        <v>-25.027345241666808</v>
      </c>
      <c r="K29" s="9">
        <f t="shared" si="5"/>
        <v>-9.0132450151269268</v>
      </c>
      <c r="L29" s="9">
        <f t="shared" si="5"/>
        <v>5.076141668659119</v>
      </c>
      <c r="M29" s="9">
        <f t="shared" si="5"/>
        <v>16.413829315075048</v>
      </c>
      <c r="N29" s="9">
        <f t="shared" si="5"/>
        <v>23.457121032804565</v>
      </c>
      <c r="O29" s="9">
        <f t="shared" si="5"/>
        <v>23.312178110511127</v>
      </c>
      <c r="P29" s="9">
        <f t="shared" si="5"/>
        <v>10.353332705573962</v>
      </c>
      <c r="Q29" s="9">
        <f t="shared" si="5"/>
        <v>-27.039735045380723</v>
      </c>
      <c r="R29" s="9">
        <f t="shared" si="5"/>
        <v>-115.09850660633208</v>
      </c>
      <c r="S29" s="9">
        <f t="shared" si="5"/>
        <v>-321.14432200436954</v>
      </c>
      <c r="T29" s="9">
        <f t="shared" si="5"/>
        <v>-854.9596879015719</v>
      </c>
      <c r="U29" s="9">
        <f t="shared" si="5"/>
        <v>-2622.321206297057</v>
      </c>
      <c r="V29" s="9">
        <f t="shared" si="5"/>
        <v>-13468.447563783449</v>
      </c>
    </row>
    <row r="30" spans="1:22" x14ac:dyDescent="0.3">
      <c r="G30">
        <v>24</v>
      </c>
      <c r="I30" s="28">
        <f t="shared" si="2"/>
        <v>288</v>
      </c>
      <c r="J30" s="9">
        <f t="shared" si="5"/>
        <v>-33.089929653721669</v>
      </c>
      <c r="K30" s="9">
        <f t="shared" si="5"/>
        <v>-17.043473179253624</v>
      </c>
      <c r="L30" s="9">
        <f t="shared" si="5"/>
        <v>-3.240675107662554</v>
      </c>
      <c r="M30" s="9">
        <f t="shared" si="5"/>
        <v>7.3651601674196172</v>
      </c>
      <c r="N30" s="9">
        <f t="shared" si="5"/>
        <v>13.01947394120117</v>
      </c>
      <c r="O30" s="9">
        <f t="shared" si="5"/>
        <v>10.460564828564088</v>
      </c>
      <c r="P30" s="9">
        <f t="shared" si="5"/>
        <v>-6.6097027566145243</v>
      </c>
      <c r="Q30" s="9">
        <f t="shared" si="5"/>
        <v>-51.130419537761043</v>
      </c>
      <c r="R30" s="9">
        <f t="shared" si="5"/>
        <v>-152.17760613743383</v>
      </c>
      <c r="S30" s="9">
        <f t="shared" si="5"/>
        <v>-384.08018884874127</v>
      </c>
      <c r="T30" s="9">
        <f t="shared" si="5"/>
        <v>-977.65195610707315</v>
      </c>
      <c r="U30" s="9">
        <f t="shared" si="5"/>
        <v>-2926.3205776942386</v>
      </c>
      <c r="V30" s="9">
        <f t="shared" si="5"/>
        <v>-14808.201253672512</v>
      </c>
    </row>
    <row r="31" spans="1:22" x14ac:dyDescent="0.3">
      <c r="G31" s="28">
        <v>25</v>
      </c>
      <c r="H31" s="28"/>
      <c r="I31" s="28">
        <f t="shared" si="2"/>
        <v>300</v>
      </c>
      <c r="J31" s="9">
        <f t="shared" si="5"/>
        <v>-41.733717313007048</v>
      </c>
      <c r="K31" s="9">
        <f t="shared" si="5"/>
        <v>-25.710230338886902</v>
      </c>
      <c r="L31" s="9">
        <f t="shared" si="5"/>
        <v>-12.268951766317656</v>
      </c>
      <c r="M31" s="9">
        <f t="shared" si="5"/>
        <v>-2.497035138609732</v>
      </c>
      <c r="N31" s="9">
        <f t="shared" si="5"/>
        <v>1.6270333563381314</v>
      </c>
      <c r="O31" s="9">
        <f t="shared" si="5"/>
        <v>-3.5464806403224998</v>
      </c>
      <c r="P31" s="9">
        <f t="shared" si="5"/>
        <v>-25.023836582339129</v>
      </c>
      <c r="Q31" s="9">
        <f t="shared" si="5"/>
        <v>-77.130691016660649</v>
      </c>
      <c r="R31" s="9">
        <f t="shared" si="5"/>
        <v>-191.92960705480027</v>
      </c>
      <c r="S31" s="9">
        <f t="shared" si="5"/>
        <v>-451.09714487940391</v>
      </c>
      <c r="T31" s="9">
        <f t="shared" si="5"/>
        <v>-1107.4708999677373</v>
      </c>
      <c r="U31" s="9">
        <f t="shared" si="5"/>
        <v>-3246.1520662502544</v>
      </c>
      <c r="V31" s="9">
        <f t="shared" si="5"/>
        <v>-16210.802361328479</v>
      </c>
    </row>
    <row r="32" spans="1:22" x14ac:dyDescent="0.3">
      <c r="G32">
        <v>26</v>
      </c>
      <c r="I32" s="28">
        <f t="shared" si="2"/>
        <v>312</v>
      </c>
      <c r="J32" s="9">
        <f t="shared" si="5"/>
        <v>-50.958708219522833</v>
      </c>
      <c r="K32" s="9">
        <f t="shared" si="5"/>
        <v>-35.013516494026561</v>
      </c>
      <c r="L32" s="9">
        <f t="shared" si="5"/>
        <v>-22.008688307306386</v>
      </c>
      <c r="M32" s="9">
        <f t="shared" si="5"/>
        <v>-13.172756603012715</v>
      </c>
      <c r="N32" s="9">
        <f t="shared" si="5"/>
        <v>-10.720200721784693</v>
      </c>
      <c r="O32" s="9">
        <f t="shared" si="5"/>
        <v>-18.708958296148467</v>
      </c>
      <c r="P32" s="9">
        <f t="shared" si="5"/>
        <v>-44.889068771599568</v>
      </c>
      <c r="Q32" s="9">
        <f t="shared" si="5"/>
        <v>-105.04054948207977</v>
      </c>
      <c r="R32" s="9">
        <f t="shared" si="5"/>
        <v>-234.3545093584313</v>
      </c>
      <c r="S32" s="9">
        <f t="shared" si="5"/>
        <v>-522.19519009635701</v>
      </c>
      <c r="T32" s="9">
        <f t="shared" si="5"/>
        <v>-1244.4165194835641</v>
      </c>
      <c r="U32" s="9">
        <f t="shared" si="5"/>
        <v>-3581.8156719651047</v>
      </c>
      <c r="V32" s="9">
        <f t="shared" si="5"/>
        <v>-17676.250886751339</v>
      </c>
    </row>
    <row r="33" spans="7:22" x14ac:dyDescent="0.3">
      <c r="G33">
        <v>27</v>
      </c>
      <c r="I33" s="28">
        <f t="shared" si="2"/>
        <v>324</v>
      </c>
      <c r="J33" s="9">
        <f t="shared" si="5"/>
        <v>-60.764902373268995</v>
      </c>
      <c r="K33" s="9">
        <f t="shared" si="5"/>
        <v>-44.953331644672716</v>
      </c>
      <c r="L33" s="9">
        <f t="shared" si="5"/>
        <v>-32.459884730628687</v>
      </c>
      <c r="M33" s="9">
        <f t="shared" si="5"/>
        <v>-24.662004225789474</v>
      </c>
      <c r="N33" s="9">
        <f t="shared" si="5"/>
        <v>-24.022228293167302</v>
      </c>
      <c r="O33" s="9">
        <f t="shared" si="5"/>
        <v>-35.02686813891421</v>
      </c>
      <c r="P33" s="9">
        <f t="shared" si="5"/>
        <v>-66.205399324395955</v>
      </c>
      <c r="Q33" s="9">
        <f t="shared" si="5"/>
        <v>-134.85999493401823</v>
      </c>
      <c r="R33" s="9">
        <f t="shared" si="5"/>
        <v>-279.4523130483268</v>
      </c>
      <c r="S33" s="9">
        <f t="shared" si="5"/>
        <v>-597.37432449960056</v>
      </c>
      <c r="T33" s="9">
        <f t="shared" si="5"/>
        <v>-1388.4888146545545</v>
      </c>
      <c r="U33" s="9">
        <f t="shared" si="5"/>
        <v>-3933.3113948387872</v>
      </c>
      <c r="V33" s="9">
        <f t="shared" si="5"/>
        <v>-19204.546829941111</v>
      </c>
    </row>
    <row r="34" spans="7:22" x14ac:dyDescent="0.3">
      <c r="G34">
        <v>28</v>
      </c>
      <c r="I34" s="28">
        <f t="shared" si="2"/>
        <v>336</v>
      </c>
      <c r="J34" s="9">
        <f t="shared" si="5"/>
        <v>-71.152299774245535</v>
      </c>
      <c r="K34" s="9">
        <f t="shared" si="5"/>
        <v>-55.529675790825337</v>
      </c>
      <c r="L34" s="9">
        <f t="shared" si="5"/>
        <v>-43.62254103628436</v>
      </c>
      <c r="M34" s="9">
        <f t="shared" si="5"/>
        <v>-36.964778006939923</v>
      </c>
      <c r="N34" s="9">
        <f t="shared" si="5"/>
        <v>-38.279049357809527</v>
      </c>
      <c r="O34" s="9">
        <f t="shared" si="5"/>
        <v>-52.500210168619105</v>
      </c>
      <c r="P34" s="9">
        <f t="shared" si="5"/>
        <v>-88.972828240728234</v>
      </c>
      <c r="Q34" s="9">
        <f t="shared" si="5"/>
        <v>-166.58902737247627</v>
      </c>
      <c r="R34" s="9">
        <f t="shared" si="5"/>
        <v>-327.22301812448688</v>
      </c>
      <c r="S34" s="9">
        <f t="shared" si="5"/>
        <v>-676.6345480891348</v>
      </c>
      <c r="T34" s="9">
        <f t="shared" si="5"/>
        <v>-1539.6877854807071</v>
      </c>
      <c r="U34" s="9">
        <f t="shared" si="5"/>
        <v>-4300.6392348713052</v>
      </c>
      <c r="V34" s="9">
        <f t="shared" si="5"/>
        <v>-20795.690190897774</v>
      </c>
    </row>
    <row r="35" spans="7:22" x14ac:dyDescent="0.3">
      <c r="G35">
        <v>29</v>
      </c>
      <c r="I35" s="28">
        <f t="shared" si="2"/>
        <v>348</v>
      </c>
      <c r="J35" s="9">
        <f t="shared" si="5"/>
        <v>-82.120900422452536</v>
      </c>
      <c r="K35" s="9">
        <f t="shared" si="5"/>
        <v>-66.742548932484567</v>
      </c>
      <c r="L35" s="9">
        <f t="shared" si="5"/>
        <v>-55.49665722427369</v>
      </c>
      <c r="M35" s="9">
        <f t="shared" si="5"/>
        <v>-50.081077946464177</v>
      </c>
      <c r="N35" s="9">
        <f t="shared" si="5"/>
        <v>-53.490663915711423</v>
      </c>
      <c r="O35" s="9">
        <f t="shared" si="5"/>
        <v>-71.128984385263607</v>
      </c>
      <c r="P35" s="9">
        <f t="shared" si="5"/>
        <v>-113.19135552059646</v>
      </c>
      <c r="Q35" s="9">
        <f t="shared" si="5"/>
        <v>-200.22764679745364</v>
      </c>
      <c r="R35" s="9">
        <f t="shared" si="5"/>
        <v>-377.66662458691155</v>
      </c>
      <c r="S35" s="9">
        <f t="shared" si="5"/>
        <v>-759.97586086495903</v>
      </c>
      <c r="T35" s="9">
        <f t="shared" si="5"/>
        <v>-1698.0134319620229</v>
      </c>
      <c r="U35" s="9">
        <f t="shared" si="5"/>
        <v>-4683.7991920626582</v>
      </c>
      <c r="V35" s="9">
        <f t="shared" si="5"/>
        <v>-22449.68096962135</v>
      </c>
    </row>
    <row r="36" spans="7:22" x14ac:dyDescent="0.3">
      <c r="G36" s="28">
        <v>30</v>
      </c>
      <c r="H36" s="28"/>
      <c r="I36" s="28">
        <f t="shared" si="2"/>
        <v>360</v>
      </c>
      <c r="J36" s="9">
        <f t="shared" si="5"/>
        <v>-93.670704317890056</v>
      </c>
      <c r="K36" s="9">
        <f t="shared" si="5"/>
        <v>-78.59195106965015</v>
      </c>
      <c r="L36" s="9">
        <f t="shared" si="5"/>
        <v>-68.08223329459662</v>
      </c>
      <c r="M36" s="9">
        <f t="shared" si="5"/>
        <v>-64.010904044362178</v>
      </c>
      <c r="N36" s="9">
        <f t="shared" si="5"/>
        <v>-69.657071966873104</v>
      </c>
      <c r="O36" s="9">
        <f t="shared" si="5"/>
        <v>-90.913190788847544</v>
      </c>
      <c r="P36" s="9">
        <f t="shared" si="5"/>
        <v>-138.86098116400058</v>
      </c>
      <c r="Q36" s="9">
        <f t="shared" si="5"/>
        <v>-235.77585320895059</v>
      </c>
      <c r="R36" s="9">
        <f t="shared" si="5"/>
        <v>-430.78313243560069</v>
      </c>
      <c r="S36" s="9">
        <f t="shared" si="5"/>
        <v>-847.39826282707418</v>
      </c>
      <c r="T36" s="9">
        <f t="shared" si="5"/>
        <v>-1863.4657540985004</v>
      </c>
      <c r="U36" s="9">
        <f t="shared" si="5"/>
        <v>-5082.7912664128407</v>
      </c>
      <c r="V36" s="9">
        <f t="shared" si="5"/>
        <v>-24166.519166111822</v>
      </c>
    </row>
    <row r="37" spans="7:22" x14ac:dyDescent="0.3">
      <c r="G37">
        <v>31</v>
      </c>
      <c r="I37" s="28">
        <f t="shared" si="2"/>
        <v>372</v>
      </c>
      <c r="J37" s="9">
        <f t="shared" si="5"/>
        <v>-105.80171146055793</v>
      </c>
      <c r="K37" s="9">
        <f t="shared" si="5"/>
        <v>-91.077882202322172</v>
      </c>
      <c r="L37" s="9">
        <f t="shared" si="5"/>
        <v>-81.379269247252921</v>
      </c>
      <c r="M37" s="9">
        <f t="shared" si="5"/>
        <v>-78.754256300633813</v>
      </c>
      <c r="N37" s="9">
        <f t="shared" si="5"/>
        <v>-86.778273511294515</v>
      </c>
      <c r="O37" s="9">
        <f t="shared" si="5"/>
        <v>-111.85282937937103</v>
      </c>
      <c r="P37" s="9">
        <f t="shared" si="5"/>
        <v>-165.9817051709407</v>
      </c>
      <c r="Q37" s="9">
        <f t="shared" si="5"/>
        <v>-273.23364660696666</v>
      </c>
      <c r="R37" s="9">
        <f t="shared" si="5"/>
        <v>-486.57254167055441</v>
      </c>
      <c r="S37" s="9">
        <f t="shared" si="5"/>
        <v>-938.90175397548001</v>
      </c>
      <c r="T37" s="9">
        <f t="shared" si="5"/>
        <v>-2036.0447518901424</v>
      </c>
      <c r="U37" s="9">
        <f t="shared" si="5"/>
        <v>-5497.6154579218601</v>
      </c>
      <c r="V37" s="9">
        <f t="shared" si="5"/>
        <v>-25946.2047803692</v>
      </c>
    </row>
    <row r="38" spans="7:22" x14ac:dyDescent="0.3">
      <c r="G38">
        <v>32</v>
      </c>
      <c r="I38" s="28">
        <f t="shared" si="2"/>
        <v>384</v>
      </c>
      <c r="J38" s="9">
        <f t="shared" si="5"/>
        <v>-118.51392185045617</v>
      </c>
      <c r="K38" s="9">
        <f t="shared" si="5"/>
        <v>-104.20034233050075</v>
      </c>
      <c r="L38" s="9">
        <f t="shared" si="5"/>
        <v>-95.387765082242879</v>
      </c>
      <c r="M38" s="9">
        <f t="shared" si="5"/>
        <v>-94.311134715279195</v>
      </c>
      <c r="N38" s="9">
        <f t="shared" si="5"/>
        <v>-104.8542685489756</v>
      </c>
      <c r="O38" s="9">
        <f t="shared" si="5"/>
        <v>-133.9479001568339</v>
      </c>
      <c r="P38" s="9">
        <f t="shared" si="5"/>
        <v>-194.55352754141654</v>
      </c>
      <c r="Q38" s="9">
        <f t="shared" si="5"/>
        <v>-312.60102699150241</v>
      </c>
      <c r="R38" s="9">
        <f t="shared" si="5"/>
        <v>-545.03485229177249</v>
      </c>
      <c r="S38" s="9">
        <f t="shared" si="5"/>
        <v>-1034.4863343101758</v>
      </c>
      <c r="T38" s="9">
        <f t="shared" si="5"/>
        <v>-2215.750425336947</v>
      </c>
      <c r="U38" s="9">
        <f t="shared" si="5"/>
        <v>-5928.2717665897135</v>
      </c>
      <c r="V38" s="9">
        <f t="shared" si="5"/>
        <v>-27788.737812393476</v>
      </c>
    </row>
    <row r="39" spans="7:22" x14ac:dyDescent="0.3">
      <c r="G39">
        <v>33</v>
      </c>
      <c r="I39" s="28">
        <f t="shared" si="2"/>
        <v>396</v>
      </c>
      <c r="J39" s="9">
        <f t="shared" si="5"/>
        <v>-131.80733548758482</v>
      </c>
      <c r="K39" s="9">
        <f t="shared" si="5"/>
        <v>-117.9593314541859</v>
      </c>
      <c r="L39" s="9">
        <f t="shared" si="5"/>
        <v>-110.10772079956644</v>
      </c>
      <c r="M39" s="9">
        <f t="shared" si="5"/>
        <v>-110.68153928829855</v>
      </c>
      <c r="N39" s="9">
        <f t="shared" si="5"/>
        <v>-123.88505707991652</v>
      </c>
      <c r="O39" s="9">
        <f t="shared" si="5"/>
        <v>-157.19840312123625</v>
      </c>
      <c r="P39" s="9">
        <f t="shared" si="5"/>
        <v>-224.57644827542856</v>
      </c>
      <c r="Q39" s="9">
        <f t="shared" si="5"/>
        <v>-353.8779943625575</v>
      </c>
      <c r="R39" s="9">
        <f t="shared" si="5"/>
        <v>-606.1700642992555</v>
      </c>
      <c r="S39" s="9">
        <f t="shared" si="5"/>
        <v>-1134.1520038311628</v>
      </c>
      <c r="T39" s="9">
        <f t="shared" si="5"/>
        <v>-2402.5827744389135</v>
      </c>
      <c r="U39" s="9">
        <f t="shared" si="5"/>
        <v>-6374.7601924163991</v>
      </c>
      <c r="V39" s="9">
        <f t="shared" si="5"/>
        <v>-29694.118262184649</v>
      </c>
    </row>
    <row r="40" spans="7:22" x14ac:dyDescent="0.3">
      <c r="G40">
        <v>34</v>
      </c>
      <c r="I40" s="28">
        <f t="shared" si="2"/>
        <v>408</v>
      </c>
      <c r="J40" s="9">
        <f t="shared" si="5"/>
        <v>-145.68195237194405</v>
      </c>
      <c r="K40" s="9">
        <f t="shared" si="5"/>
        <v>-132.35484957337738</v>
      </c>
      <c r="L40" s="9">
        <f t="shared" si="5"/>
        <v>-125.53913639922337</v>
      </c>
      <c r="M40" s="9">
        <f t="shared" si="5"/>
        <v>-127.86547001969137</v>
      </c>
      <c r="N40" s="9">
        <f t="shared" si="5"/>
        <v>-143.87063910411706</v>
      </c>
      <c r="O40" s="9">
        <f t="shared" si="5"/>
        <v>-181.60433827257799</v>
      </c>
      <c r="P40" s="9">
        <f t="shared" si="5"/>
        <v>-256.05046737297619</v>
      </c>
      <c r="Q40" s="9">
        <f t="shared" si="5"/>
        <v>-397.06454872013205</v>
      </c>
      <c r="R40" s="9">
        <f t="shared" si="5"/>
        <v>-669.97817769300275</v>
      </c>
      <c r="S40" s="9">
        <f t="shared" si="5"/>
        <v>-1237.89876253844</v>
      </c>
      <c r="T40" s="9">
        <f t="shared" si="5"/>
        <v>-2596.5417991960448</v>
      </c>
      <c r="U40" s="9">
        <f t="shared" si="5"/>
        <v>-6837.0807354019198</v>
      </c>
      <c r="V40" s="9">
        <f t="shared" si="5"/>
        <v>-31662.346129742742</v>
      </c>
    </row>
    <row r="41" spans="7:22" x14ac:dyDescent="0.3">
      <c r="G41">
        <v>35</v>
      </c>
      <c r="I41" s="28">
        <f t="shared" si="2"/>
        <v>420</v>
      </c>
      <c r="J41" s="9">
        <f t="shared" ref="J41:V46" si="6">TAN(J$5)*$I41-(0.5*$B$24)*POWER($I41/($B$21*COS(J$5)), 2)</f>
        <v>-160.13777250353357</v>
      </c>
      <c r="K41" s="9">
        <f t="shared" si="6"/>
        <v>-147.38689668807535</v>
      </c>
      <c r="L41" s="9">
        <f t="shared" si="6"/>
        <v>-141.6820118812139</v>
      </c>
      <c r="M41" s="9">
        <f t="shared" si="6"/>
        <v>-145.86292690945805</v>
      </c>
      <c r="N41" s="9">
        <f t="shared" si="6"/>
        <v>-164.81101462157727</v>
      </c>
      <c r="O41" s="9">
        <f t="shared" si="6"/>
        <v>-207.16570561085945</v>
      </c>
      <c r="P41" s="9">
        <f t="shared" si="6"/>
        <v>-288.97558483405987</v>
      </c>
      <c r="Q41" s="9">
        <f t="shared" si="6"/>
        <v>-442.16069006422617</v>
      </c>
      <c r="R41" s="9">
        <f t="shared" si="6"/>
        <v>-736.45919247301435</v>
      </c>
      <c r="S41" s="9">
        <f t="shared" si="6"/>
        <v>-1345.7266104320079</v>
      </c>
      <c r="T41" s="9">
        <f t="shared" si="6"/>
        <v>-2797.6274996083357</v>
      </c>
      <c r="U41" s="9">
        <f t="shared" si="6"/>
        <v>-7315.2333955462746</v>
      </c>
      <c r="V41" s="9">
        <f t="shared" si="6"/>
        <v>-33693.421415067714</v>
      </c>
    </row>
    <row r="42" spans="7:22" x14ac:dyDescent="0.3">
      <c r="G42">
        <v>36</v>
      </c>
      <c r="I42" s="28">
        <f t="shared" si="2"/>
        <v>432</v>
      </c>
      <c r="J42" s="9">
        <f t="shared" si="6"/>
        <v>-175.17479588235349</v>
      </c>
      <c r="K42" s="9">
        <f t="shared" si="6"/>
        <v>-163.05547279827985</v>
      </c>
      <c r="L42" s="9">
        <f t="shared" si="6"/>
        <v>-158.53634724553808</v>
      </c>
      <c r="M42" s="9">
        <f t="shared" si="6"/>
        <v>-164.67390995759843</v>
      </c>
      <c r="N42" s="9">
        <f t="shared" si="6"/>
        <v>-186.70618363229727</v>
      </c>
      <c r="O42" s="9">
        <f t="shared" si="6"/>
        <v>-233.88250513608023</v>
      </c>
      <c r="P42" s="9">
        <f t="shared" si="6"/>
        <v>-323.35180065867974</v>
      </c>
      <c r="Q42" s="9">
        <f t="shared" si="6"/>
        <v>-489.16641839483941</v>
      </c>
      <c r="R42" s="9">
        <f t="shared" si="6"/>
        <v>-805.61310863929111</v>
      </c>
      <c r="S42" s="9">
        <f t="shared" si="6"/>
        <v>-1457.635547511866</v>
      </c>
      <c r="T42" s="9">
        <f t="shared" si="6"/>
        <v>-3005.8398756757924</v>
      </c>
      <c r="U42" s="9">
        <f t="shared" si="6"/>
        <v>-7809.2181728494616</v>
      </c>
      <c r="V42" s="9">
        <f t="shared" si="6"/>
        <v>-35787.344118159606</v>
      </c>
    </row>
    <row r="43" spans="7:22" x14ac:dyDescent="0.3">
      <c r="G43">
        <v>37</v>
      </c>
      <c r="I43" s="28">
        <f t="shared" si="2"/>
        <v>444</v>
      </c>
      <c r="J43" s="9">
        <f t="shared" si="6"/>
        <v>-190.79302250840382</v>
      </c>
      <c r="K43" s="9">
        <f t="shared" si="6"/>
        <v>-179.3605779039907</v>
      </c>
      <c r="L43" s="9">
        <f t="shared" si="6"/>
        <v>-176.10214249219558</v>
      </c>
      <c r="M43" s="9">
        <f t="shared" si="6"/>
        <v>-184.29841916411266</v>
      </c>
      <c r="N43" s="9">
        <f t="shared" si="6"/>
        <v>-209.55614613627694</v>
      </c>
      <c r="O43" s="9">
        <f t="shared" si="6"/>
        <v>-261.75473684824044</v>
      </c>
      <c r="P43" s="9">
        <f t="shared" si="6"/>
        <v>-359.17911484683486</v>
      </c>
      <c r="Q43" s="9">
        <f t="shared" si="6"/>
        <v>-538.08173371197245</v>
      </c>
      <c r="R43" s="9">
        <f t="shared" si="6"/>
        <v>-877.43992619183211</v>
      </c>
      <c r="S43" s="9">
        <f t="shared" si="6"/>
        <v>-1573.6255737780157</v>
      </c>
      <c r="T43" s="9">
        <f t="shared" si="6"/>
        <v>-3221.1789273984105</v>
      </c>
      <c r="U43" s="9">
        <f t="shared" si="6"/>
        <v>-8319.0350673114845</v>
      </c>
      <c r="V43" s="9">
        <f t="shared" si="6"/>
        <v>-37944.114239018396</v>
      </c>
    </row>
    <row r="44" spans="7:22" x14ac:dyDescent="0.3">
      <c r="G44">
        <v>38</v>
      </c>
      <c r="I44" s="28">
        <f t="shared" si="2"/>
        <v>456</v>
      </c>
      <c r="J44" s="9">
        <f t="shared" si="6"/>
        <v>-206.9924523816847</v>
      </c>
      <c r="K44" s="9">
        <f t="shared" si="6"/>
        <v>-196.30221200520828</v>
      </c>
      <c r="L44" s="9">
        <f t="shared" si="6"/>
        <v>-194.37939762118668</v>
      </c>
      <c r="M44" s="9">
        <f t="shared" si="6"/>
        <v>-204.73645452900053</v>
      </c>
      <c r="N44" s="9">
        <f t="shared" si="6"/>
        <v>-233.36090213351628</v>
      </c>
      <c r="O44" s="9">
        <f t="shared" si="6"/>
        <v>-290.78240074734038</v>
      </c>
      <c r="P44" s="9">
        <f t="shared" si="6"/>
        <v>-396.45752739852639</v>
      </c>
      <c r="Q44" s="9">
        <f t="shared" si="6"/>
        <v>-588.9066360156246</v>
      </c>
      <c r="R44" s="9">
        <f t="shared" si="6"/>
        <v>-951.93964513063747</v>
      </c>
      <c r="S44" s="9">
        <f t="shared" si="6"/>
        <v>-1693.6966892304551</v>
      </c>
      <c r="T44" s="9">
        <f t="shared" si="6"/>
        <v>-3443.6446547761934</v>
      </c>
      <c r="U44" s="9">
        <f t="shared" si="6"/>
        <v>-8844.6840789323414</v>
      </c>
      <c r="V44" s="9">
        <f t="shared" si="6"/>
        <v>-40163.731777644076</v>
      </c>
    </row>
    <row r="45" spans="7:22" x14ac:dyDescent="0.3">
      <c r="G45">
        <v>39</v>
      </c>
      <c r="I45" s="28">
        <f t="shared" si="2"/>
        <v>468</v>
      </c>
      <c r="J45" s="9">
        <f t="shared" si="6"/>
        <v>-223.77308550219595</v>
      </c>
      <c r="K45" s="9">
        <f t="shared" si="6"/>
        <v>-213.88037510193215</v>
      </c>
      <c r="L45" s="9">
        <f t="shared" si="6"/>
        <v>-213.3681126325115</v>
      </c>
      <c r="M45" s="9">
        <f t="shared" si="6"/>
        <v>-225.98801605226203</v>
      </c>
      <c r="N45" s="9">
        <f t="shared" si="6"/>
        <v>-258.12045162401563</v>
      </c>
      <c r="O45" s="9">
        <f t="shared" si="6"/>
        <v>-320.96549683337923</v>
      </c>
      <c r="P45" s="9">
        <f t="shared" si="6"/>
        <v>-435.18703831375387</v>
      </c>
      <c r="Q45" s="9">
        <f t="shared" si="6"/>
        <v>-641.64112530579632</v>
      </c>
      <c r="R45" s="9">
        <f t="shared" si="6"/>
        <v>-1029.1122654557071</v>
      </c>
      <c r="S45" s="9">
        <f t="shared" si="6"/>
        <v>-1817.8488938691846</v>
      </c>
      <c r="T45" s="9">
        <f t="shared" si="6"/>
        <v>-3673.2370578091359</v>
      </c>
      <c r="U45" s="9">
        <f t="shared" si="6"/>
        <v>-9386.165207712027</v>
      </c>
      <c r="V45" s="9">
        <f t="shared" si="6"/>
        <v>-42446.196734036668</v>
      </c>
    </row>
    <row r="46" spans="7:22" x14ac:dyDescent="0.3">
      <c r="G46">
        <v>40</v>
      </c>
      <c r="I46" s="28">
        <f t="shared" si="2"/>
        <v>480</v>
      </c>
      <c r="J46" s="9">
        <f t="shared" si="6"/>
        <v>-241.13492186993756</v>
      </c>
      <c r="K46" s="9">
        <f t="shared" si="6"/>
        <v>-232.09506719416254</v>
      </c>
      <c r="L46" s="9">
        <f t="shared" si="6"/>
        <v>-233.06828752616968</v>
      </c>
      <c r="M46" s="9">
        <f t="shared" si="6"/>
        <v>-248.05310373389756</v>
      </c>
      <c r="N46" s="9">
        <f t="shared" si="6"/>
        <v>-283.83479460777443</v>
      </c>
      <c r="O46" s="9">
        <f t="shared" si="6"/>
        <v>-352.30402510635804</v>
      </c>
      <c r="P46" s="9">
        <f t="shared" si="6"/>
        <v>-475.36764759251685</v>
      </c>
      <c r="Q46" s="9">
        <f t="shared" si="6"/>
        <v>-696.28520158248784</v>
      </c>
      <c r="R46" s="9">
        <f t="shared" si="6"/>
        <v>-1108.9577871670415</v>
      </c>
      <c r="S46" s="9">
        <f t="shared" si="6"/>
        <v>-1946.0821876942041</v>
      </c>
      <c r="T46" s="9">
        <f t="shared" si="6"/>
        <v>-3909.9561364972451</v>
      </c>
      <c r="U46" s="9">
        <f t="shared" si="6"/>
        <v>-9943.478453650554</v>
      </c>
      <c r="V46" s="9">
        <f t="shared" si="6"/>
        <v>-44791.509108196173</v>
      </c>
    </row>
  </sheetData>
  <conditionalFormatting sqref="J6:V46">
    <cfRule type="cellIs" dxfId="1" priority="1" operator="between">
      <formula>68</formula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5BA8-4B69-4A45-80A0-4FF32D00F639}">
  <dimension ref="A1:AE50"/>
  <sheetViews>
    <sheetView tabSelected="1" topLeftCell="A3" zoomScale="84" workbookViewId="0">
      <selection activeCell="F17" sqref="F17"/>
    </sheetView>
  </sheetViews>
  <sheetFormatPr defaultRowHeight="14.4" x14ac:dyDescent="0.3"/>
  <cols>
    <col min="1" max="1" width="25.21875" customWidth="1"/>
    <col min="2" max="4" width="9" bestFit="1" customWidth="1"/>
    <col min="6" max="6" width="10.88671875" bestFit="1" customWidth="1"/>
    <col min="7" max="7" width="10.88671875" customWidth="1"/>
    <col min="8" max="8" width="9" customWidth="1"/>
    <col min="9" max="9" width="9" hidden="1" customWidth="1"/>
    <col min="10" max="10" width="10.77734375" customWidth="1"/>
    <col min="11" max="11" width="9.5546875" customWidth="1"/>
    <col min="12" max="12" width="12.21875" bestFit="1" customWidth="1"/>
    <col min="13" max="15" width="11.21875" bestFit="1" customWidth="1"/>
    <col min="16" max="16" width="13.33203125" bestFit="1" customWidth="1"/>
    <col min="17" max="17" width="12.21875" bestFit="1" customWidth="1"/>
    <col min="18" max="18" width="11.21875" bestFit="1" customWidth="1"/>
    <col min="19" max="23" width="9" bestFit="1" customWidth="1"/>
    <col min="24" max="24" width="9.77734375" bestFit="1" customWidth="1"/>
  </cols>
  <sheetData>
    <row r="1" spans="1:31" ht="18" x14ac:dyDescent="0.35">
      <c r="A1" s="1" t="s">
        <v>0</v>
      </c>
    </row>
    <row r="2" spans="1:31" ht="18" x14ac:dyDescent="0.35">
      <c r="A2" s="1" t="s">
        <v>1</v>
      </c>
    </row>
    <row r="3" spans="1:31" ht="18" x14ac:dyDescent="0.35">
      <c r="A3" s="1" t="s">
        <v>76</v>
      </c>
    </row>
    <row r="4" spans="1:31" x14ac:dyDescent="0.3"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31" ht="15" thickBot="1" x14ac:dyDescent="0.35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2" t="s">
        <v>80</v>
      </c>
      <c r="H5" s="2" t="s">
        <v>79</v>
      </c>
      <c r="I5" s="2"/>
      <c r="J5" s="34"/>
      <c r="K5" s="35"/>
      <c r="L5" s="36"/>
      <c r="M5" s="36"/>
      <c r="N5" s="36"/>
      <c r="O5" s="36"/>
      <c r="P5" s="36"/>
      <c r="Q5" s="36"/>
      <c r="R5" s="36"/>
      <c r="S5" s="9"/>
      <c r="T5" s="2" t="s">
        <v>84</v>
      </c>
      <c r="U5" s="2" t="s">
        <v>79</v>
      </c>
      <c r="V5" s="2"/>
      <c r="W5" s="34"/>
      <c r="X5" s="35"/>
      <c r="Y5" s="36"/>
      <c r="Z5" s="36"/>
      <c r="AA5" s="36"/>
      <c r="AB5" s="36"/>
      <c r="AC5" s="36"/>
      <c r="AD5" s="36"/>
      <c r="AE5" s="36"/>
    </row>
    <row r="6" spans="1:31" ht="16.2" thickBot="1" x14ac:dyDescent="0.4">
      <c r="B6" s="13">
        <f>B5*12+D5</f>
        <v>98.25</v>
      </c>
      <c r="C6" t="s">
        <v>4</v>
      </c>
      <c r="G6" s="2" t="s">
        <v>78</v>
      </c>
      <c r="H6" s="31"/>
      <c r="I6" s="31"/>
      <c r="J6" s="37">
        <v>35</v>
      </c>
      <c r="K6" s="38">
        <v>40</v>
      </c>
      <c r="L6" s="39">
        <v>45</v>
      </c>
      <c r="M6" s="39">
        <v>50</v>
      </c>
      <c r="N6" s="38">
        <v>55</v>
      </c>
      <c r="O6" s="39">
        <v>60</v>
      </c>
      <c r="P6" s="39">
        <v>65</v>
      </c>
      <c r="Q6" s="38">
        <v>70</v>
      </c>
      <c r="R6" s="40">
        <v>75</v>
      </c>
      <c r="S6" s="9"/>
      <c r="T6" s="46" t="s">
        <v>85</v>
      </c>
      <c r="U6" s="31"/>
      <c r="V6" s="31"/>
      <c r="W6" s="37">
        <v>35</v>
      </c>
      <c r="X6" s="38">
        <v>40</v>
      </c>
      <c r="Y6" s="39">
        <v>45</v>
      </c>
      <c r="Z6" s="39">
        <v>50</v>
      </c>
      <c r="AA6" s="38">
        <v>55</v>
      </c>
      <c r="AB6" s="39">
        <v>60</v>
      </c>
      <c r="AC6" s="39">
        <v>65</v>
      </c>
      <c r="AD6" s="38">
        <v>70</v>
      </c>
      <c r="AE6" s="40">
        <v>75</v>
      </c>
    </row>
    <row r="7" spans="1:31" x14ac:dyDescent="0.3">
      <c r="G7" s="33"/>
      <c r="H7" s="41">
        <v>0.7</v>
      </c>
      <c r="I7" s="45">
        <f>H7*B$17*B$20*B$22/(60)</f>
        <v>318.48900835415679</v>
      </c>
      <c r="J7" s="9">
        <f>TAN(RADIANS(J$6))*$B$14 - 0.5*$B$28*POWER($B$14/(COS(RADIANS(J$6))*$I7), 2)</f>
        <v>38.807624018984853</v>
      </c>
      <c r="K7" s="9">
        <f t="shared" ref="K7:R7" si="0">TAN(RADIANS(K$6))*$B$14 - 0.5*$B$28*POWER($B$14/(COS(RADIANS(K$6))*$I7), 2)</f>
        <v>47.60394581463008</v>
      </c>
      <c r="L7" s="9">
        <f t="shared" si="0"/>
        <v>57.146433002070424</v>
      </c>
      <c r="M7" s="9">
        <f t="shared" si="0"/>
        <v>67.610771520240931</v>
      </c>
      <c r="N7" s="9">
        <f t="shared" si="0"/>
        <v>79.152291091889992</v>
      </c>
      <c r="O7" s="9">
        <f t="shared" si="0"/>
        <v>91.785133839926502</v>
      </c>
      <c r="P7" s="9">
        <f t="shared" si="0"/>
        <v>104.96322983411279</v>
      </c>
      <c r="Q7" s="9">
        <f t="shared" si="0"/>
        <v>116.00746986976705</v>
      </c>
      <c r="R7" s="9">
        <f t="shared" si="0"/>
        <v>113.05451503432957</v>
      </c>
      <c r="S7" s="9"/>
      <c r="T7" s="9"/>
      <c r="U7" s="9"/>
      <c r="V7" s="9"/>
      <c r="W7" s="9"/>
      <c r="X7" s="9"/>
    </row>
    <row r="8" spans="1:31" x14ac:dyDescent="0.3">
      <c r="A8" s="2" t="s">
        <v>7</v>
      </c>
      <c r="B8" s="12">
        <v>24</v>
      </c>
      <c r="C8" t="s">
        <v>4</v>
      </c>
      <c r="G8" s="34"/>
      <c r="H8" s="42">
        <v>0.71</v>
      </c>
      <c r="I8" s="45">
        <f t="shared" ref="I8:I37" si="1">H8*B$17*B$20*B$22/(60)</f>
        <v>323.03885133064472</v>
      </c>
      <c r="J8" s="9">
        <f t="shared" ref="J8:R37" si="2">TAN(RADIANS(J$6))*$B$14 - 0.5*$B$28*POWER($B$14/(COS(RADIANS(J$6))*$I8), 2)</f>
        <v>39.36731120324967</v>
      </c>
      <c r="K8" s="9">
        <f t="shared" si="2"/>
        <v>48.24392591219025</v>
      </c>
      <c r="L8" s="9">
        <f t="shared" si="2"/>
        <v>57.897544477315009</v>
      </c>
      <c r="M8" s="9">
        <f t="shared" si="2"/>
        <v>68.519720293566039</v>
      </c>
      <c r="N8" s="9">
        <f t="shared" si="2"/>
        <v>80.293832839141942</v>
      </c>
      <c r="O8" s="9">
        <f t="shared" si="2"/>
        <v>93.287356790415714</v>
      </c>
      <c r="P8" s="9">
        <f t="shared" si="2"/>
        <v>107.0659325835485</v>
      </c>
      <c r="Q8" s="9">
        <f t="shared" si="2"/>
        <v>119.21795773018826</v>
      </c>
      <c r="R8" s="9">
        <f t="shared" si="2"/>
        <v>118.66088740985137</v>
      </c>
      <c r="S8" s="9"/>
      <c r="T8" s="9"/>
      <c r="U8" s="9"/>
      <c r="V8" s="9"/>
      <c r="W8" s="9"/>
      <c r="X8" s="9"/>
    </row>
    <row r="9" spans="1:31" x14ac:dyDescent="0.3">
      <c r="G9" s="34"/>
      <c r="H9" s="43">
        <v>0.72</v>
      </c>
      <c r="I9" s="45">
        <f t="shared" si="1"/>
        <v>327.58869430713264</v>
      </c>
      <c r="J9" s="9">
        <f t="shared" si="2"/>
        <v>39.903840417545638</v>
      </c>
      <c r="K9" s="9">
        <f t="shared" si="2"/>
        <v>48.857425789554895</v>
      </c>
      <c r="L9" s="9">
        <f t="shared" si="2"/>
        <v>58.617577490382907</v>
      </c>
      <c r="M9" s="9">
        <f t="shared" si="2"/>
        <v>69.391059829110333</v>
      </c>
      <c r="N9" s="9">
        <f t="shared" si="2"/>
        <v>81.388141435011732</v>
      </c>
      <c r="O9" s="9">
        <f t="shared" si="2"/>
        <v>94.727422816551481</v>
      </c>
      <c r="P9" s="9">
        <f t="shared" si="2"/>
        <v>109.08163257770615</v>
      </c>
      <c r="Q9" s="9">
        <f t="shared" si="2"/>
        <v>122.29560641982404</v>
      </c>
      <c r="R9" s="9">
        <f t="shared" si="2"/>
        <v>124.03528698564386</v>
      </c>
      <c r="S9" s="9"/>
      <c r="T9" s="9"/>
      <c r="U9" s="9"/>
      <c r="V9" s="9"/>
      <c r="W9" s="9"/>
      <c r="X9" s="9"/>
    </row>
    <row r="10" spans="1:31" x14ac:dyDescent="0.3">
      <c r="A10" s="14" t="s">
        <v>2</v>
      </c>
      <c r="B10" s="13">
        <f>B6-B8</f>
        <v>74.25</v>
      </c>
      <c r="C10" t="s">
        <v>4</v>
      </c>
      <c r="G10" s="34"/>
      <c r="H10" s="42">
        <v>0.73</v>
      </c>
      <c r="I10" s="45">
        <f t="shared" si="1"/>
        <v>332.13853728362056</v>
      </c>
      <c r="J10" s="9">
        <f t="shared" si="2"/>
        <v>40.418471859626734</v>
      </c>
      <c r="K10" s="9">
        <f t="shared" si="2"/>
        <v>49.445886432875177</v>
      </c>
      <c r="L10" s="9">
        <f t="shared" si="2"/>
        <v>59.308223252044463</v>
      </c>
      <c r="M10" s="9">
        <f t="shared" si="2"/>
        <v>70.226836725821997</v>
      </c>
      <c r="N10" s="9">
        <f t="shared" si="2"/>
        <v>82.437787187318378</v>
      </c>
      <c r="O10" s="9">
        <f t="shared" si="2"/>
        <v>96.108714339874609</v>
      </c>
      <c r="P10" s="9">
        <f t="shared" si="2"/>
        <v>111.01506428497562</v>
      </c>
      <c r="Q10" s="9">
        <f t="shared" si="2"/>
        <v>125.24764470807376</v>
      </c>
      <c r="R10" s="9">
        <f t="shared" si="2"/>
        <v>129.19033713075001</v>
      </c>
      <c r="S10" s="9"/>
      <c r="T10" s="9"/>
      <c r="U10" s="9"/>
      <c r="V10" s="9"/>
      <c r="W10" s="9"/>
      <c r="X10" s="9"/>
    </row>
    <row r="11" spans="1:31" x14ac:dyDescent="0.3">
      <c r="A11" s="14" t="s">
        <v>81</v>
      </c>
      <c r="B11" s="32">
        <v>10</v>
      </c>
      <c r="C11" t="s">
        <v>4</v>
      </c>
      <c r="G11" s="34"/>
      <c r="H11" s="42">
        <v>0.74</v>
      </c>
      <c r="I11" s="45">
        <f t="shared" si="1"/>
        <v>336.6883802601086</v>
      </c>
      <c r="J11" s="9">
        <f t="shared" si="2"/>
        <v>40.91238115810161</v>
      </c>
      <c r="K11" s="9">
        <f t="shared" si="2"/>
        <v>50.010652126838735</v>
      </c>
      <c r="L11" s="9">
        <f t="shared" si="2"/>
        <v>59.971059479573597</v>
      </c>
      <c r="M11" s="9">
        <f t="shared" si="2"/>
        <v>71.028960239820819</v>
      </c>
      <c r="N11" s="9">
        <f t="shared" si="2"/>
        <v>83.445167916083165</v>
      </c>
      <c r="O11" s="9">
        <f t="shared" si="2"/>
        <v>97.434386794932863</v>
      </c>
      <c r="P11" s="9">
        <f t="shared" si="2"/>
        <v>112.87064445381432</v>
      </c>
      <c r="Q11" s="9">
        <f t="shared" si="2"/>
        <v>128.08081625725913</v>
      </c>
      <c r="R11" s="9">
        <f t="shared" si="2"/>
        <v>134.13781408722195</v>
      </c>
      <c r="S11" s="9"/>
      <c r="T11" s="9"/>
      <c r="U11" s="9"/>
      <c r="V11" s="9"/>
      <c r="W11" s="9"/>
      <c r="X11" s="9"/>
    </row>
    <row r="12" spans="1:31" x14ac:dyDescent="0.3">
      <c r="A12" s="14" t="s">
        <v>82</v>
      </c>
      <c r="B12" s="30">
        <f>B10-B11</f>
        <v>64.25</v>
      </c>
      <c r="C12" t="s">
        <v>83</v>
      </c>
      <c r="D12" s="13">
        <f>B10+B11</f>
        <v>84.25</v>
      </c>
      <c r="G12" s="34"/>
      <c r="H12" s="42">
        <v>0.75</v>
      </c>
      <c r="I12" s="45">
        <f t="shared" si="1"/>
        <v>341.23822323659653</v>
      </c>
      <c r="J12" s="9">
        <f t="shared" si="2"/>
        <v>41.386666092443932</v>
      </c>
      <c r="K12" s="9">
        <f t="shared" si="2"/>
        <v>50.552978138734886</v>
      </c>
      <c r="L12" s="9">
        <f t="shared" si="2"/>
        <v>60.60755941513689</v>
      </c>
      <c r="M12" s="9">
        <f t="shared" si="2"/>
        <v>71.79921319789652</v>
      </c>
      <c r="N12" s="9">
        <f t="shared" si="2"/>
        <v>84.412522659707676</v>
      </c>
      <c r="O12" s="9">
        <f t="shared" si="2"/>
        <v>98.707386666059449</v>
      </c>
      <c r="P12" s="9">
        <f t="shared" si="2"/>
        <v>114.65249735932174</v>
      </c>
      <c r="Q12" s="9">
        <f t="shared" si="2"/>
        <v>130.80141817007024</v>
      </c>
      <c r="R12" s="9">
        <f t="shared" si="2"/>
        <v>138.88871428429502</v>
      </c>
      <c r="S12" s="9"/>
      <c r="T12" s="9"/>
      <c r="U12" s="9"/>
      <c r="V12" s="9"/>
      <c r="W12" s="9"/>
      <c r="X12" s="9"/>
    </row>
    <row r="13" spans="1:31" x14ac:dyDescent="0.3">
      <c r="A13" s="14" t="s">
        <v>73</v>
      </c>
      <c r="B13" s="12">
        <v>7</v>
      </c>
      <c r="C13" t="s">
        <v>3</v>
      </c>
      <c r="D13" s="12"/>
      <c r="E13" t="s">
        <v>4</v>
      </c>
      <c r="G13" s="34"/>
      <c r="H13" s="42">
        <v>0.76</v>
      </c>
      <c r="I13" s="45">
        <f t="shared" si="1"/>
        <v>345.78806621308451</v>
      </c>
      <c r="J13" s="9">
        <f t="shared" si="2"/>
        <v>41.842352698173315</v>
      </c>
      <c r="K13" s="9">
        <f t="shared" si="2"/>
        <v>51.074037699486908</v>
      </c>
      <c r="L13" s="9">
        <f t="shared" si="2"/>
        <v>61.219100019069423</v>
      </c>
      <c r="M13" s="9">
        <f t="shared" si="2"/>
        <v>72.539261912505708</v>
      </c>
      <c r="N13" s="9">
        <f t="shared" si="2"/>
        <v>85.341944127142085</v>
      </c>
      <c r="O13" s="9">
        <f t="shared" si="2"/>
        <v>99.930467873924528</v>
      </c>
      <c r="P13" s="9">
        <f t="shared" si="2"/>
        <v>116.364477739946</v>
      </c>
      <c r="Q13" s="9">
        <f t="shared" si="2"/>
        <v>133.41533601021595</v>
      </c>
      <c r="R13" s="9">
        <f t="shared" si="2"/>
        <v>143.45331549383022</v>
      </c>
      <c r="S13" s="9"/>
      <c r="T13" s="9"/>
      <c r="U13" s="9"/>
      <c r="V13" s="9"/>
      <c r="W13" s="9"/>
      <c r="X13" s="9"/>
    </row>
    <row r="14" spans="1:31" x14ac:dyDescent="0.3">
      <c r="A14" s="14"/>
      <c r="B14" s="30">
        <f>B13*12+D13</f>
        <v>84</v>
      </c>
      <c r="C14" t="s">
        <v>4</v>
      </c>
      <c r="D14" s="29"/>
      <c r="G14" s="34"/>
      <c r="H14" s="43">
        <v>0.77</v>
      </c>
      <c r="I14" s="45">
        <f t="shared" si="1"/>
        <v>350.33790918957249</v>
      </c>
      <c r="J14" s="9">
        <f t="shared" si="2"/>
        <v>42.280400820664582</v>
      </c>
      <c r="K14" s="9">
        <f t="shared" si="2"/>
        <v>51.574928354212645</v>
      </c>
      <c r="L14" s="9">
        <f t="shared" si="2"/>
        <v>61.806969423198694</v>
      </c>
      <c r="M14" s="9">
        <f t="shared" si="2"/>
        <v>73.250665201324637</v>
      </c>
      <c r="N14" s="9">
        <f t="shared" si="2"/>
        <v>86.235390025471816</v>
      </c>
      <c r="O14" s="9">
        <f t="shared" si="2"/>
        <v>101.10620668218306</v>
      </c>
      <c r="P14" s="9">
        <f t="shared" si="2"/>
        <v>118.01019166272846</v>
      </c>
      <c r="Q14" s="9">
        <f t="shared" si="2"/>
        <v>135.92807566028642</v>
      </c>
      <c r="R14" s="9">
        <f t="shared" si="2"/>
        <v>147.84123246268149</v>
      </c>
      <c r="S14" s="9"/>
      <c r="T14" s="9"/>
      <c r="U14" s="9"/>
      <c r="V14" s="9"/>
      <c r="W14" s="9"/>
      <c r="X14" s="9"/>
    </row>
    <row r="15" spans="1:31" x14ac:dyDescent="0.3">
      <c r="G15" s="34"/>
      <c r="H15" s="42">
        <v>0.78</v>
      </c>
      <c r="I15" s="45">
        <f t="shared" si="1"/>
        <v>354.88775216606041</v>
      </c>
      <c r="J15" s="9">
        <f t="shared" si="2"/>
        <v>42.701709173769011</v>
      </c>
      <c r="K15" s="9">
        <f t="shared" si="2"/>
        <v>52.056677746557355</v>
      </c>
      <c r="L15" s="9">
        <f t="shared" si="2"/>
        <v>62.372373719616206</v>
      </c>
      <c r="M15" s="9">
        <f t="shared" si="2"/>
        <v>73.934882602601959</v>
      </c>
      <c r="N15" s="9">
        <f t="shared" si="2"/>
        <v>87.094693377515568</v>
      </c>
      <c r="O15" s="9">
        <f t="shared" si="2"/>
        <v>102.23701527501808</v>
      </c>
      <c r="P15" s="9">
        <f t="shared" si="2"/>
        <v>119.59301552816426</v>
      </c>
      <c r="Q15" s="9">
        <f t="shared" si="2"/>
        <v>138.34479233910872</v>
      </c>
      <c r="R15" s="9">
        <f t="shared" si="2"/>
        <v>152.06146758477735</v>
      </c>
      <c r="S15" s="9"/>
      <c r="T15" s="9"/>
      <c r="U15" s="9"/>
      <c r="V15" s="9"/>
      <c r="W15" s="9"/>
      <c r="X15" s="9"/>
    </row>
    <row r="16" spans="1:31" x14ac:dyDescent="0.3">
      <c r="A16" s="2" t="s">
        <v>19</v>
      </c>
      <c r="B16" s="12">
        <v>6</v>
      </c>
      <c r="C16" t="s">
        <v>4</v>
      </c>
      <c r="G16" s="34"/>
      <c r="H16" s="42">
        <v>0.79</v>
      </c>
      <c r="I16" s="45">
        <f t="shared" si="1"/>
        <v>359.43759514254833</v>
      </c>
      <c r="J16" s="9">
        <f t="shared" si="2"/>
        <v>43.107119953071674</v>
      </c>
      <c r="K16" s="9">
        <f t="shared" si="2"/>
        <v>52.520248893770372</v>
      </c>
      <c r="L16" s="9">
        <f t="shared" si="2"/>
        <v>62.91644315176174</v>
      </c>
      <c r="M16" s="9">
        <f t="shared" si="2"/>
        <v>74.59328186722685</v>
      </c>
      <c r="N16" s="9">
        <f t="shared" si="2"/>
        <v>87.921571931055865</v>
      </c>
      <c r="O16" s="9">
        <f t="shared" si="2"/>
        <v>103.32515413930915</v>
      </c>
      <c r="P16" s="9">
        <f t="shared" si="2"/>
        <v>121.11611340186371</v>
      </c>
      <c r="Q16" s="9">
        <f t="shared" si="2"/>
        <v>140.67031706439749</v>
      </c>
      <c r="R16" s="9">
        <f t="shared" si="2"/>
        <v>156.1224571120018</v>
      </c>
      <c r="S16" s="9"/>
      <c r="T16" s="9"/>
      <c r="U16" s="9"/>
      <c r="V16" s="9"/>
      <c r="W16" s="9"/>
      <c r="X16" s="9"/>
    </row>
    <row r="17" spans="1:24" x14ac:dyDescent="0.3">
      <c r="A17" s="2" t="s">
        <v>74</v>
      </c>
      <c r="B17" s="12">
        <v>6380</v>
      </c>
      <c r="G17" s="34"/>
      <c r="H17" s="42">
        <v>0.8</v>
      </c>
      <c r="I17" s="45">
        <f t="shared" si="1"/>
        <v>363.98743811903637</v>
      </c>
      <c r="J17" s="9">
        <f t="shared" si="2"/>
        <v>43.497423048038939</v>
      </c>
      <c r="K17" s="9">
        <f t="shared" si="2"/>
        <v>52.966545003128857</v>
      </c>
      <c r="L17" s="9">
        <f t="shared" si="2"/>
        <v>63.440237767210157</v>
      </c>
      <c r="M17" s="9">
        <f t="shared" si="2"/>
        <v>75.227145799382981</v>
      </c>
      <c r="N17" s="9">
        <f t="shared" si="2"/>
        <v>88.717636749963674</v>
      </c>
      <c r="O17" s="9">
        <f t="shared" si="2"/>
        <v>104.372743370206</v>
      </c>
      <c r="P17" s="9">
        <f t="shared" si="2"/>
        <v>122.58245283927457</v>
      </c>
      <c r="Q17" s="9">
        <f t="shared" si="2"/>
        <v>142.90918081455328</v>
      </c>
      <c r="R17" s="9">
        <f t="shared" si="2"/>
        <v>160.03211334717091</v>
      </c>
      <c r="S17" s="9"/>
      <c r="T17" s="9"/>
      <c r="U17" s="9"/>
      <c r="V17" s="9"/>
      <c r="W17" s="9"/>
      <c r="X17" s="9"/>
    </row>
    <row r="18" spans="1:24" x14ac:dyDescent="0.3">
      <c r="A18" s="2" t="s">
        <v>75</v>
      </c>
      <c r="B18" s="12">
        <v>0.95</v>
      </c>
      <c r="G18" s="34"/>
      <c r="H18" s="42">
        <v>0.81</v>
      </c>
      <c r="I18" s="45">
        <f t="shared" si="1"/>
        <v>368.53728109552424</v>
      </c>
      <c r="J18" s="9">
        <f t="shared" si="2"/>
        <v>43.873359892424517</v>
      </c>
      <c r="K18" s="9">
        <f t="shared" si="2"/>
        <v>53.396413874724303</v>
      </c>
      <c r="L18" s="9">
        <f t="shared" si="2"/>
        <v>63.944752584993893</v>
      </c>
      <c r="M18" s="9">
        <f t="shared" si="2"/>
        <v>75.837678509723375</v>
      </c>
      <c r="N18" s="9">
        <f t="shared" si="2"/>
        <v>89.484400067512212</v>
      </c>
      <c r="O18" s="9">
        <f t="shared" si="2"/>
        <v>105.38177300577348</v>
      </c>
      <c r="P18" s="9">
        <f t="shared" si="2"/>
        <v>123.99481935136843</v>
      </c>
      <c r="Q18" s="9">
        <f t="shared" si="2"/>
        <v>145.06563661543134</v>
      </c>
      <c r="R18" s="9">
        <f t="shared" si="2"/>
        <v>163.79786321345142</v>
      </c>
      <c r="S18" s="9"/>
      <c r="T18" s="9"/>
      <c r="U18" s="9"/>
      <c r="V18" s="9"/>
      <c r="W18" s="9"/>
      <c r="X18" s="9"/>
    </row>
    <row r="19" spans="1:24" x14ac:dyDescent="0.3">
      <c r="A19" s="14" t="s">
        <v>23</v>
      </c>
      <c r="B19" s="30">
        <f>B17*B18</f>
        <v>6061</v>
      </c>
      <c r="G19" s="34"/>
      <c r="H19" s="43">
        <v>0.82</v>
      </c>
      <c r="I19" s="45">
        <f t="shared" si="1"/>
        <v>373.08712407201222</v>
      </c>
      <c r="J19" s="9">
        <f t="shared" si="2"/>
        <v>44.23562698800783</v>
      </c>
      <c r="K19" s="9">
        <f t="shared" si="2"/>
        <v>53.810651930717654</v>
      </c>
      <c r="L19" s="9">
        <f t="shared" si="2"/>
        <v>64.430922324530783</v>
      </c>
      <c r="M19" s="9">
        <f t="shared" si="2"/>
        <v>76.426011138027206</v>
      </c>
      <c r="N19" s="9">
        <f t="shared" si="2"/>
        <v>90.223282473417726</v>
      </c>
      <c r="O19" s="9">
        <f t="shared" si="2"/>
        <v>106.35411248484724</v>
      </c>
      <c r="P19" s="9">
        <f t="shared" si="2"/>
        <v>125.35582964306147</v>
      </c>
      <c r="Q19" s="9">
        <f t="shared" si="2"/>
        <v>147.14367975327451</v>
      </c>
      <c r="R19" s="9">
        <f t="shared" si="2"/>
        <v>167.42668355155979</v>
      </c>
      <c r="S19" s="9"/>
      <c r="T19" s="9"/>
      <c r="U19" s="9"/>
      <c r="V19" s="9"/>
      <c r="W19" s="9"/>
      <c r="X19" s="9"/>
    </row>
    <row r="20" spans="1:24" x14ac:dyDescent="0.3">
      <c r="A20" s="14" t="s">
        <v>22</v>
      </c>
      <c r="B20" s="13">
        <f>PI()*B16</f>
        <v>18.849555921538759</v>
      </c>
      <c r="C20" t="s">
        <v>4</v>
      </c>
      <c r="G20" s="34"/>
      <c r="H20" s="42">
        <v>0.83</v>
      </c>
      <c r="I20" s="45">
        <f t="shared" si="1"/>
        <v>377.63696704850014</v>
      </c>
      <c r="J20" s="9">
        <f t="shared" si="2"/>
        <v>44.58487913295852</v>
      </c>
      <c r="K20" s="9">
        <f t="shared" si="2"/>
        <v>54.210007906846073</v>
      </c>
      <c r="L20" s="9">
        <f t="shared" si="2"/>
        <v>64.899625738154299</v>
      </c>
      <c r="M20" s="9">
        <f t="shared" si="2"/>
        <v>76.99320709616066</v>
      </c>
      <c r="N20" s="9">
        <f t="shared" si="2"/>
        <v>90.935619498433212</v>
      </c>
      <c r="O20" s="9">
        <f t="shared" si="2"/>
        <v>107.29151931209427</v>
      </c>
      <c r="P20" s="9">
        <f t="shared" si="2"/>
        <v>126.66794374193753</v>
      </c>
      <c r="Q20" s="9">
        <f t="shared" si="2"/>
        <v>149.1470662933167</v>
      </c>
      <c r="R20" s="9">
        <f t="shared" si="2"/>
        <v>170.92513345820765</v>
      </c>
      <c r="S20" s="9"/>
      <c r="T20" s="9"/>
      <c r="U20" s="9"/>
      <c r="V20" s="9"/>
      <c r="W20" s="9"/>
      <c r="X20" s="9"/>
    </row>
    <row r="21" spans="1:24" x14ac:dyDescent="0.3">
      <c r="G21" s="34"/>
      <c r="H21" s="42">
        <v>0.84</v>
      </c>
      <c r="I21" s="45">
        <f t="shared" si="1"/>
        <v>382.18681002498812</v>
      </c>
      <c r="J21" s="9">
        <f t="shared" si="2"/>
        <v>44.921732382788697</v>
      </c>
      <c r="K21" s="9">
        <f t="shared" si="2"/>
        <v>54.595186238154405</v>
      </c>
      <c r="L21" s="9">
        <f t="shared" si="2"/>
        <v>65.351689584771123</v>
      </c>
      <c r="M21" s="9">
        <f t="shared" si="2"/>
        <v>77.540266876752042</v>
      </c>
      <c r="N21" s="9">
        <f t="shared" si="2"/>
        <v>91.622667653526761</v>
      </c>
      <c r="O21" s="9">
        <f t="shared" si="2"/>
        <v>108.1956470053279</v>
      </c>
      <c r="P21" s="9">
        <f t="shared" si="2"/>
        <v>127.93347612232367</v>
      </c>
      <c r="Q21" s="9">
        <f t="shared" si="2"/>
        <v>151.07933006445128</v>
      </c>
      <c r="R21" s="9">
        <f t="shared" si="2"/>
        <v>174.29938394588564</v>
      </c>
      <c r="S21" s="9"/>
      <c r="T21" s="9"/>
      <c r="U21" s="9"/>
      <c r="V21" s="9"/>
      <c r="W21" s="9"/>
      <c r="X21" s="9"/>
    </row>
    <row r="22" spans="1:24" x14ac:dyDescent="0.3">
      <c r="A22" s="14" t="s">
        <v>33</v>
      </c>
      <c r="B22" s="12">
        <v>0.22700000000000001</v>
      </c>
      <c r="G22" s="34"/>
      <c r="H22" s="42">
        <v>0.85</v>
      </c>
      <c r="I22" s="45">
        <f t="shared" si="1"/>
        <v>386.7366530014761</v>
      </c>
      <c r="J22" s="9">
        <f t="shared" si="2"/>
        <v>45.246766768911016</v>
      </c>
      <c r="K22" s="9">
        <f t="shared" si="2"/>
        <v>54.966850167558505</v>
      </c>
      <c r="L22" s="9">
        <f t="shared" si="2"/>
        <v>65.787892278220767</v>
      </c>
      <c r="M22" s="9">
        <f t="shared" si="2"/>
        <v>78.068132468211729</v>
      </c>
      <c r="N22" s="9">
        <f t="shared" si="2"/>
        <v>92.285609974670706</v>
      </c>
      <c r="O22" s="9">
        <f t="shared" si="2"/>
        <v>109.0680523922272</v>
      </c>
      <c r="P22" s="9">
        <f t="shared" si="2"/>
        <v>129.1546059187086</v>
      </c>
      <c r="Q22" s="9">
        <f t="shared" si="2"/>
        <v>152.94379825347352</v>
      </c>
      <c r="R22" s="9">
        <f t="shared" si="2"/>
        <v>177.55524517459057</v>
      </c>
      <c r="S22" s="9"/>
      <c r="T22" s="9"/>
      <c r="U22" s="9"/>
      <c r="V22" s="9"/>
      <c r="W22" s="9"/>
      <c r="X22" s="9"/>
    </row>
    <row r="23" spans="1:24" x14ac:dyDescent="0.3">
      <c r="A23" s="2" t="s">
        <v>20</v>
      </c>
      <c r="B23" s="13">
        <f>B19*B20</f>
        <v>114247.15844044642</v>
      </c>
      <c r="C23" t="s">
        <v>24</v>
      </c>
      <c r="G23" s="34"/>
      <c r="H23" s="42">
        <v>0.86</v>
      </c>
      <c r="I23" s="45">
        <f t="shared" si="1"/>
        <v>391.28649597796408</v>
      </c>
      <c r="J23" s="9">
        <f t="shared" si="2"/>
        <v>45.560528797218275</v>
      </c>
      <c r="K23" s="9">
        <f t="shared" si="2"/>
        <v>55.325624602871905</v>
      </c>
      <c r="L23" s="9">
        <f t="shared" si="2"/>
        <v>66.208967240419824</v>
      </c>
      <c r="M23" s="9">
        <f t="shared" si="2"/>
        <v>78.577691412500414</v>
      </c>
      <c r="N23" s="9">
        <f t="shared" si="2"/>
        <v>92.925561118961554</v>
      </c>
      <c r="O23" s="9">
        <f t="shared" si="2"/>
        <v>109.91020231662532</v>
      </c>
      <c r="P23" s="9">
        <f t="shared" si="2"/>
        <v>130.33338631271889</v>
      </c>
      <c r="Q23" s="9">
        <f t="shared" si="2"/>
        <v>154.74360573747867</v>
      </c>
      <c r="R23" s="9">
        <f t="shared" si="2"/>
        <v>180.69819148003467</v>
      </c>
      <c r="S23" s="9"/>
      <c r="T23" s="9"/>
      <c r="U23" s="9"/>
      <c r="V23" s="9"/>
      <c r="W23" s="9"/>
      <c r="X23" s="9"/>
    </row>
    <row r="24" spans="1:24" x14ac:dyDescent="0.3">
      <c r="A24" s="2" t="s">
        <v>77</v>
      </c>
      <c r="B24" s="15">
        <f>($B$22*B23)/(12*60)</f>
        <v>36.019590230529637</v>
      </c>
      <c r="C24" t="s">
        <v>21</v>
      </c>
      <c r="G24" s="34"/>
      <c r="H24" s="43">
        <v>0.87</v>
      </c>
      <c r="I24" s="45">
        <f t="shared" si="1"/>
        <v>395.836338954452</v>
      </c>
      <c r="J24" s="9">
        <f t="shared" si="2"/>
        <v>45.863533746794801</v>
      </c>
      <c r="K24" s="9">
        <f t="shared" si="2"/>
        <v>55.672098745291166</v>
      </c>
      <c r="L24" s="9">
        <f t="shared" si="2"/>
        <v>66.615605986278894</v>
      </c>
      <c r="M24" s="9">
        <f t="shared" si="2"/>
        <v>79.069780538305196</v>
      </c>
      <c r="N24" s="9">
        <f t="shared" si="2"/>
        <v>93.543572053087075</v>
      </c>
      <c r="O24" s="9">
        <f t="shared" si="2"/>
        <v>110.72347980834348</v>
      </c>
      <c r="P24" s="9">
        <f t="shared" si="2"/>
        <v>131.47175316920513</v>
      </c>
      <c r="Q24" s="9">
        <f t="shared" si="2"/>
        <v>156.48170826977235</v>
      </c>
      <c r="R24" s="9">
        <f t="shared" si="2"/>
        <v>183.73338439977894</v>
      </c>
      <c r="S24" s="9"/>
      <c r="T24" s="9"/>
      <c r="U24" s="9"/>
      <c r="V24" s="9"/>
      <c r="W24" s="9"/>
      <c r="X24" s="9"/>
    </row>
    <row r="25" spans="1:24" x14ac:dyDescent="0.3">
      <c r="A25" s="2"/>
      <c r="B25" s="13">
        <f>B24*12</f>
        <v>432.23508276635562</v>
      </c>
      <c r="C25" t="s">
        <v>71</v>
      </c>
      <c r="G25" s="34"/>
      <c r="H25" s="42">
        <v>0.88</v>
      </c>
      <c r="I25" s="45">
        <f t="shared" si="1"/>
        <v>400.38618193093993</v>
      </c>
      <c r="J25" s="9">
        <f t="shared" si="2"/>
        <v>46.156267786824969</v>
      </c>
      <c r="K25" s="9">
        <f t="shared" si="2"/>
        <v>56.006828509996751</v>
      </c>
      <c r="L25" s="9">
        <f t="shared" si="2"/>
        <v>67.008460964636484</v>
      </c>
      <c r="M25" s="9">
        <f t="shared" si="2"/>
        <v>79.545189398962663</v>
      </c>
      <c r="N25" s="9">
        <f t="shared" si="2"/>
        <v>94.140634370987229</v>
      </c>
      <c r="O25" s="9">
        <f t="shared" si="2"/>
        <v>111.50918976505866</v>
      </c>
      <c r="P25" s="9">
        <f t="shared" si="2"/>
        <v>132.57153298930839</v>
      </c>
      <c r="Q25" s="9">
        <f t="shared" si="2"/>
        <v>158.16089462291967</v>
      </c>
      <c r="R25" s="9">
        <f t="shared" si="2"/>
        <v>186.66569387825277</v>
      </c>
      <c r="S25" s="9"/>
      <c r="T25" s="9"/>
      <c r="U25" s="9"/>
      <c r="V25" s="9"/>
      <c r="W25" s="9"/>
      <c r="X25" s="9"/>
    </row>
    <row r="26" spans="1:24" x14ac:dyDescent="0.3">
      <c r="G26" s="34"/>
      <c r="H26" s="42">
        <v>0.89</v>
      </c>
      <c r="I26" s="45">
        <f t="shared" si="1"/>
        <v>404.93602490742791</v>
      </c>
      <c r="J26" s="9">
        <f t="shared" si="2"/>
        <v>46.439189927947801</v>
      </c>
      <c r="K26" s="9">
        <f t="shared" si="2"/>
        <v>56.330338757449653</v>
      </c>
      <c r="L26" s="9">
        <f t="shared" si="2"/>
        <v>67.388148177016149</v>
      </c>
      <c r="M26" s="9">
        <f t="shared" si="2"/>
        <v>80.004663441517195</v>
      </c>
      <c r="N26" s="9">
        <f t="shared" si="2"/>
        <v>94.717684273850125</v>
      </c>
      <c r="O26" s="9">
        <f t="shared" si="2"/>
        <v>112.26856418981799</v>
      </c>
      <c r="P26" s="9">
        <f t="shared" si="2"/>
        <v>133.63445024155288</v>
      </c>
      <c r="Q26" s="9">
        <f t="shared" si="2"/>
        <v>159.78379778214128</v>
      </c>
      <c r="R26" s="9">
        <f t="shared" si="2"/>
        <v>189.49971781342302</v>
      </c>
      <c r="S26" s="9"/>
      <c r="T26" s="9"/>
      <c r="U26" s="9"/>
      <c r="V26" s="9"/>
      <c r="W26" s="9"/>
      <c r="X26" s="9"/>
    </row>
    <row r="27" spans="1:24" x14ac:dyDescent="0.3">
      <c r="A27" s="2" t="s">
        <v>29</v>
      </c>
      <c r="B27">
        <v>32.17</v>
      </c>
      <c r="C27" t="s">
        <v>27</v>
      </c>
      <c r="G27" s="34"/>
      <c r="H27" s="42">
        <v>0.9</v>
      </c>
      <c r="I27" s="45">
        <f t="shared" si="1"/>
        <v>409.48586788391583</v>
      </c>
      <c r="J27" s="9">
        <f t="shared" si="2"/>
        <v>46.712733822690829</v>
      </c>
      <c r="K27" s="9">
        <f t="shared" si="2"/>
        <v>56.64312535211608</v>
      </c>
      <c r="L27" s="9">
        <f t="shared" si="2"/>
        <v>67.755249593845051</v>
      </c>
      <c r="M27" s="9">
        <f t="shared" si="2"/>
        <v>80.448906930679527</v>
      </c>
      <c r="N27" s="9">
        <f t="shared" si="2"/>
        <v>95.275606242289044</v>
      </c>
      <c r="O27" s="9">
        <f t="shared" si="2"/>
        <v>113.0027670234758</v>
      </c>
      <c r="P27" s="9">
        <f t="shared" si="2"/>
        <v>134.66213412594101</v>
      </c>
      <c r="Q27" s="9">
        <f t="shared" si="2"/>
        <v>161.35290527299514</v>
      </c>
      <c r="R27" s="9">
        <f t="shared" si="2"/>
        <v>192.23980009169497</v>
      </c>
      <c r="S27" s="9"/>
      <c r="T27" s="9"/>
      <c r="U27" s="9"/>
      <c r="V27" s="9"/>
      <c r="W27" s="9"/>
      <c r="X27" s="9"/>
    </row>
    <row r="28" spans="1:24" x14ac:dyDescent="0.3">
      <c r="B28">
        <f>B27*12</f>
        <v>386.04</v>
      </c>
      <c r="C28" t="s">
        <v>28</v>
      </c>
      <c r="G28" s="34"/>
      <c r="H28" s="42">
        <v>0.91</v>
      </c>
      <c r="I28" s="45">
        <f t="shared" si="1"/>
        <v>414.03571086040381</v>
      </c>
      <c r="J28" s="9">
        <f t="shared" si="2"/>
        <v>46.977309428177293</v>
      </c>
      <c r="K28" s="9">
        <f t="shared" si="2"/>
        <v>56.94565706370723</v>
      </c>
      <c r="L28" s="9">
        <f t="shared" si="2"/>
        <v>68.11031538584048</v>
      </c>
      <c r="M28" s="9">
        <f t="shared" si="2"/>
        <v>80.878585649113219</v>
      </c>
      <c r="N28" s="9">
        <f t="shared" si="2"/>
        <v>95.815236427611211</v>
      </c>
      <c r="O28" s="9">
        <f t="shared" si="2"/>
        <v>113.71289860746663</v>
      </c>
      <c r="P28" s="9">
        <f t="shared" si="2"/>
        <v>135.65612482061943</v>
      </c>
      <c r="Q28" s="9">
        <f t="shared" si="2"/>
        <v>162.87056869902779</v>
      </c>
      <c r="R28" s="9">
        <f t="shared" si="2"/>
        <v>194.89004724320813</v>
      </c>
      <c r="S28" s="9"/>
      <c r="T28" s="9"/>
      <c r="U28" s="9"/>
      <c r="V28" s="9"/>
      <c r="W28" s="9"/>
      <c r="X28" s="9"/>
    </row>
    <row r="29" spans="1:24" x14ac:dyDescent="0.3">
      <c r="G29" s="34"/>
      <c r="H29" s="43">
        <v>0.92</v>
      </c>
      <c r="I29" s="45">
        <f t="shared" si="1"/>
        <v>418.58555383689179</v>
      </c>
      <c r="J29" s="9">
        <f t="shared" si="2"/>
        <v>47.233304543016999</v>
      </c>
      <c r="K29" s="9">
        <f t="shared" si="2"/>
        <v>57.238377324553014</v>
      </c>
      <c r="L29" s="9">
        <f t="shared" si="2"/>
        <v>68.453865986548323</v>
      </c>
      <c r="M29" s="9">
        <f t="shared" si="2"/>
        <v>81.294329393391394</v>
      </c>
      <c r="N29" s="9">
        <f t="shared" si="2"/>
        <v>96.337365786470727</v>
      </c>
      <c r="O29" s="9">
        <f t="shared" si="2"/>
        <v>114.39999980888231</v>
      </c>
      <c r="P29" s="9">
        <f t="shared" si="2"/>
        <v>136.61787925586276</v>
      </c>
      <c r="Q29" s="9">
        <f t="shared" si="2"/>
        <v>164.33901255771565</v>
      </c>
      <c r="R29" s="9">
        <f t="shared" si="2"/>
        <v>197.45434383683312</v>
      </c>
      <c r="S29" s="9"/>
      <c r="T29" s="9"/>
      <c r="U29" s="9"/>
      <c r="V29" s="9"/>
      <c r="W29" s="9"/>
      <c r="X29" s="9"/>
    </row>
    <row r="30" spans="1:24" x14ac:dyDescent="0.3">
      <c r="G30" s="34"/>
      <c r="H30" s="42">
        <v>0.93</v>
      </c>
      <c r="I30" s="45">
        <f t="shared" si="1"/>
        <v>423.13539681337977</v>
      </c>
      <c r="J30" s="9">
        <f t="shared" si="2"/>
        <v>47.481086229144957</v>
      </c>
      <c r="K30" s="9">
        <f t="shared" si="2"/>
        <v>57.521705855418169</v>
      </c>
      <c r="L30" s="9">
        <f t="shared" si="2"/>
        <v>68.786394000479248</v>
      </c>
      <c r="M30" s="9">
        <f t="shared" si="2"/>
        <v>81.696734283105428</v>
      </c>
      <c r="N30" s="9">
        <f t="shared" si="2"/>
        <v>96.842742980860294</v>
      </c>
      <c r="O30" s="9">
        <f t="shared" si="2"/>
        <v>115.06505583674416</v>
      </c>
      <c r="P30" s="9">
        <f t="shared" si="2"/>
        <v>137.54877645581465</v>
      </c>
      <c r="Q30" s="9">
        <f t="shared" si="2"/>
        <v>165.76034239644241</v>
      </c>
      <c r="R30" s="9">
        <f t="shared" si="2"/>
        <v>199.93636672269346</v>
      </c>
      <c r="S30" s="9"/>
      <c r="T30" s="9"/>
      <c r="U30" s="9"/>
      <c r="V30" s="9"/>
      <c r="W30" s="9"/>
      <c r="X30" s="9"/>
    </row>
    <row r="31" spans="1:24" x14ac:dyDescent="0.3">
      <c r="G31" s="34"/>
      <c r="H31" s="42">
        <v>0.94</v>
      </c>
      <c r="I31" s="45">
        <f t="shared" si="1"/>
        <v>427.68523978986764</v>
      </c>
      <c r="J31" s="9">
        <f t="shared" si="2"/>
        <v>47.721002128346854</v>
      </c>
      <c r="K31" s="9">
        <f t="shared" si="2"/>
        <v>57.796040170896831</v>
      </c>
      <c r="L31" s="9">
        <f t="shared" si="2"/>
        <v>69.108365969912285</v>
      </c>
      <c r="M31" s="9">
        <f t="shared" si="2"/>
        <v>82.086364898941667</v>
      </c>
      <c r="N31" s="9">
        <f t="shared" si="2"/>
        <v>97.33207706330532</v>
      </c>
      <c r="O31" s="9">
        <f t="shared" si="2"/>
        <v>115.70899977561025</v>
      </c>
      <c r="P31" s="9">
        <f t="shared" si="2"/>
        <v>138.45012248457505</v>
      </c>
      <c r="Q31" s="9">
        <f t="shared" si="2"/>
        <v>167.13655236437563</v>
      </c>
      <c r="R31" s="9">
        <f t="shared" si="2"/>
        <v>202.33959821976771</v>
      </c>
      <c r="S31" s="9"/>
      <c r="T31" s="9"/>
      <c r="U31" s="9"/>
      <c r="V31" s="9"/>
      <c r="W31" s="9"/>
      <c r="X31" s="9"/>
    </row>
    <row r="32" spans="1:24" x14ac:dyDescent="0.3">
      <c r="G32" s="34"/>
      <c r="H32" s="42">
        <v>0.95</v>
      </c>
      <c r="I32" s="45">
        <f t="shared" si="1"/>
        <v>432.23508276635567</v>
      </c>
      <c r="J32" s="9">
        <f t="shared" si="2"/>
        <v>47.953381682292544</v>
      </c>
      <c r="K32" s="9">
        <f t="shared" si="2"/>
        <v>58.061756974472566</v>
      </c>
      <c r="L32" s="9">
        <f t="shared" si="2"/>
        <v>69.420224012204443</v>
      </c>
      <c r="M32" s="9">
        <f t="shared" si="2"/>
        <v>82.463756264052563</v>
      </c>
      <c r="N32" s="9">
        <f t="shared" si="2"/>
        <v>97.806039965252481</v>
      </c>
      <c r="O32" s="9">
        <f t="shared" si="2"/>
        <v>116.33271586019454</v>
      </c>
      <c r="P32" s="9">
        <f t="shared" si="2"/>
        <v>139.32315502977451</v>
      </c>
      <c r="Q32" s="9">
        <f t="shared" si="2"/>
        <v>168.46953221084601</v>
      </c>
      <c r="R32" s="9">
        <f t="shared" si="2"/>
        <v>204.66733833693419</v>
      </c>
      <c r="S32" s="9"/>
      <c r="T32" s="9"/>
      <c r="U32" s="9"/>
      <c r="V32" s="9"/>
      <c r="W32" s="9"/>
      <c r="X32" s="9"/>
    </row>
    <row r="33" spans="7:24" x14ac:dyDescent="0.3">
      <c r="G33" s="34"/>
      <c r="H33" s="42">
        <v>0.96</v>
      </c>
      <c r="I33" s="45">
        <f t="shared" si="1"/>
        <v>436.78492574284354</v>
      </c>
      <c r="J33" s="9">
        <f t="shared" si="2"/>
        <v>48.178537264076255</v>
      </c>
      <c r="K33" s="9">
        <f t="shared" si="2"/>
        <v>58.319213452389661</v>
      </c>
      <c r="L33" s="9">
        <f t="shared" si="2"/>
        <v>69.722387338340383</v>
      </c>
      <c r="M33" s="9">
        <f t="shared" si="2"/>
        <v>82.829415681711779</v>
      </c>
      <c r="N33" s="9">
        <f t="shared" si="2"/>
        <v>98.265268804966809</v>
      </c>
      <c r="O33" s="9">
        <f t="shared" si="2"/>
        <v>116.93704251246643</v>
      </c>
      <c r="P33" s="9">
        <f t="shared" si="2"/>
        <v>140.16904765368599</v>
      </c>
      <c r="Q33" s="9">
        <f t="shared" si="2"/>
        <v>169.76107377610836</v>
      </c>
      <c r="R33" s="9">
        <f t="shared" si="2"/>
        <v>206.92271610758095</v>
      </c>
      <c r="S33" s="9"/>
      <c r="T33" s="9"/>
      <c r="U33" s="9"/>
      <c r="V33" s="9"/>
      <c r="W33" s="9"/>
      <c r="X33" s="9"/>
    </row>
    <row r="34" spans="7:24" x14ac:dyDescent="0.3">
      <c r="G34" s="34"/>
      <c r="H34" s="43">
        <v>0.97</v>
      </c>
      <c r="I34" s="45">
        <f t="shared" si="1"/>
        <v>441.33476871933152</v>
      </c>
      <c r="J34" s="9">
        <f t="shared" si="2"/>
        <v>48.396765228524032</v>
      </c>
      <c r="K34" s="9">
        <f t="shared" si="2"/>
        <v>58.568748474638028</v>
      </c>
      <c r="L34" s="9">
        <f t="shared" si="2"/>
        <v>70.01525366246625</v>
      </c>
      <c r="M34" s="9">
        <f t="shared" si="2"/>
        <v>83.183824441045076</v>
      </c>
      <c r="N34" s="9">
        <f t="shared" si="2"/>
        <v>98.710368029745695</v>
      </c>
      <c r="O34" s="9">
        <f t="shared" si="2"/>
        <v>117.52277516071818</v>
      </c>
      <c r="P34" s="9">
        <f t="shared" si="2"/>
        <v>140.98891373915095</v>
      </c>
      <c r="Q34" s="9">
        <f t="shared" si="2"/>
        <v>171.01287701613489</v>
      </c>
      <c r="R34" s="9">
        <f t="shared" si="2"/>
        <v>209.10870011050832</v>
      </c>
      <c r="S34" s="9"/>
      <c r="T34" s="9"/>
      <c r="U34" s="9"/>
      <c r="V34" s="9"/>
      <c r="W34" s="9"/>
      <c r="X34" s="9"/>
    </row>
    <row r="35" spans="7:24" x14ac:dyDescent="0.3">
      <c r="G35" s="34"/>
      <c r="H35" s="42">
        <v>0.98</v>
      </c>
      <c r="I35" s="45">
        <f t="shared" si="1"/>
        <v>445.88461169581944</v>
      </c>
      <c r="J35" s="9">
        <f t="shared" si="2"/>
        <v>48.608346887865224</v>
      </c>
      <c r="K35" s="9">
        <f t="shared" si="2"/>
        <v>58.810683710594859</v>
      </c>
      <c r="L35" s="9">
        <f t="shared" si="2"/>
        <v>70.299200511260409</v>
      </c>
      <c r="M35" s="9">
        <f t="shared" si="2"/>
        <v>83.527439401550012</v>
      </c>
      <c r="N35" s="9">
        <f t="shared" si="2"/>
        <v>99.141911405905148</v>
      </c>
      <c r="O35" s="9">
        <f t="shared" si="2"/>
        <v>118.09066885830649</v>
      </c>
      <c r="P35" s="9">
        <f t="shared" si="2"/>
        <v>141.78381015510388</v>
      </c>
      <c r="Q35" s="9">
        <f t="shared" si="2"/>
        <v>172.22655559927944</v>
      </c>
      <c r="R35" s="9">
        <f t="shared" si="2"/>
        <v>211.22810824320604</v>
      </c>
      <c r="S35" s="9"/>
      <c r="T35" s="9"/>
      <c r="U35" s="9"/>
      <c r="V35" s="9"/>
      <c r="W35" s="9"/>
      <c r="X35" s="9"/>
    </row>
    <row r="36" spans="7:24" x14ac:dyDescent="0.3">
      <c r="G36" s="34"/>
      <c r="H36" s="42">
        <v>0.99</v>
      </c>
      <c r="I36" s="45">
        <f t="shared" si="1"/>
        <v>450.43445467230742</v>
      </c>
      <c r="J36" s="9">
        <f t="shared" si="2"/>
        <v>48.813549418768687</v>
      </c>
      <c r="K36" s="9">
        <f t="shared" si="2"/>
        <v>59.045324666184541</v>
      </c>
      <c r="L36" s="9">
        <f t="shared" ref="K36:R37" si="3">TAN(RADIANS(L$6))*$B$14 - 0.5*$B$28*POWER($B$14/(COS(RADIANS(L$6))*$I36), 2)</f>
        <v>70.574586441194256</v>
      </c>
      <c r="M36" s="9">
        <f t="shared" si="3"/>
        <v>83.860694466149909</v>
      </c>
      <c r="N36" s="9">
        <f t="shared" si="3"/>
        <v>99.560443868776815</v>
      </c>
      <c r="O36" s="9">
        <f t="shared" si="3"/>
        <v>118.6414407181742</v>
      </c>
      <c r="P36" s="9">
        <f t="shared" si="3"/>
        <v>142.55474066423935</v>
      </c>
      <c r="Q36" s="9">
        <f t="shared" si="3"/>
        <v>173.40364210923525</v>
      </c>
      <c r="R36" s="9">
        <f t="shared" si="3"/>
        <v>213.28361680761151</v>
      </c>
      <c r="S36" s="9"/>
      <c r="T36" s="9"/>
      <c r="U36" s="9"/>
      <c r="V36" s="9"/>
      <c r="W36" s="9"/>
      <c r="X36" s="9"/>
    </row>
    <row r="37" spans="7:24" ht="15" thickBot="1" x14ac:dyDescent="0.35">
      <c r="G37" s="34"/>
      <c r="H37" s="44">
        <v>1</v>
      </c>
      <c r="I37" s="45">
        <f t="shared" si="1"/>
        <v>454.9842976487954</v>
      </c>
      <c r="J37" s="9">
        <f t="shared" si="2"/>
        <v>49.012626706206547</v>
      </c>
      <c r="K37" s="9">
        <f t="shared" si="3"/>
        <v>59.27296164880341</v>
      </c>
      <c r="L37" s="9">
        <f t="shared" si="3"/>
        <v>70.841752171014491</v>
      </c>
      <c r="M37" s="9">
        <f t="shared" si="3"/>
        <v>84.184001951654011</v>
      </c>
      <c r="N37" s="9">
        <f t="shared" si="3"/>
        <v>99.966483243858278</v>
      </c>
      <c r="O37" s="9">
        <f t="shared" si="3"/>
        <v>119.17577217781466</v>
      </c>
      <c r="P37" s="9">
        <f t="shared" si="3"/>
        <v>143.30265909334477</v>
      </c>
      <c r="Q37" s="9">
        <f t="shared" si="3"/>
        <v>174.54559288562186</v>
      </c>
      <c r="R37" s="9">
        <f t="shared" si="3"/>
        <v>215.27776896307222</v>
      </c>
      <c r="S37" s="9"/>
      <c r="T37" s="9"/>
      <c r="U37" s="9"/>
      <c r="V37" s="9"/>
      <c r="W37" s="9"/>
      <c r="X37" s="9"/>
    </row>
    <row r="38" spans="7:24" x14ac:dyDescent="0.3">
      <c r="K38" s="2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7:24" x14ac:dyDescent="0.3">
      <c r="K39" s="2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7:24" x14ac:dyDescent="0.3">
      <c r="H40" s="28"/>
      <c r="I40" s="28"/>
      <c r="J40" s="28"/>
      <c r="K40" s="2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7:24" x14ac:dyDescent="0.3">
      <c r="K41" s="2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7:24" x14ac:dyDescent="0.3">
      <c r="K42" s="2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7:24" x14ac:dyDescent="0.3">
      <c r="K43" s="2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7:24" x14ac:dyDescent="0.3">
      <c r="K44" s="2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7:24" x14ac:dyDescent="0.3">
      <c r="K45" s="2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7:24" x14ac:dyDescent="0.3">
      <c r="K46" s="2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7:24" x14ac:dyDescent="0.3">
      <c r="K47" s="2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7:24" x14ac:dyDescent="0.3">
      <c r="K48" s="2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1:24" x14ac:dyDescent="0.3">
      <c r="K49" s="2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1:24" x14ac:dyDescent="0.3">
      <c r="K50" s="2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</sheetData>
  <conditionalFormatting sqref="J7:R37">
    <cfRule type="cellIs" dxfId="0" priority="1" operator="between">
      <formula>$B$12</formula>
      <formula>$D$12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D1B9-AB1F-4E81-B4BB-AF8902B9204F}">
  <dimension ref="A1:E7"/>
  <sheetViews>
    <sheetView workbookViewId="0">
      <selection activeCell="C7" sqref="C7"/>
    </sheetView>
  </sheetViews>
  <sheetFormatPr defaultRowHeight="14.4" x14ac:dyDescent="0.3"/>
  <sheetData>
    <row r="1" spans="1:5" x14ac:dyDescent="0.3">
      <c r="A1" t="s">
        <v>62</v>
      </c>
    </row>
    <row r="2" spans="1:5" x14ac:dyDescent="0.3">
      <c r="A2" t="s">
        <v>44</v>
      </c>
      <c r="B2" t="s">
        <v>61</v>
      </c>
    </row>
    <row r="3" spans="1:5" x14ac:dyDescent="0.3">
      <c r="A3">
        <v>33</v>
      </c>
      <c r="B3">
        <v>0.95</v>
      </c>
      <c r="C3" t="s">
        <v>63</v>
      </c>
      <c r="E3" t="s">
        <v>64</v>
      </c>
    </row>
    <row r="4" spans="1:5" x14ac:dyDescent="0.3">
      <c r="A4">
        <v>28</v>
      </c>
      <c r="B4">
        <v>0.83</v>
      </c>
      <c r="C4" t="s">
        <v>66</v>
      </c>
      <c r="E4" t="s">
        <v>65</v>
      </c>
    </row>
    <row r="5" spans="1:5" x14ac:dyDescent="0.3">
      <c r="A5">
        <v>28</v>
      </c>
      <c r="B5">
        <v>0.9</v>
      </c>
      <c r="C5" t="s">
        <v>67</v>
      </c>
    </row>
    <row r="6" spans="1:5" x14ac:dyDescent="0.3">
      <c r="A6">
        <v>28</v>
      </c>
      <c r="B6">
        <v>0.92</v>
      </c>
      <c r="C6" t="s">
        <v>68</v>
      </c>
    </row>
    <row r="7" spans="1:5" x14ac:dyDescent="0.3">
      <c r="A7">
        <v>28</v>
      </c>
      <c r="B7">
        <v>0.91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84D8-D7E0-465A-92B3-61F1DC1412F6}">
  <dimension ref="A1:J15"/>
  <sheetViews>
    <sheetView workbookViewId="0">
      <selection activeCell="I13" sqref="I13"/>
    </sheetView>
  </sheetViews>
  <sheetFormatPr defaultRowHeight="14.4" x14ac:dyDescent="0.3"/>
  <cols>
    <col min="3" max="3" width="14.5546875" customWidth="1"/>
  </cols>
  <sheetData>
    <row r="1" spans="1:10" x14ac:dyDescent="0.3">
      <c r="A1" t="s">
        <v>48</v>
      </c>
    </row>
    <row r="3" spans="1:10" ht="18" x14ac:dyDescent="0.35">
      <c r="A3" s="1" t="s">
        <v>52</v>
      </c>
      <c r="G3" s="1" t="s">
        <v>56</v>
      </c>
    </row>
    <row r="5" spans="1:10" ht="15.6" x14ac:dyDescent="0.3">
      <c r="A5" s="2" t="s">
        <v>53</v>
      </c>
      <c r="B5" s="12">
        <v>30</v>
      </c>
      <c r="C5" t="s">
        <v>4</v>
      </c>
      <c r="H5" s="27" t="s">
        <v>60</v>
      </c>
    </row>
    <row r="6" spans="1:10" x14ac:dyDescent="0.3">
      <c r="A6" s="2" t="s">
        <v>54</v>
      </c>
      <c r="B6" s="12">
        <v>30</v>
      </c>
      <c r="C6" t="s">
        <v>4</v>
      </c>
      <c r="H6" t="s">
        <v>5</v>
      </c>
      <c r="I6" s="10">
        <f>ATAN((D11-B5/2)/D13)*57.2958</f>
        <v>21.088242348926485</v>
      </c>
      <c r="J6" t="s">
        <v>42</v>
      </c>
    </row>
    <row r="7" spans="1:10" x14ac:dyDescent="0.3">
      <c r="H7" t="s">
        <v>44</v>
      </c>
      <c r="I7" s="10">
        <f>SQRT((D11-B5/2)^2+D13^2)</f>
        <v>221.39756209136542</v>
      </c>
      <c r="J7" t="s">
        <v>4</v>
      </c>
    </row>
    <row r="8" spans="1:10" x14ac:dyDescent="0.3">
      <c r="I8" s="10">
        <f>ROUND(I7/12,1)</f>
        <v>18.399999999999999</v>
      </c>
      <c r="J8" t="s">
        <v>3</v>
      </c>
    </row>
    <row r="9" spans="1:10" ht="18" x14ac:dyDescent="0.35">
      <c r="A9" s="1" t="s">
        <v>55</v>
      </c>
    </row>
    <row r="10" spans="1:10" x14ac:dyDescent="0.3">
      <c r="H10" s="2" t="s">
        <v>59</v>
      </c>
    </row>
    <row r="11" spans="1:10" x14ac:dyDescent="0.3">
      <c r="A11" s="2" t="s">
        <v>49</v>
      </c>
      <c r="D11" s="12">
        <v>94.66</v>
      </c>
      <c r="E11" t="s">
        <v>4</v>
      </c>
      <c r="H11" t="s">
        <v>5</v>
      </c>
      <c r="I11" s="10">
        <f>ATAN((D11-B5/2)/(D13+D14-D15-B6))*57.2958</f>
        <v>8.6904758463773213</v>
      </c>
      <c r="J11" t="s">
        <v>42</v>
      </c>
    </row>
    <row r="12" spans="1:10" x14ac:dyDescent="0.3">
      <c r="A12" s="2" t="s">
        <v>50</v>
      </c>
      <c r="D12" s="12">
        <v>120</v>
      </c>
      <c r="E12" t="s">
        <v>4</v>
      </c>
      <c r="H12" t="s">
        <v>44</v>
      </c>
      <c r="I12" s="10">
        <f>SQRT((D11-B5/2)^2+(D13+D14-D15-B6)^2)</f>
        <v>527.21291827875382</v>
      </c>
      <c r="J12" t="s">
        <v>4</v>
      </c>
    </row>
    <row r="13" spans="1:10" x14ac:dyDescent="0.3">
      <c r="A13" s="2" t="s">
        <v>51</v>
      </c>
      <c r="D13" s="12">
        <v>206.57</v>
      </c>
      <c r="E13" t="s">
        <v>4</v>
      </c>
      <c r="I13" s="10">
        <f>I12/12</f>
        <v>43.934409856562816</v>
      </c>
      <c r="J13" t="s">
        <v>3</v>
      </c>
    </row>
    <row r="14" spans="1:10" x14ac:dyDescent="0.3">
      <c r="A14" s="2" t="s">
        <v>57</v>
      </c>
      <c r="D14" s="12">
        <v>374.59</v>
      </c>
      <c r="E14" t="s">
        <v>4</v>
      </c>
    </row>
    <row r="15" spans="1:10" x14ac:dyDescent="0.3">
      <c r="A15" s="2" t="s">
        <v>58</v>
      </c>
      <c r="D15" s="12">
        <v>30</v>
      </c>
      <c r="E1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A684-C6B9-48D0-BA62-41E5059F4BE2}">
  <dimension ref="A1:P75"/>
  <sheetViews>
    <sheetView topLeftCell="A4" workbookViewId="0">
      <selection activeCell="D28" sqref="D28:D30"/>
    </sheetView>
  </sheetViews>
  <sheetFormatPr defaultRowHeight="14.4" x14ac:dyDescent="0.3"/>
  <cols>
    <col min="1" max="1" width="10.21875" customWidth="1"/>
    <col min="2" max="2" width="11.88671875" customWidth="1"/>
    <col min="3" max="3" width="12.88671875" customWidth="1"/>
    <col min="8" max="12" width="14.5546875" style="3" customWidth="1"/>
    <col min="13" max="13" width="17.6640625" style="3" customWidth="1"/>
    <col min="14" max="14" width="14.5546875" customWidth="1"/>
  </cols>
  <sheetData>
    <row r="1" spans="1:16" ht="18" x14ac:dyDescent="0.35">
      <c r="A1" s="1" t="s">
        <v>0</v>
      </c>
    </row>
    <row r="2" spans="1:16" ht="18" x14ac:dyDescent="0.35">
      <c r="A2" s="1" t="s">
        <v>1</v>
      </c>
    </row>
    <row r="4" spans="1:16" x14ac:dyDescent="0.3">
      <c r="A4" s="2" t="s">
        <v>10</v>
      </c>
      <c r="C4">
        <v>8</v>
      </c>
      <c r="D4" t="s">
        <v>3</v>
      </c>
      <c r="E4">
        <f>C4*12+C5</f>
        <v>98.25</v>
      </c>
      <c r="F4" t="s">
        <v>4</v>
      </c>
      <c r="H4" s="4" t="s">
        <v>2</v>
      </c>
      <c r="I4" s="3">
        <f>E5-E7</f>
        <v>188.595</v>
      </c>
      <c r="J4" s="3" t="s">
        <v>9</v>
      </c>
      <c r="K4" s="3">
        <f>E4-C7</f>
        <v>74.25</v>
      </c>
      <c r="L4" s="3" t="s">
        <v>4</v>
      </c>
    </row>
    <row r="5" spans="1:16" x14ac:dyDescent="0.3">
      <c r="C5">
        <v>2.25</v>
      </c>
      <c r="D5" t="s">
        <v>4</v>
      </c>
      <c r="E5">
        <f>E4*2.54</f>
        <v>249.55500000000001</v>
      </c>
      <c r="F5" t="s">
        <v>9</v>
      </c>
    </row>
    <row r="6" spans="1:16" x14ac:dyDescent="0.3">
      <c r="H6" s="4" t="s">
        <v>6</v>
      </c>
      <c r="I6" s="4" t="s">
        <v>6</v>
      </c>
      <c r="J6" s="4" t="s">
        <v>8</v>
      </c>
      <c r="K6" s="4" t="s">
        <v>8</v>
      </c>
      <c r="L6" s="4" t="s">
        <v>15</v>
      </c>
      <c r="M6" s="4" t="s">
        <v>15</v>
      </c>
      <c r="N6" s="4" t="s">
        <v>15</v>
      </c>
    </row>
    <row r="7" spans="1:16" ht="15" thickBot="1" x14ac:dyDescent="0.35">
      <c r="A7" s="2" t="s">
        <v>7</v>
      </c>
      <c r="C7">
        <v>24</v>
      </c>
      <c r="D7" t="s">
        <v>4</v>
      </c>
      <c r="E7">
        <f>C7*2.54</f>
        <v>60.96</v>
      </c>
      <c r="F7" t="s">
        <v>9</v>
      </c>
      <c r="H7" s="5" t="s">
        <v>17</v>
      </c>
      <c r="I7" s="5" t="s">
        <v>5</v>
      </c>
      <c r="J7" s="5" t="s">
        <v>14</v>
      </c>
      <c r="K7" s="5" t="s">
        <v>16</v>
      </c>
      <c r="L7" s="5" t="s">
        <v>14</v>
      </c>
      <c r="M7" s="5" t="s">
        <v>16</v>
      </c>
      <c r="N7" s="5" t="s">
        <v>18</v>
      </c>
    </row>
    <row r="8" spans="1:16" x14ac:dyDescent="0.3">
      <c r="H8" s="3">
        <v>5</v>
      </c>
      <c r="I8" s="3">
        <v>10</v>
      </c>
      <c r="J8" s="6">
        <f t="shared" ref="J8:J15" si="0">((H8*12*2.54)^2*SIN(I8*0.01745)^2)/(2*$C$10)</f>
        <v>0.35681999715249701</v>
      </c>
      <c r="K8" s="7">
        <f>J8/2.54</f>
        <v>0.14048031383956575</v>
      </c>
      <c r="L8" s="7">
        <f t="shared" ref="L8:L15" si="1">(((H8*12*2.54)^2)/$C$10)*SIN(2*I8*0.01745)/2</f>
        <v>4.0480329036253302</v>
      </c>
      <c r="M8" s="7">
        <f>L8/2.54</f>
        <v>1.5937137415847757</v>
      </c>
      <c r="N8" s="8">
        <f>M8/12</f>
        <v>0.13280947846539798</v>
      </c>
      <c r="P8">
        <f>$K$4</f>
        <v>74.25</v>
      </c>
    </row>
    <row r="9" spans="1:16" x14ac:dyDescent="0.3">
      <c r="A9" s="2" t="s">
        <v>11</v>
      </c>
      <c r="C9">
        <v>9.81</v>
      </c>
      <c r="D9" t="s">
        <v>12</v>
      </c>
      <c r="H9" s="3">
        <v>5</v>
      </c>
      <c r="I9" s="3">
        <v>20</v>
      </c>
      <c r="J9" s="6">
        <f t="shared" si="0"/>
        <v>1.3842583021132988</v>
      </c>
      <c r="K9" s="7">
        <f t="shared" ref="K9:K15" si="2">J9/2.54</f>
        <v>0.54498358350917275</v>
      </c>
      <c r="L9" s="7">
        <f t="shared" si="1"/>
        <v>7.6079956208882571</v>
      </c>
      <c r="M9" s="7">
        <f t="shared" ref="M9:M15" si="3">L9/2.54</f>
        <v>2.9952738664914396</v>
      </c>
      <c r="N9" s="8">
        <f t="shared" ref="N9:N15" si="4">M9/12</f>
        <v>0.24960615554095331</v>
      </c>
      <c r="P9">
        <f t="shared" ref="P9:P15" si="5">$K$4</f>
        <v>74.25</v>
      </c>
    </row>
    <row r="10" spans="1:16" x14ac:dyDescent="0.3">
      <c r="C10">
        <f>C9*100</f>
        <v>981</v>
      </c>
      <c r="D10" t="s">
        <v>13</v>
      </c>
      <c r="H10" s="3">
        <v>5</v>
      </c>
      <c r="I10" s="3">
        <v>30</v>
      </c>
      <c r="J10" s="6">
        <f t="shared" si="0"/>
        <v>2.9584369680087543</v>
      </c>
      <c r="K10" s="7">
        <f t="shared" si="2"/>
        <v>1.1647389637829741</v>
      </c>
      <c r="L10" s="7">
        <f t="shared" si="1"/>
        <v>10.250664450246822</v>
      </c>
      <c r="M10" s="7">
        <f t="shared" si="3"/>
        <v>4.0356946654515049</v>
      </c>
      <c r="N10" s="8">
        <f t="shared" si="4"/>
        <v>0.33630788878762541</v>
      </c>
      <c r="P10">
        <f t="shared" si="5"/>
        <v>74.25</v>
      </c>
    </row>
    <row r="11" spans="1:16" x14ac:dyDescent="0.3">
      <c r="H11" s="3">
        <v>5</v>
      </c>
      <c r="I11" s="3">
        <v>40</v>
      </c>
      <c r="J11" s="6">
        <f t="shared" si="0"/>
        <v>4.8895577167311863</v>
      </c>
      <c r="K11" s="7">
        <f t="shared" si="2"/>
        <v>1.9250227231225143</v>
      </c>
      <c r="L11" s="7">
        <f t="shared" si="1"/>
        <v>11.657413555709415</v>
      </c>
      <c r="M11" s="7">
        <f t="shared" si="3"/>
        <v>4.5895328959485884</v>
      </c>
      <c r="N11" s="8">
        <f t="shared" si="4"/>
        <v>0.38246107466238238</v>
      </c>
      <c r="P11">
        <f t="shared" si="5"/>
        <v>74.25</v>
      </c>
    </row>
    <row r="12" spans="1:16" x14ac:dyDescent="0.3">
      <c r="H12" s="3">
        <v>5</v>
      </c>
      <c r="I12" s="3">
        <v>50</v>
      </c>
      <c r="J12" s="6">
        <f t="shared" si="0"/>
        <v>6.9447858638408624</v>
      </c>
      <c r="K12" s="7">
        <f t="shared" si="2"/>
        <v>2.7341676629294733</v>
      </c>
      <c r="L12" s="7">
        <f t="shared" si="1"/>
        <v>11.658631594084296</v>
      </c>
      <c r="M12" s="7">
        <f t="shared" si="3"/>
        <v>4.5900124386158643</v>
      </c>
      <c r="N12" s="8">
        <f t="shared" si="4"/>
        <v>0.382501036551322</v>
      </c>
      <c r="P12">
        <f t="shared" si="5"/>
        <v>74.25</v>
      </c>
    </row>
    <row r="13" spans="1:16" x14ac:dyDescent="0.3">
      <c r="H13" s="3">
        <v>5</v>
      </c>
      <c r="I13" s="3">
        <v>60</v>
      </c>
      <c r="J13" s="6">
        <f t="shared" si="0"/>
        <v>8.876323130850782</v>
      </c>
      <c r="K13" s="7">
        <f t="shared" si="2"/>
        <v>3.4946154058467647</v>
      </c>
      <c r="L13" s="7">
        <f t="shared" si="1"/>
        <v>10.254171706827876</v>
      </c>
      <c r="M13" s="7">
        <f t="shared" si="3"/>
        <v>4.0370754751290852</v>
      </c>
      <c r="N13" s="8">
        <f t="shared" si="4"/>
        <v>0.33642295626075708</v>
      </c>
      <c r="P13">
        <f t="shared" si="5"/>
        <v>74.25</v>
      </c>
    </row>
    <row r="14" spans="1:16" x14ac:dyDescent="0.3">
      <c r="H14" s="3">
        <v>5</v>
      </c>
      <c r="I14" s="3">
        <v>70</v>
      </c>
      <c r="J14" s="6">
        <f t="shared" si="0"/>
        <v>10.45128461382868</v>
      </c>
      <c r="K14" s="7">
        <f t="shared" si="2"/>
        <v>4.1146789818223146</v>
      </c>
      <c r="L14" s="7">
        <f t="shared" si="1"/>
        <v>7.6133692267379294</v>
      </c>
      <c r="M14" s="7">
        <f t="shared" si="3"/>
        <v>2.9973894593456416</v>
      </c>
      <c r="N14" s="8">
        <f t="shared" si="4"/>
        <v>0.24978245494547013</v>
      </c>
      <c r="P14">
        <f t="shared" si="5"/>
        <v>74.25</v>
      </c>
    </row>
    <row r="15" spans="1:16" x14ac:dyDescent="0.3">
      <c r="H15" s="3">
        <v>5</v>
      </c>
      <c r="I15" s="3">
        <v>80</v>
      </c>
      <c r="J15" s="6">
        <f t="shared" si="0"/>
        <v>11.479777650631862</v>
      </c>
      <c r="K15" s="7">
        <f t="shared" si="2"/>
        <v>4.5195975002487643</v>
      </c>
      <c r="L15" s="7">
        <f t="shared" si="1"/>
        <v>4.0546249646007331</v>
      </c>
      <c r="M15" s="7">
        <f t="shared" si="3"/>
        <v>1.5963090411813909</v>
      </c>
      <c r="N15" s="8">
        <f t="shared" si="4"/>
        <v>0.13302575343178258</v>
      </c>
      <c r="P15">
        <f t="shared" si="5"/>
        <v>74.25</v>
      </c>
    </row>
    <row r="17" spans="1:14" ht="18" x14ac:dyDescent="0.35">
      <c r="A17" s="1" t="s">
        <v>43</v>
      </c>
    </row>
    <row r="18" spans="1:14" x14ac:dyDescent="0.3">
      <c r="H18" s="4" t="s">
        <v>6</v>
      </c>
      <c r="I18" s="4" t="s">
        <v>6</v>
      </c>
      <c r="J18" s="4" t="s">
        <v>8</v>
      </c>
      <c r="K18" s="4" t="s">
        <v>8</v>
      </c>
      <c r="L18" s="4" t="s">
        <v>15</v>
      </c>
      <c r="M18" s="4" t="s">
        <v>15</v>
      </c>
      <c r="N18" s="4" t="s">
        <v>15</v>
      </c>
    </row>
    <row r="19" spans="1:14" ht="15" thickBot="1" x14ac:dyDescent="0.35">
      <c r="A19" s="2" t="s">
        <v>46</v>
      </c>
      <c r="C19" s="12">
        <v>45</v>
      </c>
      <c r="D19" t="s">
        <v>4</v>
      </c>
      <c r="H19" s="5" t="s">
        <v>17</v>
      </c>
      <c r="I19" s="5" t="s">
        <v>5</v>
      </c>
      <c r="J19" s="5" t="s">
        <v>14</v>
      </c>
      <c r="K19" s="5" t="s">
        <v>16</v>
      </c>
      <c r="L19" s="5" t="s">
        <v>14</v>
      </c>
      <c r="M19" s="5" t="s">
        <v>16</v>
      </c>
      <c r="N19" s="5" t="s">
        <v>18</v>
      </c>
    </row>
    <row r="20" spans="1:14" x14ac:dyDescent="0.3">
      <c r="A20" s="2" t="s">
        <v>47</v>
      </c>
      <c r="C20" s="12">
        <v>7</v>
      </c>
      <c r="D20" t="s">
        <v>4</v>
      </c>
      <c r="H20" s="3">
        <v>10</v>
      </c>
      <c r="I20" s="3">
        <v>10</v>
      </c>
      <c r="J20" s="6">
        <f t="shared" ref="J20:J27" si="6">((H20*12*2.54)^2*SIN(I20*0.01745)^2)/(2*$C$10)</f>
        <v>1.4272799886099881</v>
      </c>
      <c r="K20" s="7">
        <f>J20/2.54</f>
        <v>0.56192125535826298</v>
      </c>
      <c r="L20" s="7">
        <f t="shared" ref="L20:L27" si="7">(((H20*12*2.54)^2)/$C$10)*SIN(2*I20*0.01745)/2</f>
        <v>16.192131614501321</v>
      </c>
      <c r="M20" s="7">
        <f>L20/2.54</f>
        <v>6.374854966339103</v>
      </c>
      <c r="N20" s="8">
        <f>M20/12</f>
        <v>0.53123791386159191</v>
      </c>
    </row>
    <row r="21" spans="1:14" x14ac:dyDescent="0.3">
      <c r="H21" s="3">
        <v>10</v>
      </c>
      <c r="I21" s="3">
        <v>20</v>
      </c>
      <c r="J21" s="6">
        <f t="shared" si="6"/>
        <v>5.5370332084531952</v>
      </c>
      <c r="K21" s="7">
        <f t="shared" ref="K21:K27" si="8">J21/2.54</f>
        <v>2.179934334036691</v>
      </c>
      <c r="L21" s="7">
        <f t="shared" si="7"/>
        <v>30.431982483553028</v>
      </c>
      <c r="M21" s="7">
        <f t="shared" ref="M21:M27" si="9">L21/2.54</f>
        <v>11.981095465965758</v>
      </c>
      <c r="N21" s="8">
        <f t="shared" ref="N21:N27" si="10">M21/12</f>
        <v>0.99842462216381322</v>
      </c>
    </row>
    <row r="22" spans="1:14" x14ac:dyDescent="0.3">
      <c r="A22" s="4" t="s">
        <v>6</v>
      </c>
      <c r="B22" s="4" t="s">
        <v>45</v>
      </c>
      <c r="C22" s="4" t="s">
        <v>45</v>
      </c>
      <c r="H22" s="3">
        <v>10</v>
      </c>
      <c r="I22" s="3">
        <v>30</v>
      </c>
      <c r="J22" s="6">
        <f t="shared" si="6"/>
        <v>11.833747872035017</v>
      </c>
      <c r="K22" s="7">
        <f t="shared" si="8"/>
        <v>4.6589558551318966</v>
      </c>
      <c r="L22" s="7">
        <f t="shared" si="7"/>
        <v>41.002657800987286</v>
      </c>
      <c r="M22" s="7">
        <f t="shared" si="9"/>
        <v>16.14277866180602</v>
      </c>
      <c r="N22" s="8">
        <f t="shared" si="10"/>
        <v>1.3452315551505016</v>
      </c>
    </row>
    <row r="23" spans="1:14" ht="15" thickBot="1" x14ac:dyDescent="0.35">
      <c r="A23" s="5" t="s">
        <v>5</v>
      </c>
      <c r="B23" s="5" t="s">
        <v>31</v>
      </c>
      <c r="C23" s="5" t="s">
        <v>34</v>
      </c>
      <c r="H23" s="3">
        <v>10</v>
      </c>
      <c r="I23" s="3">
        <v>40</v>
      </c>
      <c r="J23" s="6">
        <f t="shared" si="6"/>
        <v>19.558230866924745</v>
      </c>
      <c r="K23" s="7">
        <f t="shared" si="8"/>
        <v>7.7000908924900573</v>
      </c>
      <c r="L23" s="7">
        <f t="shared" si="7"/>
        <v>46.629654222837658</v>
      </c>
      <c r="M23" s="7">
        <f t="shared" si="9"/>
        <v>18.358131583794354</v>
      </c>
      <c r="N23" s="8">
        <f t="shared" si="10"/>
        <v>1.5298442986495295</v>
      </c>
    </row>
    <row r="24" spans="1:14" x14ac:dyDescent="0.3">
      <c r="A24" s="3">
        <v>20</v>
      </c>
      <c r="B24" s="26">
        <f>($C$19-$C$7+$C$20/2)/TAN(A24*0.01745)</f>
        <v>67.326991077892842</v>
      </c>
      <c r="C24" s="26">
        <f>B24/12</f>
        <v>5.6105825898244035</v>
      </c>
      <c r="H24" s="3">
        <v>10</v>
      </c>
      <c r="I24" s="3">
        <v>50</v>
      </c>
      <c r="J24" s="6">
        <f t="shared" si="6"/>
        <v>27.77914345536345</v>
      </c>
      <c r="K24" s="7">
        <f t="shared" si="8"/>
        <v>10.936670651717893</v>
      </c>
      <c r="L24" s="7">
        <f t="shared" si="7"/>
        <v>46.634526376337185</v>
      </c>
      <c r="M24" s="7">
        <f t="shared" si="9"/>
        <v>18.360049754463457</v>
      </c>
      <c r="N24" s="8">
        <f t="shared" si="10"/>
        <v>1.530004146205288</v>
      </c>
    </row>
    <row r="25" spans="1:14" x14ac:dyDescent="0.3">
      <c r="A25" s="3">
        <v>25</v>
      </c>
      <c r="B25" s="26">
        <f t="shared" ref="B25:B36" si="11">($C$19-$C$7+$C$20/2)/TAN(A25*0.01745)</f>
        <v>52.551712691083466</v>
      </c>
      <c r="C25" s="26">
        <f t="shared" ref="C25:C36" si="12">B25/12</f>
        <v>4.3793093909236225</v>
      </c>
      <c r="H25" s="3">
        <v>10</v>
      </c>
      <c r="I25" s="3">
        <v>60</v>
      </c>
      <c r="J25" s="6">
        <f t="shared" si="6"/>
        <v>35.505292523403128</v>
      </c>
      <c r="K25" s="7">
        <f t="shared" si="8"/>
        <v>13.978461623387059</v>
      </c>
      <c r="L25" s="7">
        <f t="shared" si="7"/>
        <v>41.016686827311503</v>
      </c>
      <c r="M25" s="7">
        <f t="shared" si="9"/>
        <v>16.148301900516341</v>
      </c>
      <c r="N25" s="8">
        <f t="shared" si="10"/>
        <v>1.3456918250430283</v>
      </c>
    </row>
    <row r="26" spans="1:14" x14ac:dyDescent="0.3">
      <c r="A26" s="3">
        <v>30</v>
      </c>
      <c r="B26" s="26">
        <f t="shared" si="11"/>
        <v>42.444926450483692</v>
      </c>
      <c r="C26" s="26">
        <f t="shared" si="12"/>
        <v>3.5370772042069745</v>
      </c>
      <c r="H26" s="3">
        <v>10</v>
      </c>
      <c r="I26" s="3">
        <v>70</v>
      </c>
      <c r="J26" s="6">
        <f t="shared" si="6"/>
        <v>41.805138455314719</v>
      </c>
      <c r="K26" s="7">
        <f t="shared" si="8"/>
        <v>16.458715927289258</v>
      </c>
      <c r="L26" s="7">
        <f t="shared" si="7"/>
        <v>30.453476906951717</v>
      </c>
      <c r="M26" s="7">
        <f t="shared" si="9"/>
        <v>11.989557837382566</v>
      </c>
      <c r="N26" s="8">
        <f t="shared" si="10"/>
        <v>0.99912981978188053</v>
      </c>
    </row>
    <row r="27" spans="1:14" x14ac:dyDescent="0.3">
      <c r="A27" s="3">
        <v>35</v>
      </c>
      <c r="B27" s="26">
        <f t="shared" si="11"/>
        <v>34.998209408478502</v>
      </c>
      <c r="C27" s="26">
        <f t="shared" si="12"/>
        <v>2.9165174507065417</v>
      </c>
      <c r="H27" s="3">
        <v>10</v>
      </c>
      <c r="I27" s="3">
        <v>80</v>
      </c>
      <c r="J27" s="6">
        <f t="shared" si="6"/>
        <v>45.919110602527446</v>
      </c>
      <c r="K27" s="7">
        <f t="shared" si="8"/>
        <v>18.078390000995057</v>
      </c>
      <c r="L27" s="7">
        <f t="shared" si="7"/>
        <v>16.218499858402932</v>
      </c>
      <c r="M27" s="7">
        <f t="shared" si="9"/>
        <v>6.3852361647255638</v>
      </c>
      <c r="N27" s="8">
        <f t="shared" si="10"/>
        <v>0.53210301372713031</v>
      </c>
    </row>
    <row r="28" spans="1:14" x14ac:dyDescent="0.3">
      <c r="A28" s="3">
        <v>40</v>
      </c>
      <c r="B28" s="26">
        <f t="shared" si="11"/>
        <v>29.205773677400945</v>
      </c>
      <c r="C28" s="26">
        <f t="shared" si="12"/>
        <v>2.4338144731167453</v>
      </c>
    </row>
    <row r="29" spans="1:14" x14ac:dyDescent="0.3">
      <c r="A29" s="3">
        <v>45</v>
      </c>
      <c r="B29" s="26">
        <f t="shared" si="11"/>
        <v>24.507261082354731</v>
      </c>
      <c r="C29" s="26">
        <f t="shared" si="12"/>
        <v>2.0422717568628941</v>
      </c>
    </row>
    <row r="30" spans="1:14" x14ac:dyDescent="0.3">
      <c r="A30" s="3">
        <v>50</v>
      </c>
      <c r="B30" s="26">
        <f t="shared" si="11"/>
        <v>20.564815075312634</v>
      </c>
      <c r="C30" s="26">
        <f t="shared" si="12"/>
        <v>1.7137345896093861</v>
      </c>
      <c r="H30" s="4" t="s">
        <v>6</v>
      </c>
      <c r="I30" s="4" t="s">
        <v>6</v>
      </c>
      <c r="J30" s="4" t="s">
        <v>8</v>
      </c>
      <c r="K30" s="4" t="s">
        <v>8</v>
      </c>
      <c r="L30" s="4" t="s">
        <v>15</v>
      </c>
      <c r="M30" s="4" t="s">
        <v>15</v>
      </c>
      <c r="N30" s="4" t="s">
        <v>15</v>
      </c>
    </row>
    <row r="31" spans="1:14" ht="15" thickBot="1" x14ac:dyDescent="0.35">
      <c r="A31" s="3">
        <v>55</v>
      </c>
      <c r="B31" s="26">
        <f t="shared" si="11"/>
        <v>17.161697453216796</v>
      </c>
      <c r="C31" s="26">
        <f t="shared" si="12"/>
        <v>1.4301414544347331</v>
      </c>
      <c r="H31" s="5" t="s">
        <v>17</v>
      </c>
      <c r="I31" s="5" t="s">
        <v>5</v>
      </c>
      <c r="J31" s="5" t="s">
        <v>14</v>
      </c>
      <c r="K31" s="5" t="s">
        <v>16</v>
      </c>
      <c r="L31" s="5" t="s">
        <v>14</v>
      </c>
      <c r="M31" s="5" t="s">
        <v>16</v>
      </c>
      <c r="N31" s="5" t="s">
        <v>18</v>
      </c>
    </row>
    <row r="32" spans="1:14" x14ac:dyDescent="0.3">
      <c r="A32" s="3">
        <v>60</v>
      </c>
      <c r="B32" s="26">
        <f t="shared" si="11"/>
        <v>14.151535670446192</v>
      </c>
      <c r="C32" s="26">
        <f t="shared" si="12"/>
        <v>1.1792946392038492</v>
      </c>
      <c r="H32" s="3">
        <v>20</v>
      </c>
      <c r="I32" s="3">
        <v>10</v>
      </c>
      <c r="J32" s="6">
        <f t="shared" ref="J32:J39" si="13">((H32*12*2.54)^2*SIN(I32*0.01745)^2)/(2*$C$10)</f>
        <v>5.7091199544399522</v>
      </c>
      <c r="K32" s="7">
        <f>J32/2.54</f>
        <v>2.2476850214330519</v>
      </c>
      <c r="L32" s="7">
        <f t="shared" ref="L32:L39" si="14">(((H32*12*2.54)^2)/$C$10)*SIN(2*I32*0.01745)/2</f>
        <v>64.768526458005283</v>
      </c>
      <c r="M32" s="7">
        <f>L32/2.54</f>
        <v>25.499419865356412</v>
      </c>
      <c r="N32" s="8">
        <f>M32/12</f>
        <v>2.1249516554463677</v>
      </c>
    </row>
    <row r="33" spans="1:14" x14ac:dyDescent="0.3">
      <c r="A33" s="3">
        <v>65</v>
      </c>
      <c r="B33" s="26">
        <f t="shared" si="11"/>
        <v>11.430921726280408</v>
      </c>
      <c r="C33" s="26">
        <f t="shared" si="12"/>
        <v>0.95257681052336729</v>
      </c>
      <c r="H33" s="3">
        <v>20</v>
      </c>
      <c r="I33" s="3">
        <v>20</v>
      </c>
      <c r="J33" s="6">
        <f t="shared" si="13"/>
        <v>22.148132833812781</v>
      </c>
      <c r="K33" s="7">
        <f t="shared" ref="K33:K39" si="15">J33/2.54</f>
        <v>8.7197373361467641</v>
      </c>
      <c r="L33" s="7">
        <f t="shared" si="14"/>
        <v>121.72792993421211</v>
      </c>
      <c r="M33" s="7">
        <f t="shared" ref="M33:M39" si="16">L33/2.54</f>
        <v>47.924381863863033</v>
      </c>
      <c r="N33" s="8">
        <f t="shared" ref="N33:N39" si="17">M33/12</f>
        <v>3.9936984886552529</v>
      </c>
    </row>
    <row r="34" spans="1:14" x14ac:dyDescent="0.3">
      <c r="A34" s="3">
        <v>70</v>
      </c>
      <c r="B34" s="26">
        <f t="shared" si="11"/>
        <v>8.9236659868718071</v>
      </c>
      <c r="C34" s="26">
        <f t="shared" si="12"/>
        <v>0.74363883223931726</v>
      </c>
      <c r="H34" s="3">
        <v>20</v>
      </c>
      <c r="I34" s="3">
        <v>30</v>
      </c>
      <c r="J34" s="6">
        <f t="shared" si="13"/>
        <v>47.334991488140069</v>
      </c>
      <c r="K34" s="7">
        <f t="shared" si="15"/>
        <v>18.635823420527586</v>
      </c>
      <c r="L34" s="7">
        <f t="shared" si="14"/>
        <v>164.01063120394915</v>
      </c>
      <c r="M34" s="7">
        <f t="shared" si="16"/>
        <v>64.571114647224078</v>
      </c>
      <c r="N34" s="8">
        <f t="shared" si="17"/>
        <v>5.3809262206020065</v>
      </c>
    </row>
    <row r="35" spans="1:14" x14ac:dyDescent="0.3">
      <c r="A35" s="3">
        <v>75</v>
      </c>
      <c r="B35" s="26">
        <f t="shared" si="11"/>
        <v>6.5712400200151571</v>
      </c>
      <c r="C35" s="26">
        <f t="shared" si="12"/>
        <v>0.54760333500126313</v>
      </c>
      <c r="H35" s="3">
        <v>20</v>
      </c>
      <c r="I35" s="3">
        <v>40</v>
      </c>
      <c r="J35" s="6">
        <f t="shared" si="13"/>
        <v>78.232923467698981</v>
      </c>
      <c r="K35" s="7">
        <f t="shared" si="15"/>
        <v>30.800363569960229</v>
      </c>
      <c r="L35" s="7">
        <f t="shared" si="14"/>
        <v>186.51861689135063</v>
      </c>
      <c r="M35" s="7">
        <f t="shared" si="16"/>
        <v>73.432526335177414</v>
      </c>
      <c r="N35" s="8">
        <f t="shared" si="17"/>
        <v>6.1193771945981181</v>
      </c>
    </row>
    <row r="36" spans="1:14" x14ac:dyDescent="0.3">
      <c r="A36" s="3">
        <v>80</v>
      </c>
      <c r="B36" s="26">
        <f t="shared" si="11"/>
        <v>4.3266653177402903</v>
      </c>
      <c r="C36" s="26">
        <f t="shared" si="12"/>
        <v>0.36055544314502419</v>
      </c>
      <c r="H36" s="3">
        <v>20</v>
      </c>
      <c r="I36" s="3">
        <v>50</v>
      </c>
      <c r="J36" s="6">
        <f t="shared" si="13"/>
        <v>111.1165738214538</v>
      </c>
      <c r="K36" s="7">
        <f t="shared" si="15"/>
        <v>43.746682606871573</v>
      </c>
      <c r="L36" s="7">
        <f t="shared" si="14"/>
        <v>186.53810550534874</v>
      </c>
      <c r="M36" s="7">
        <f t="shared" si="16"/>
        <v>73.440199017853828</v>
      </c>
      <c r="N36" s="8">
        <f t="shared" si="17"/>
        <v>6.1200165848211521</v>
      </c>
    </row>
    <row r="37" spans="1:14" x14ac:dyDescent="0.3">
      <c r="A37" s="3"/>
      <c r="B37" s="3"/>
      <c r="H37" s="3">
        <v>20</v>
      </c>
      <c r="I37" s="3">
        <v>60</v>
      </c>
      <c r="J37" s="6">
        <f t="shared" si="13"/>
        <v>142.02117009361251</v>
      </c>
      <c r="K37" s="7">
        <f t="shared" si="15"/>
        <v>55.913846493548235</v>
      </c>
      <c r="L37" s="7">
        <f t="shared" si="14"/>
        <v>164.06674730924601</v>
      </c>
      <c r="M37" s="7">
        <f t="shared" si="16"/>
        <v>64.593207602065362</v>
      </c>
      <c r="N37" s="8">
        <f t="shared" si="17"/>
        <v>5.3827673001721132</v>
      </c>
    </row>
    <row r="38" spans="1:14" x14ac:dyDescent="0.3">
      <c r="A38" s="3"/>
      <c r="B38" s="3"/>
      <c r="H38" s="3">
        <v>20</v>
      </c>
      <c r="I38" s="3">
        <v>70</v>
      </c>
      <c r="J38" s="6">
        <f t="shared" si="13"/>
        <v>167.22055382125887</v>
      </c>
      <c r="K38" s="7">
        <f t="shared" si="15"/>
        <v>65.834863709157034</v>
      </c>
      <c r="L38" s="7">
        <f t="shared" si="14"/>
        <v>121.81390762780687</v>
      </c>
      <c r="M38" s="7">
        <f t="shared" si="16"/>
        <v>47.958231349530266</v>
      </c>
      <c r="N38" s="8">
        <f t="shared" si="17"/>
        <v>3.9965192791275221</v>
      </c>
    </row>
    <row r="39" spans="1:14" x14ac:dyDescent="0.3">
      <c r="A39" s="3"/>
      <c r="B39" s="3"/>
      <c r="H39" s="3">
        <v>20</v>
      </c>
      <c r="I39" s="3">
        <v>80</v>
      </c>
      <c r="J39" s="6">
        <f t="shared" si="13"/>
        <v>183.67644241010979</v>
      </c>
      <c r="K39" s="7">
        <f t="shared" si="15"/>
        <v>72.313560003980228</v>
      </c>
      <c r="L39" s="7">
        <f t="shared" si="14"/>
        <v>64.873999433611729</v>
      </c>
      <c r="M39" s="7">
        <f t="shared" si="16"/>
        <v>25.540944658902255</v>
      </c>
      <c r="N39" s="8">
        <f t="shared" si="17"/>
        <v>2.1284120549085213</v>
      </c>
    </row>
    <row r="40" spans="1:14" x14ac:dyDescent="0.3">
      <c r="A40" s="3"/>
      <c r="B40" s="3"/>
    </row>
    <row r="41" spans="1:14" x14ac:dyDescent="0.3">
      <c r="A41" s="3"/>
      <c r="B41" s="3"/>
    </row>
    <row r="42" spans="1:14" x14ac:dyDescent="0.3">
      <c r="A42" s="3"/>
      <c r="B42" s="3"/>
      <c r="H42" s="4" t="s">
        <v>6</v>
      </c>
      <c r="I42" s="4" t="s">
        <v>6</v>
      </c>
      <c r="J42" s="4" t="s">
        <v>8</v>
      </c>
      <c r="K42" s="4" t="s">
        <v>8</v>
      </c>
      <c r="L42" s="4" t="s">
        <v>15</v>
      </c>
      <c r="M42" s="4" t="s">
        <v>15</v>
      </c>
      <c r="N42" s="4" t="s">
        <v>15</v>
      </c>
    </row>
    <row r="43" spans="1:14" ht="15" thickBot="1" x14ac:dyDescent="0.35">
      <c r="A43" s="3"/>
      <c r="B43" s="3"/>
      <c r="H43" s="5" t="s">
        <v>17</v>
      </c>
      <c r="I43" s="5" t="s">
        <v>5</v>
      </c>
      <c r="J43" s="5" t="s">
        <v>14</v>
      </c>
      <c r="K43" s="5" t="s">
        <v>16</v>
      </c>
      <c r="L43" s="5" t="s">
        <v>14</v>
      </c>
      <c r="M43" s="5" t="s">
        <v>16</v>
      </c>
      <c r="N43" s="5" t="s">
        <v>18</v>
      </c>
    </row>
    <row r="44" spans="1:14" x14ac:dyDescent="0.3">
      <c r="A44" s="3"/>
      <c r="B44" s="3"/>
      <c r="H44" s="3">
        <v>30</v>
      </c>
      <c r="I44" s="3">
        <v>10</v>
      </c>
      <c r="J44" s="6">
        <f t="shared" ref="J44:J51" si="18">((H44*12*2.54)^2*SIN(I44*0.01745)^2)/(2*$C$10)</f>
        <v>12.84551989748989</v>
      </c>
      <c r="K44" s="7">
        <f>J44/2.54</f>
        <v>5.0572912982243663</v>
      </c>
      <c r="L44" s="7">
        <f t="shared" ref="L44:L51" si="19">(((H44*12*2.54)^2)/$C$10)*SIN(2*I44*0.01745)/2</f>
        <v>145.72918453051187</v>
      </c>
      <c r="M44" s="7">
        <f>L44/2.54</f>
        <v>57.373694697051917</v>
      </c>
      <c r="N44" s="8">
        <f>M44/12</f>
        <v>4.7811412247543261</v>
      </c>
    </row>
    <row r="45" spans="1:14" x14ac:dyDescent="0.3">
      <c r="A45" s="3"/>
      <c r="B45" s="3"/>
      <c r="H45" s="3">
        <v>30</v>
      </c>
      <c r="I45" s="3">
        <v>20</v>
      </c>
      <c r="J45" s="6">
        <f t="shared" si="18"/>
        <v>49.83329887607875</v>
      </c>
      <c r="K45" s="7">
        <f t="shared" ref="K45:K51" si="20">J45/2.54</f>
        <v>19.619409006330216</v>
      </c>
      <c r="L45" s="7">
        <f t="shared" si="19"/>
        <v>273.88784235197727</v>
      </c>
      <c r="M45" s="7">
        <f t="shared" ref="M45:M51" si="21">L45/2.54</f>
        <v>107.82985919369183</v>
      </c>
      <c r="N45" s="8">
        <f t="shared" ref="N45:N51" si="22">M45/12</f>
        <v>8.9858215994743187</v>
      </c>
    </row>
    <row r="46" spans="1:14" x14ac:dyDescent="0.3">
      <c r="A46" s="3"/>
      <c r="B46" s="3"/>
      <c r="H46" s="3">
        <v>30</v>
      </c>
      <c r="I46" s="3">
        <v>30</v>
      </c>
      <c r="J46" s="6">
        <f t="shared" si="18"/>
        <v>106.50373084831516</v>
      </c>
      <c r="K46" s="7">
        <f t="shared" si="20"/>
        <v>41.930602696187073</v>
      </c>
      <c r="L46" s="7">
        <f t="shared" si="19"/>
        <v>369.02392020888556</v>
      </c>
      <c r="M46" s="7">
        <f t="shared" si="21"/>
        <v>145.28500795625416</v>
      </c>
      <c r="N46" s="8">
        <f t="shared" si="22"/>
        <v>12.107083996354513</v>
      </c>
    </row>
    <row r="47" spans="1:14" x14ac:dyDescent="0.3">
      <c r="A47" s="3"/>
      <c r="B47" s="3"/>
      <c r="H47" s="3">
        <v>30</v>
      </c>
      <c r="I47" s="3">
        <v>40</v>
      </c>
      <c r="J47" s="6">
        <f t="shared" si="18"/>
        <v>176.02407780232269</v>
      </c>
      <c r="K47" s="7">
        <f t="shared" si="20"/>
        <v>69.300818032410504</v>
      </c>
      <c r="L47" s="7">
        <f t="shared" si="19"/>
        <v>419.66688800553896</v>
      </c>
      <c r="M47" s="7">
        <f t="shared" si="21"/>
        <v>165.2231842541492</v>
      </c>
      <c r="N47" s="8">
        <f t="shared" si="22"/>
        <v>13.768598687845767</v>
      </c>
    </row>
    <row r="48" spans="1:14" x14ac:dyDescent="0.3">
      <c r="A48" s="3"/>
      <c r="B48" s="3"/>
      <c r="H48" s="3">
        <v>30</v>
      </c>
      <c r="I48" s="3">
        <v>50</v>
      </c>
      <c r="J48" s="6">
        <f t="shared" si="18"/>
        <v>250.01229109827099</v>
      </c>
      <c r="K48" s="7">
        <f t="shared" si="20"/>
        <v>98.430035865461022</v>
      </c>
      <c r="L48" s="7">
        <f t="shared" si="19"/>
        <v>419.71073738703467</v>
      </c>
      <c r="M48" s="7">
        <f t="shared" si="21"/>
        <v>165.24044779017112</v>
      </c>
      <c r="N48" s="8">
        <f t="shared" si="22"/>
        <v>13.770037315847594</v>
      </c>
    </row>
    <row r="49" spans="1:14" x14ac:dyDescent="0.3">
      <c r="A49" s="3"/>
      <c r="B49" s="3"/>
      <c r="H49" s="3">
        <v>30</v>
      </c>
      <c r="I49" s="3">
        <v>60</v>
      </c>
      <c r="J49" s="6">
        <f t="shared" si="18"/>
        <v>319.54763271062814</v>
      </c>
      <c r="K49" s="7">
        <f t="shared" si="20"/>
        <v>125.80615461048352</v>
      </c>
      <c r="L49" s="7">
        <f t="shared" si="19"/>
        <v>369.15018144580347</v>
      </c>
      <c r="M49" s="7">
        <f t="shared" si="21"/>
        <v>145.33471710464704</v>
      </c>
      <c r="N49" s="8">
        <f t="shared" si="22"/>
        <v>12.111226425387253</v>
      </c>
    </row>
    <row r="50" spans="1:14" x14ac:dyDescent="0.3">
      <c r="H50" s="3">
        <v>30</v>
      </c>
      <c r="I50" s="3">
        <v>70</v>
      </c>
      <c r="J50" s="6">
        <f t="shared" si="18"/>
        <v>376.24624609783245</v>
      </c>
      <c r="K50" s="7">
        <f t="shared" si="20"/>
        <v>148.12844334560333</v>
      </c>
      <c r="L50" s="7">
        <f t="shared" si="19"/>
        <v>274.08129216256549</v>
      </c>
      <c r="M50" s="7">
        <f t="shared" si="21"/>
        <v>107.90602053644311</v>
      </c>
      <c r="N50" s="8">
        <f t="shared" si="22"/>
        <v>8.9921683780369257</v>
      </c>
    </row>
    <row r="51" spans="1:14" x14ac:dyDescent="0.3">
      <c r="H51" s="3">
        <v>30</v>
      </c>
      <c r="I51" s="3">
        <v>80</v>
      </c>
      <c r="J51" s="6">
        <f t="shared" si="18"/>
        <v>413.27199542274695</v>
      </c>
      <c r="K51" s="7">
        <f t="shared" si="20"/>
        <v>162.70551000895549</v>
      </c>
      <c r="L51" s="7">
        <f t="shared" si="19"/>
        <v>145.96649872562639</v>
      </c>
      <c r="M51" s="7">
        <f t="shared" si="21"/>
        <v>57.467125482530072</v>
      </c>
      <c r="N51" s="8">
        <f t="shared" si="22"/>
        <v>4.7889271235441724</v>
      </c>
    </row>
    <row r="54" spans="1:14" x14ac:dyDescent="0.3">
      <c r="H54" s="4" t="s">
        <v>6</v>
      </c>
      <c r="I54" s="4" t="s">
        <v>6</v>
      </c>
      <c r="J54" s="4" t="s">
        <v>8</v>
      </c>
      <c r="K54" s="4" t="s">
        <v>8</v>
      </c>
      <c r="L54" s="4" t="s">
        <v>15</v>
      </c>
      <c r="M54" s="4" t="s">
        <v>15</v>
      </c>
      <c r="N54" s="4" t="s">
        <v>15</v>
      </c>
    </row>
    <row r="55" spans="1:14" ht="15" thickBot="1" x14ac:dyDescent="0.35">
      <c r="H55" s="5" t="s">
        <v>17</v>
      </c>
      <c r="I55" s="5" t="s">
        <v>5</v>
      </c>
      <c r="J55" s="5" t="s">
        <v>14</v>
      </c>
      <c r="K55" s="5" t="s">
        <v>16</v>
      </c>
      <c r="L55" s="5" t="s">
        <v>14</v>
      </c>
      <c r="M55" s="5" t="s">
        <v>16</v>
      </c>
      <c r="N55" s="5" t="s">
        <v>18</v>
      </c>
    </row>
    <row r="56" spans="1:14" x14ac:dyDescent="0.3">
      <c r="H56" s="3">
        <v>40</v>
      </c>
      <c r="I56" s="3">
        <v>10</v>
      </c>
      <c r="J56" s="6">
        <f t="shared" ref="J56:J63" si="23">((H56*12*2.54)^2*SIN(I56*0.01745)^2)/(2*$C$10)</f>
        <v>22.836479817759809</v>
      </c>
      <c r="K56" s="7">
        <f>J56/2.54</f>
        <v>8.9907400857322077</v>
      </c>
      <c r="L56" s="7">
        <f t="shared" ref="L56:L63" si="24">(((H56*12*2.54)^2)/$C$10)*SIN(2*I56*0.01745)/2</f>
        <v>259.07410583202113</v>
      </c>
      <c r="M56" s="7">
        <f>L56/2.54</f>
        <v>101.99767946142565</v>
      </c>
      <c r="N56" s="8">
        <f>M56/12</f>
        <v>8.4998066217854706</v>
      </c>
    </row>
    <row r="57" spans="1:14" x14ac:dyDescent="0.3">
      <c r="H57" s="3">
        <v>40</v>
      </c>
      <c r="I57" s="3">
        <v>20</v>
      </c>
      <c r="J57" s="6">
        <f t="shared" si="23"/>
        <v>88.592531335251124</v>
      </c>
      <c r="K57" s="7">
        <f t="shared" ref="K57:K63" si="25">J57/2.54</f>
        <v>34.878949344587056</v>
      </c>
      <c r="L57" s="7">
        <f t="shared" si="24"/>
        <v>486.91171973684845</v>
      </c>
      <c r="M57" s="7">
        <f t="shared" ref="M57:M63" si="26">L57/2.54</f>
        <v>191.69752745545213</v>
      </c>
      <c r="N57" s="8">
        <f t="shared" ref="N57:N63" si="27">M57/12</f>
        <v>15.974793954621012</v>
      </c>
    </row>
    <row r="58" spans="1:14" x14ac:dyDescent="0.3">
      <c r="H58" s="3">
        <v>40</v>
      </c>
      <c r="I58" s="3">
        <v>30</v>
      </c>
      <c r="J58" s="6">
        <f t="shared" si="23"/>
        <v>189.33996595256028</v>
      </c>
      <c r="K58" s="7">
        <f t="shared" si="25"/>
        <v>74.543293682110345</v>
      </c>
      <c r="L58" s="7">
        <f t="shared" si="24"/>
        <v>656.04252481579658</v>
      </c>
      <c r="M58" s="7">
        <f t="shared" si="26"/>
        <v>258.28445858889631</v>
      </c>
      <c r="N58" s="8">
        <f t="shared" si="27"/>
        <v>21.523704882408026</v>
      </c>
    </row>
    <row r="59" spans="1:14" x14ac:dyDescent="0.3">
      <c r="H59" s="3">
        <v>40</v>
      </c>
      <c r="I59" s="3">
        <v>40</v>
      </c>
      <c r="J59" s="6">
        <f t="shared" si="23"/>
        <v>312.93169387079593</v>
      </c>
      <c r="K59" s="7">
        <f t="shared" si="25"/>
        <v>123.20145427984092</v>
      </c>
      <c r="L59" s="7">
        <f t="shared" si="24"/>
        <v>746.07446756540253</v>
      </c>
      <c r="M59" s="7">
        <f t="shared" si="26"/>
        <v>293.73010534070966</v>
      </c>
      <c r="N59" s="8">
        <f t="shared" si="27"/>
        <v>24.477508778392473</v>
      </c>
    </row>
    <row r="60" spans="1:14" x14ac:dyDescent="0.3">
      <c r="H60" s="3">
        <v>40</v>
      </c>
      <c r="I60" s="3">
        <v>50</v>
      </c>
      <c r="J60" s="6">
        <f t="shared" si="23"/>
        <v>444.46629528581519</v>
      </c>
      <c r="K60" s="7">
        <f t="shared" si="25"/>
        <v>174.98673042748629</v>
      </c>
      <c r="L60" s="7">
        <f t="shared" si="24"/>
        <v>746.15242202139495</v>
      </c>
      <c r="M60" s="7">
        <f t="shared" si="26"/>
        <v>293.76079607141531</v>
      </c>
      <c r="N60" s="8">
        <f t="shared" si="27"/>
        <v>24.480066339284608</v>
      </c>
    </row>
    <row r="61" spans="1:14" x14ac:dyDescent="0.3">
      <c r="H61" s="3">
        <v>40</v>
      </c>
      <c r="I61" s="3">
        <v>60</v>
      </c>
      <c r="J61" s="6">
        <f t="shared" si="23"/>
        <v>568.08468037445004</v>
      </c>
      <c r="K61" s="7">
        <f t="shared" si="25"/>
        <v>223.65538597419294</v>
      </c>
      <c r="L61" s="7">
        <f t="shared" si="24"/>
        <v>656.26698923698405</v>
      </c>
      <c r="M61" s="7">
        <f t="shared" si="26"/>
        <v>258.37283040826145</v>
      </c>
      <c r="N61" s="8">
        <f t="shared" si="27"/>
        <v>21.531069200688453</v>
      </c>
    </row>
    <row r="62" spans="1:14" x14ac:dyDescent="0.3">
      <c r="H62" s="3">
        <v>40</v>
      </c>
      <c r="I62" s="3">
        <v>70</v>
      </c>
      <c r="J62" s="6">
        <f t="shared" si="23"/>
        <v>668.8822152850355</v>
      </c>
      <c r="K62" s="7">
        <f t="shared" si="25"/>
        <v>263.33945483662814</v>
      </c>
      <c r="L62" s="7">
        <f t="shared" si="24"/>
        <v>487.25563051122748</v>
      </c>
      <c r="M62" s="7">
        <f t="shared" si="26"/>
        <v>191.83292539812106</v>
      </c>
      <c r="N62" s="8">
        <f t="shared" si="27"/>
        <v>15.986077116510089</v>
      </c>
    </row>
    <row r="63" spans="1:14" x14ac:dyDescent="0.3">
      <c r="H63" s="3">
        <v>40</v>
      </c>
      <c r="I63" s="3">
        <v>80</v>
      </c>
      <c r="J63" s="6">
        <f t="shared" si="23"/>
        <v>734.70576964043914</v>
      </c>
      <c r="K63" s="7">
        <f t="shared" si="25"/>
        <v>289.25424001592091</v>
      </c>
      <c r="L63" s="7">
        <f t="shared" si="24"/>
        <v>259.49599773444692</v>
      </c>
      <c r="M63" s="7">
        <f t="shared" si="26"/>
        <v>102.16377863560902</v>
      </c>
      <c r="N63" s="8">
        <f t="shared" si="27"/>
        <v>8.513648219634085</v>
      </c>
    </row>
    <row r="66" spans="8:14" x14ac:dyDescent="0.3">
      <c r="H66" s="4" t="s">
        <v>6</v>
      </c>
      <c r="I66" s="4" t="s">
        <v>6</v>
      </c>
      <c r="J66" s="4" t="s">
        <v>8</v>
      </c>
      <c r="K66" s="4" t="s">
        <v>8</v>
      </c>
      <c r="L66" s="4" t="s">
        <v>15</v>
      </c>
      <c r="M66" s="4" t="s">
        <v>15</v>
      </c>
      <c r="N66" s="4" t="s">
        <v>15</v>
      </c>
    </row>
    <row r="67" spans="8:14" ht="15" thickBot="1" x14ac:dyDescent="0.35">
      <c r="H67" s="5" t="s">
        <v>17</v>
      </c>
      <c r="I67" s="5" t="s">
        <v>5</v>
      </c>
      <c r="J67" s="5" t="s">
        <v>14</v>
      </c>
      <c r="K67" s="5" t="s">
        <v>16</v>
      </c>
      <c r="L67" s="5" t="s">
        <v>14</v>
      </c>
      <c r="M67" s="5" t="s">
        <v>16</v>
      </c>
      <c r="N67" s="5" t="s">
        <v>18</v>
      </c>
    </row>
    <row r="68" spans="8:14" x14ac:dyDescent="0.3">
      <c r="H68" s="3">
        <v>50</v>
      </c>
      <c r="I68" s="3">
        <v>10</v>
      </c>
      <c r="J68" s="6">
        <f t="shared" ref="J68:J75" si="28">((H68*12*2.54)^2*SIN(I68*0.01745)^2)/(2*$C$10)</f>
        <v>35.681999715249695</v>
      </c>
      <c r="K68" s="7">
        <f>J68/2.54</f>
        <v>14.048031383956573</v>
      </c>
      <c r="L68" s="7">
        <f t="shared" ref="L68:L75" si="29">(((H68*12*2.54)^2)/$C$10)*SIN(2*I68*0.01745)/2</f>
        <v>404.80329036253301</v>
      </c>
      <c r="M68" s="7">
        <f>L68/2.54</f>
        <v>159.37137415847755</v>
      </c>
      <c r="N68" s="8">
        <f>M68/12</f>
        <v>13.280947846539796</v>
      </c>
    </row>
    <row r="69" spans="8:14" x14ac:dyDescent="0.3">
      <c r="H69" s="3">
        <v>50</v>
      </c>
      <c r="I69" s="3">
        <v>20</v>
      </c>
      <c r="J69" s="6">
        <f t="shared" si="28"/>
        <v>138.42583021132987</v>
      </c>
      <c r="K69" s="7">
        <f t="shared" ref="K69:K75" si="30">J69/2.54</f>
        <v>54.498358350917272</v>
      </c>
      <c r="L69" s="7">
        <f t="shared" si="29"/>
        <v>760.79956208882572</v>
      </c>
      <c r="M69" s="7">
        <f t="shared" ref="M69:M75" si="31">L69/2.54</f>
        <v>299.52738664914398</v>
      </c>
      <c r="N69" s="8">
        <f t="shared" ref="N69:N75" si="32">M69/12</f>
        <v>24.96061555409533</v>
      </c>
    </row>
    <row r="70" spans="8:14" x14ac:dyDescent="0.3">
      <c r="H70" s="3">
        <v>50</v>
      </c>
      <c r="I70" s="3">
        <v>30</v>
      </c>
      <c r="J70" s="6">
        <f t="shared" si="28"/>
        <v>295.84369680087542</v>
      </c>
      <c r="K70" s="7">
        <f t="shared" si="30"/>
        <v>116.47389637829741</v>
      </c>
      <c r="L70" s="7">
        <f t="shared" si="29"/>
        <v>1025.066445024682</v>
      </c>
      <c r="M70" s="7">
        <f t="shared" si="31"/>
        <v>403.56946654515042</v>
      </c>
      <c r="N70" s="8">
        <f t="shared" si="32"/>
        <v>33.630788878762537</v>
      </c>
    </row>
    <row r="71" spans="8:14" x14ac:dyDescent="0.3">
      <c r="H71" s="3">
        <v>50</v>
      </c>
      <c r="I71" s="3">
        <v>40</v>
      </c>
      <c r="J71" s="6">
        <f t="shared" si="28"/>
        <v>488.95577167311859</v>
      </c>
      <c r="K71" s="7">
        <f t="shared" si="30"/>
        <v>192.50227231225142</v>
      </c>
      <c r="L71" s="7">
        <f t="shared" si="29"/>
        <v>1165.7413555709416</v>
      </c>
      <c r="M71" s="7">
        <f t="shared" si="31"/>
        <v>458.95328959485886</v>
      </c>
      <c r="N71" s="8">
        <f t="shared" si="32"/>
        <v>38.246107466238236</v>
      </c>
    </row>
    <row r="72" spans="8:14" x14ac:dyDescent="0.3">
      <c r="H72" s="3">
        <v>50</v>
      </c>
      <c r="I72" s="3">
        <v>50</v>
      </c>
      <c r="J72" s="6">
        <f t="shared" si="28"/>
        <v>694.47858638408616</v>
      </c>
      <c r="K72" s="7">
        <f t="shared" si="30"/>
        <v>273.41676629294733</v>
      </c>
      <c r="L72" s="7">
        <f t="shared" si="29"/>
        <v>1165.8631594084295</v>
      </c>
      <c r="M72" s="7">
        <f t="shared" si="31"/>
        <v>459.00124386158643</v>
      </c>
      <c r="N72" s="8">
        <f t="shared" si="32"/>
        <v>38.2501036551322</v>
      </c>
    </row>
    <row r="73" spans="8:14" x14ac:dyDescent="0.3">
      <c r="H73" s="3">
        <v>50</v>
      </c>
      <c r="I73" s="3">
        <v>60</v>
      </c>
      <c r="J73" s="6">
        <f t="shared" si="28"/>
        <v>887.63231308507829</v>
      </c>
      <c r="K73" s="7">
        <f t="shared" si="30"/>
        <v>349.46154058467647</v>
      </c>
      <c r="L73" s="7">
        <f t="shared" si="29"/>
        <v>1025.4171706827874</v>
      </c>
      <c r="M73" s="7">
        <f t="shared" si="31"/>
        <v>403.70754751290843</v>
      </c>
      <c r="N73" s="8">
        <f t="shared" si="32"/>
        <v>33.6422956260757</v>
      </c>
    </row>
    <row r="74" spans="8:14" x14ac:dyDescent="0.3">
      <c r="H74" s="3">
        <v>50</v>
      </c>
      <c r="I74" s="3">
        <v>70</v>
      </c>
      <c r="J74" s="6">
        <f t="shared" si="28"/>
        <v>1045.128461382868</v>
      </c>
      <c r="K74" s="7">
        <f t="shared" si="30"/>
        <v>411.46789818223147</v>
      </c>
      <c r="L74" s="7">
        <f t="shared" si="29"/>
        <v>761.33692267379297</v>
      </c>
      <c r="M74" s="7">
        <f t="shared" si="31"/>
        <v>299.73894593456419</v>
      </c>
      <c r="N74" s="8">
        <f t="shared" si="32"/>
        <v>24.978245494547014</v>
      </c>
    </row>
    <row r="75" spans="8:14" x14ac:dyDescent="0.3">
      <c r="H75" s="3">
        <v>50</v>
      </c>
      <c r="I75" s="3">
        <v>80</v>
      </c>
      <c r="J75" s="6">
        <f t="shared" si="28"/>
        <v>1147.9777650631861</v>
      </c>
      <c r="K75" s="7">
        <f t="shared" si="30"/>
        <v>451.95975002487643</v>
      </c>
      <c r="L75" s="7">
        <f t="shared" si="29"/>
        <v>405.46249646007334</v>
      </c>
      <c r="M75" s="7">
        <f t="shared" si="31"/>
        <v>159.63090411813911</v>
      </c>
      <c r="N75" s="8">
        <f t="shared" si="32"/>
        <v>13.30257534317826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0CE-2D6D-4E8B-AFF0-30C50443C3C8}">
  <dimension ref="A2:F7"/>
  <sheetViews>
    <sheetView workbookViewId="0">
      <selection activeCell="B2" sqref="B2:D7"/>
    </sheetView>
  </sheetViews>
  <sheetFormatPr defaultRowHeight="14.4" x14ac:dyDescent="0.3"/>
  <cols>
    <col min="2" max="2" width="19.5546875" bestFit="1" customWidth="1"/>
    <col min="4" max="4" width="6.77734375" customWidth="1"/>
    <col min="6" max="6" width="4.21875" customWidth="1"/>
  </cols>
  <sheetData>
    <row r="2" spans="1:6" x14ac:dyDescent="0.3">
      <c r="A2" s="11" t="s">
        <v>25</v>
      </c>
      <c r="B2" t="s">
        <v>19</v>
      </c>
      <c r="C2">
        <v>1</v>
      </c>
      <c r="D2" t="s">
        <v>4</v>
      </c>
      <c r="E2">
        <f>C2*2.54</f>
        <v>2.54</v>
      </c>
      <c r="F2" t="s">
        <v>9</v>
      </c>
    </row>
    <row r="3" spans="1:6" x14ac:dyDescent="0.3">
      <c r="A3" s="11" t="s">
        <v>25</v>
      </c>
      <c r="B3" t="s">
        <v>23</v>
      </c>
      <c r="C3">
        <v>8000</v>
      </c>
    </row>
    <row r="4" spans="1:6" x14ac:dyDescent="0.3">
      <c r="A4" s="11" t="s">
        <v>26</v>
      </c>
      <c r="B4" t="s">
        <v>22</v>
      </c>
      <c r="C4">
        <f>3.14*C2</f>
        <v>3.14</v>
      </c>
      <c r="D4" t="s">
        <v>4</v>
      </c>
      <c r="E4" s="10">
        <f>C4*2.54</f>
        <v>7.9756</v>
      </c>
      <c r="F4" t="s">
        <v>9</v>
      </c>
    </row>
    <row r="5" spans="1:6" x14ac:dyDescent="0.3">
      <c r="A5" s="11"/>
      <c r="E5" s="10"/>
    </row>
    <row r="6" spans="1:6" x14ac:dyDescent="0.3">
      <c r="A6" s="11" t="s">
        <v>26</v>
      </c>
      <c r="B6" t="s">
        <v>20</v>
      </c>
      <c r="C6">
        <f>C3*C4</f>
        <v>25120</v>
      </c>
      <c r="D6" t="s">
        <v>24</v>
      </c>
      <c r="E6" s="10"/>
    </row>
    <row r="7" spans="1:6" x14ac:dyDescent="0.3">
      <c r="A7" s="11" t="s">
        <v>26</v>
      </c>
      <c r="B7" t="s">
        <v>20</v>
      </c>
      <c r="C7" s="9">
        <f>C6/12/60</f>
        <v>34.888888888888893</v>
      </c>
      <c r="D7" t="s">
        <v>21</v>
      </c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Ballistics</vt:lpstr>
      <vt:lpstr>Ballistics2</vt:lpstr>
      <vt:lpstr>Ballistics3</vt:lpstr>
      <vt:lpstr>DistanceSpeedTesting</vt:lpstr>
      <vt:lpstr>Locations</vt:lpstr>
      <vt:lpstr>Plot Data</vt:lpstr>
      <vt:lpstr>Motor Speed Estimator</vt:lpstr>
      <vt:lpstr>Height</vt:lpstr>
      <vt:lpstr>Distance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Fuller</dc:creator>
  <cp:lastModifiedBy>Jonas Muhlenkamp</cp:lastModifiedBy>
  <dcterms:created xsi:type="dcterms:W3CDTF">2020-01-05T23:35:41Z</dcterms:created>
  <dcterms:modified xsi:type="dcterms:W3CDTF">2020-02-07T23:58:51Z</dcterms:modified>
</cp:coreProperties>
</file>