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fu\Documents\2020 FRC\"/>
    </mc:Choice>
  </mc:AlternateContent>
  <xr:revisionPtr revIDLastSave="0" documentId="13_ncr:1_{0D14CA52-EB12-4353-B9C4-4433DCB78A82}" xr6:coauthVersionLast="45" xr6:coauthVersionMax="45" xr10:uidLastSave="{00000000-0000-0000-0000-000000000000}"/>
  <bookViews>
    <workbookView xWindow="-98" yWindow="-98" windowWidth="20715" windowHeight="13276" firstSheet="1" activeTab="1" xr2:uid="{6505FE35-6DDB-4B85-B29F-6D89AE1E982C}"/>
  </bookViews>
  <sheets>
    <sheet name="Height" sheetId="2" r:id="rId1"/>
    <sheet name="Ballistics" sheetId="7" r:id="rId2"/>
    <sheet name="Distance" sheetId="3" r:id="rId3"/>
    <sheet name="Defense" sheetId="8" r:id="rId4"/>
    <sheet name="Locations" sheetId="9" r:id="rId5"/>
    <sheet name="Plot Data" sheetId="1" r:id="rId6"/>
    <sheet name="Motor Speed Estimator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9" l="1"/>
  <c r="I8" i="9"/>
  <c r="I12" i="9"/>
  <c r="I11" i="9"/>
  <c r="I6" i="9"/>
  <c r="I7" i="9"/>
  <c r="B25" i="1"/>
  <c r="C25" i="1" s="1"/>
  <c r="B26" i="1"/>
  <c r="C26" i="1" s="1"/>
  <c r="B27" i="1"/>
  <c r="B28" i="1"/>
  <c r="B29" i="1"/>
  <c r="B30" i="1"/>
  <c r="B31" i="1"/>
  <c r="B32" i="1"/>
  <c r="B33" i="1"/>
  <c r="B34" i="1"/>
  <c r="B35" i="1"/>
  <c r="B36" i="1"/>
  <c r="B24" i="1"/>
  <c r="C24" i="1" s="1"/>
  <c r="C27" i="1"/>
  <c r="C28" i="1" l="1"/>
  <c r="C32" i="1"/>
  <c r="C29" i="1"/>
  <c r="C33" i="1" s="1"/>
  <c r="C31" i="1"/>
  <c r="C36" i="1" s="1"/>
  <c r="C30" i="1"/>
  <c r="C35" i="1" s="1"/>
  <c r="C34" i="1" l="1"/>
  <c r="B14" i="7"/>
  <c r="B17" i="7" s="1"/>
  <c r="B18" i="7" s="1"/>
  <c r="B22" i="7"/>
  <c r="B6" i="7"/>
  <c r="B10" i="7" s="1"/>
  <c r="B32" i="7" s="1"/>
  <c r="B34" i="7" s="1"/>
  <c r="B35" i="7" s="1"/>
  <c r="B37" i="7" l="1"/>
  <c r="L12" i="7"/>
  <c r="L16" i="7"/>
  <c r="L20" i="7"/>
  <c r="L24" i="7"/>
  <c r="L28" i="7"/>
  <c r="L32" i="7"/>
  <c r="L36" i="7"/>
  <c r="L40" i="7"/>
  <c r="L8" i="7"/>
  <c r="L22" i="7"/>
  <c r="L30" i="7"/>
  <c r="L38" i="7"/>
  <c r="L11" i="7"/>
  <c r="L19" i="7"/>
  <c r="L31" i="7"/>
  <c r="L39" i="7"/>
  <c r="L9" i="7"/>
  <c r="L13" i="7"/>
  <c r="L17" i="7"/>
  <c r="L21" i="7"/>
  <c r="L25" i="7"/>
  <c r="L29" i="7"/>
  <c r="L33" i="7"/>
  <c r="L37" i="7"/>
  <c r="L41" i="7"/>
  <c r="L10" i="7"/>
  <c r="L14" i="7"/>
  <c r="L18" i="7"/>
  <c r="L26" i="7"/>
  <c r="L34" i="7"/>
  <c r="L42" i="7"/>
  <c r="L15" i="7"/>
  <c r="L23" i="7"/>
  <c r="L27" i="7"/>
  <c r="L35" i="7"/>
  <c r="L43" i="7"/>
  <c r="H43" i="7"/>
  <c r="I43" i="7" s="1"/>
  <c r="H42" i="7"/>
  <c r="I42" i="7" s="1"/>
  <c r="H30" i="7"/>
  <c r="I30" i="7" s="1"/>
  <c r="H32" i="7"/>
  <c r="I32" i="7" s="1"/>
  <c r="H34" i="7"/>
  <c r="I34" i="7" s="1"/>
  <c r="H36" i="7"/>
  <c r="I36" i="7" s="1"/>
  <c r="H38" i="7"/>
  <c r="I38" i="7" s="1"/>
  <c r="H40" i="7"/>
  <c r="I40" i="7" s="1"/>
  <c r="J11" i="7"/>
  <c r="K11" i="7" s="1"/>
  <c r="J15" i="7"/>
  <c r="K15" i="7" s="1"/>
  <c r="J19" i="7"/>
  <c r="K19" i="7" s="1"/>
  <c r="J23" i="7"/>
  <c r="K23" i="7" s="1"/>
  <c r="J27" i="7"/>
  <c r="K27" i="7" s="1"/>
  <c r="H10" i="7"/>
  <c r="I10" i="7" s="1"/>
  <c r="H14" i="7"/>
  <c r="I14" i="7" s="1"/>
  <c r="H18" i="7"/>
  <c r="I18" i="7" s="1"/>
  <c r="H22" i="7"/>
  <c r="I22" i="7" s="1"/>
  <c r="H26" i="7"/>
  <c r="I26" i="7" s="1"/>
  <c r="H16" i="7"/>
  <c r="I16" i="7" s="1"/>
  <c r="H28" i="7"/>
  <c r="I28" i="7" s="1"/>
  <c r="J33" i="7"/>
  <c r="K33" i="7" s="1"/>
  <c r="J10" i="7"/>
  <c r="K10" i="7" s="1"/>
  <c r="J22" i="7"/>
  <c r="K22" i="7" s="1"/>
  <c r="H13" i="7"/>
  <c r="I13" i="7" s="1"/>
  <c r="H25" i="7"/>
  <c r="I25" i="7" s="1"/>
  <c r="J43" i="7"/>
  <c r="K43" i="7" s="1"/>
  <c r="J42" i="7"/>
  <c r="K42" i="7" s="1"/>
  <c r="J30" i="7"/>
  <c r="K30" i="7" s="1"/>
  <c r="J32" i="7"/>
  <c r="K32" i="7" s="1"/>
  <c r="J34" i="7"/>
  <c r="K34" i="7" s="1"/>
  <c r="J36" i="7"/>
  <c r="K36" i="7" s="1"/>
  <c r="J38" i="7"/>
  <c r="K38" i="7" s="1"/>
  <c r="J40" i="7"/>
  <c r="K40" i="7" s="1"/>
  <c r="J12" i="7"/>
  <c r="K12" i="7" s="1"/>
  <c r="J16" i="7"/>
  <c r="K16" i="7" s="1"/>
  <c r="J20" i="7"/>
  <c r="K20" i="7" s="1"/>
  <c r="J24" i="7"/>
  <c r="K24" i="7" s="1"/>
  <c r="J28" i="7"/>
  <c r="K28" i="7" s="1"/>
  <c r="H11" i="7"/>
  <c r="I11" i="7" s="1"/>
  <c r="H15" i="7"/>
  <c r="I15" i="7" s="1"/>
  <c r="H19" i="7"/>
  <c r="I19" i="7" s="1"/>
  <c r="H23" i="7"/>
  <c r="I23" i="7" s="1"/>
  <c r="H27" i="7"/>
  <c r="I27" i="7" s="1"/>
  <c r="H12" i="7"/>
  <c r="I12" i="7" s="1"/>
  <c r="H20" i="7"/>
  <c r="I20" i="7" s="1"/>
  <c r="J41" i="7"/>
  <c r="K41" i="7" s="1"/>
  <c r="J35" i="7"/>
  <c r="K35" i="7" s="1"/>
  <c r="J39" i="7"/>
  <c r="K39" i="7" s="1"/>
  <c r="J18" i="7"/>
  <c r="K18" i="7" s="1"/>
  <c r="H9" i="7"/>
  <c r="I9" i="7" s="1"/>
  <c r="H17" i="7"/>
  <c r="I17" i="7" s="1"/>
  <c r="H8" i="7"/>
  <c r="I8" i="7" s="1"/>
  <c r="H41" i="7"/>
  <c r="I41" i="7" s="1"/>
  <c r="H29" i="7"/>
  <c r="I29" i="7" s="1"/>
  <c r="H31" i="7"/>
  <c r="I31" i="7" s="1"/>
  <c r="H33" i="7"/>
  <c r="I33" i="7" s="1"/>
  <c r="H35" i="7"/>
  <c r="I35" i="7" s="1"/>
  <c r="H37" i="7"/>
  <c r="I37" i="7" s="1"/>
  <c r="H39" i="7"/>
  <c r="I39" i="7" s="1"/>
  <c r="J9" i="7"/>
  <c r="K9" i="7" s="1"/>
  <c r="J13" i="7"/>
  <c r="K13" i="7" s="1"/>
  <c r="J17" i="7"/>
  <c r="K17" i="7" s="1"/>
  <c r="J21" i="7"/>
  <c r="K21" i="7" s="1"/>
  <c r="J25" i="7"/>
  <c r="K25" i="7" s="1"/>
  <c r="J8" i="7"/>
  <c r="K8" i="7" s="1"/>
  <c r="H24" i="7"/>
  <c r="I24" i="7" s="1"/>
  <c r="J29" i="7"/>
  <c r="K29" i="7" s="1"/>
  <c r="J31" i="7"/>
  <c r="K31" i="7" s="1"/>
  <c r="J37" i="7"/>
  <c r="K37" i="7" s="1"/>
  <c r="J14" i="7"/>
  <c r="K14" i="7" s="1"/>
  <c r="J26" i="7"/>
  <c r="K26" i="7" s="1"/>
  <c r="H21" i="7"/>
  <c r="I21" i="7" s="1"/>
  <c r="C4" i="6"/>
  <c r="C6" i="6" s="1"/>
  <c r="C7" i="6" s="1"/>
  <c r="E2" i="6"/>
  <c r="E4" i="6" l="1"/>
  <c r="K4" i="1"/>
  <c r="C10" i="1"/>
  <c r="L74" i="1" s="1"/>
  <c r="M74" i="1" s="1"/>
  <c r="N74" i="1" s="1"/>
  <c r="E7" i="1"/>
  <c r="E4" i="1"/>
  <c r="E5" i="1" s="1"/>
  <c r="L11" i="1" l="1"/>
  <c r="M11" i="1" s="1"/>
  <c r="N11" i="1" s="1"/>
  <c r="L23" i="1"/>
  <c r="M23" i="1" s="1"/>
  <c r="N23" i="1" s="1"/>
  <c r="J10" i="1"/>
  <c r="K10" i="1" s="1"/>
  <c r="J22" i="1"/>
  <c r="K22" i="1" s="1"/>
  <c r="J33" i="1"/>
  <c r="K33" i="1" s="1"/>
  <c r="L38" i="1"/>
  <c r="M38" i="1" s="1"/>
  <c r="N38" i="1" s="1"/>
  <c r="L44" i="1"/>
  <c r="M44" i="1" s="1"/>
  <c r="N44" i="1" s="1"/>
  <c r="J46" i="1"/>
  <c r="K46" i="1" s="1"/>
  <c r="L56" i="1"/>
  <c r="M56" i="1" s="1"/>
  <c r="N56" i="1" s="1"/>
  <c r="L59" i="1"/>
  <c r="M59" i="1" s="1"/>
  <c r="N59" i="1" s="1"/>
  <c r="L61" i="1"/>
  <c r="M61" i="1" s="1"/>
  <c r="N61" i="1" s="1"/>
  <c r="L63" i="1"/>
  <c r="M63" i="1" s="1"/>
  <c r="N63" i="1" s="1"/>
  <c r="L69" i="1"/>
  <c r="M69" i="1" s="1"/>
  <c r="N69" i="1" s="1"/>
  <c r="L71" i="1"/>
  <c r="M71" i="1" s="1"/>
  <c r="N71" i="1" s="1"/>
  <c r="J75" i="1"/>
  <c r="K75" i="1" s="1"/>
  <c r="L14" i="1"/>
  <c r="M14" i="1" s="1"/>
  <c r="N14" i="1" s="1"/>
  <c r="L10" i="1"/>
  <c r="M10" i="1" s="1"/>
  <c r="N10" i="1" s="1"/>
  <c r="L21" i="1"/>
  <c r="M21" i="1" s="1"/>
  <c r="N21" i="1" s="1"/>
  <c r="L24" i="1"/>
  <c r="M24" i="1" s="1"/>
  <c r="N24" i="1" s="1"/>
  <c r="L27" i="1"/>
  <c r="M27" i="1" s="1"/>
  <c r="N27" i="1" s="1"/>
  <c r="J13" i="1"/>
  <c r="K13" i="1" s="1"/>
  <c r="J9" i="1"/>
  <c r="K9" i="1" s="1"/>
  <c r="J25" i="1"/>
  <c r="K25" i="1" s="1"/>
  <c r="J21" i="1"/>
  <c r="K21" i="1" s="1"/>
  <c r="L33" i="1"/>
  <c r="M33" i="1" s="1"/>
  <c r="N33" i="1" s="1"/>
  <c r="J35" i="1"/>
  <c r="K35" i="1" s="1"/>
  <c r="J37" i="1"/>
  <c r="K37" i="1" s="1"/>
  <c r="J39" i="1"/>
  <c r="K39" i="1" s="1"/>
  <c r="J45" i="1"/>
  <c r="K45" i="1" s="1"/>
  <c r="L46" i="1"/>
  <c r="M46" i="1" s="1"/>
  <c r="N46" i="1" s="1"/>
  <c r="J48" i="1"/>
  <c r="K48" i="1" s="1"/>
  <c r="J57" i="1"/>
  <c r="K57" i="1" s="1"/>
  <c r="L58" i="1"/>
  <c r="M58" i="1" s="1"/>
  <c r="N58" i="1" s="1"/>
  <c r="J60" i="1"/>
  <c r="K60" i="1" s="1"/>
  <c r="J62" i="1"/>
  <c r="K62" i="1" s="1"/>
  <c r="J68" i="1"/>
  <c r="K68" i="1" s="1"/>
  <c r="J70" i="1"/>
  <c r="K70" i="1" s="1"/>
  <c r="J72" i="1"/>
  <c r="K72" i="1" s="1"/>
  <c r="L73" i="1"/>
  <c r="M73" i="1" s="1"/>
  <c r="N73" i="1" s="1"/>
  <c r="L75" i="1"/>
  <c r="M75" i="1" s="1"/>
  <c r="N75" i="1" s="1"/>
  <c r="L15" i="1"/>
  <c r="M15" i="1" s="1"/>
  <c r="N15" i="1" s="1"/>
  <c r="L26" i="1"/>
  <c r="M26" i="1" s="1"/>
  <c r="N26" i="1" s="1"/>
  <c r="J14" i="1"/>
  <c r="K14" i="1" s="1"/>
  <c r="J26" i="1"/>
  <c r="K26" i="1" s="1"/>
  <c r="L34" i="1"/>
  <c r="M34" i="1" s="1"/>
  <c r="N34" i="1" s="1"/>
  <c r="L36" i="1"/>
  <c r="M36" i="1" s="1"/>
  <c r="N36" i="1" s="1"/>
  <c r="L47" i="1"/>
  <c r="M47" i="1" s="1"/>
  <c r="N47" i="1" s="1"/>
  <c r="L49" i="1"/>
  <c r="M49" i="1" s="1"/>
  <c r="N49" i="1" s="1"/>
  <c r="J51" i="1"/>
  <c r="K51" i="1" s="1"/>
  <c r="J58" i="1"/>
  <c r="K58" i="1" s="1"/>
  <c r="L13" i="1"/>
  <c r="M13" i="1" s="1"/>
  <c r="N13" i="1" s="1"/>
  <c r="L9" i="1"/>
  <c r="M9" i="1" s="1"/>
  <c r="N9" i="1" s="1"/>
  <c r="J8" i="1"/>
  <c r="K8" i="1" s="1"/>
  <c r="J12" i="1"/>
  <c r="K12" i="1" s="1"/>
  <c r="J20" i="1"/>
  <c r="K20" i="1" s="1"/>
  <c r="J24" i="1"/>
  <c r="K24" i="1" s="1"/>
  <c r="J32" i="1"/>
  <c r="K32" i="1" s="1"/>
  <c r="L35" i="1"/>
  <c r="M35" i="1" s="1"/>
  <c r="N35" i="1" s="1"/>
  <c r="L37" i="1"/>
  <c r="M37" i="1" s="1"/>
  <c r="N37" i="1" s="1"/>
  <c r="L39" i="1"/>
  <c r="M39" i="1" s="1"/>
  <c r="N39" i="1" s="1"/>
  <c r="L45" i="1"/>
  <c r="M45" i="1" s="1"/>
  <c r="N45" i="1" s="1"/>
  <c r="J47" i="1"/>
  <c r="K47" i="1" s="1"/>
  <c r="L48" i="1"/>
  <c r="M48" i="1" s="1"/>
  <c r="N48" i="1" s="1"/>
  <c r="J50" i="1"/>
  <c r="K50" i="1" s="1"/>
  <c r="L51" i="1"/>
  <c r="M51" i="1" s="1"/>
  <c r="N51" i="1" s="1"/>
  <c r="L57" i="1"/>
  <c r="M57" i="1" s="1"/>
  <c r="N57" i="1" s="1"/>
  <c r="J59" i="1"/>
  <c r="K59" i="1" s="1"/>
  <c r="L60" i="1"/>
  <c r="M60" i="1" s="1"/>
  <c r="N60" i="1" s="1"/>
  <c r="L62" i="1"/>
  <c r="M62" i="1" s="1"/>
  <c r="N62" i="1" s="1"/>
  <c r="L68" i="1"/>
  <c r="M68" i="1" s="1"/>
  <c r="N68" i="1" s="1"/>
  <c r="L70" i="1"/>
  <c r="M70" i="1" s="1"/>
  <c r="N70" i="1" s="1"/>
  <c r="L72" i="1"/>
  <c r="M72" i="1" s="1"/>
  <c r="N72" i="1" s="1"/>
  <c r="J74" i="1"/>
  <c r="K74" i="1" s="1"/>
  <c r="L8" i="1"/>
  <c r="M8" i="1" s="1"/>
  <c r="N8" i="1" s="1"/>
  <c r="L12" i="1"/>
  <c r="M12" i="1" s="1"/>
  <c r="N12" i="1" s="1"/>
  <c r="L20" i="1"/>
  <c r="M20" i="1" s="1"/>
  <c r="N20" i="1" s="1"/>
  <c r="L22" i="1"/>
  <c r="M22" i="1" s="1"/>
  <c r="N22" i="1" s="1"/>
  <c r="L25" i="1"/>
  <c r="M25" i="1" s="1"/>
  <c r="N25" i="1" s="1"/>
  <c r="J15" i="1"/>
  <c r="K15" i="1" s="1"/>
  <c r="J11" i="1"/>
  <c r="K11" i="1" s="1"/>
  <c r="J27" i="1"/>
  <c r="K27" i="1" s="1"/>
  <c r="J23" i="1"/>
  <c r="K23" i="1" s="1"/>
  <c r="L32" i="1"/>
  <c r="M32" i="1" s="1"/>
  <c r="N32" i="1" s="1"/>
  <c r="J34" i="1"/>
  <c r="K34" i="1" s="1"/>
  <c r="J36" i="1"/>
  <c r="K36" i="1" s="1"/>
  <c r="J38" i="1"/>
  <c r="K38" i="1" s="1"/>
  <c r="J44" i="1"/>
  <c r="K44" i="1" s="1"/>
  <c r="J49" i="1"/>
  <c r="K49" i="1" s="1"/>
  <c r="L50" i="1"/>
  <c r="M50" i="1" s="1"/>
  <c r="N50" i="1" s="1"/>
  <c r="J56" i="1"/>
  <c r="K56" i="1" s="1"/>
  <c r="J61" i="1"/>
  <c r="K61" i="1" s="1"/>
  <c r="J63" i="1"/>
  <c r="K63" i="1" s="1"/>
  <c r="J69" i="1"/>
  <c r="K69" i="1" s="1"/>
  <c r="J71" i="1"/>
  <c r="K71" i="1" s="1"/>
  <c r="J73" i="1"/>
  <c r="K73" i="1" s="1"/>
  <c r="P9" i="1"/>
  <c r="P13" i="1"/>
  <c r="P10" i="1"/>
  <c r="P14" i="1"/>
  <c r="P11" i="1"/>
  <c r="P15" i="1"/>
  <c r="P12" i="1"/>
  <c r="P8" i="1"/>
  <c r="I4" i="1"/>
</calcChain>
</file>

<file path=xl/sharedStrings.xml><?xml version="1.0" encoding="utf-8"?>
<sst xmlns="http://schemas.openxmlformats.org/spreadsheetml/2006/main" count="196" uniqueCount="61">
  <si>
    <t>2020 FRC - Infinite Recharge</t>
  </si>
  <si>
    <t>Power Cell to Power Port Ballistics</t>
  </si>
  <si>
    <t>Target height</t>
  </si>
  <si>
    <t>ft</t>
  </si>
  <si>
    <t>in</t>
  </si>
  <si>
    <t>Angle</t>
  </si>
  <si>
    <t>Launch</t>
  </si>
  <si>
    <t>Shooter height</t>
  </si>
  <si>
    <t>Max</t>
  </si>
  <si>
    <t>cm</t>
  </si>
  <si>
    <t>Port height</t>
  </si>
  <si>
    <t>Gravity</t>
  </si>
  <si>
    <t>m/s2</t>
  </si>
  <si>
    <t>cm/s2</t>
  </si>
  <si>
    <t>Height (cm)</t>
  </si>
  <si>
    <t>Distance To</t>
  </si>
  <si>
    <t>Height (in)</t>
  </si>
  <si>
    <t>Velocity (ft/s)</t>
  </si>
  <si>
    <t>Height (ft)</t>
  </si>
  <si>
    <t>Wheel Dia</t>
  </si>
  <si>
    <t xml:space="preserve">Wheel Surface Speed </t>
  </si>
  <si>
    <t>ft/sec</t>
  </si>
  <si>
    <t>Wheel Circumference</t>
  </si>
  <si>
    <t>Motor Speed (rpm)</t>
  </si>
  <si>
    <t>in/min</t>
  </si>
  <si>
    <t>variable</t>
  </si>
  <si>
    <t>calculation</t>
  </si>
  <si>
    <t>ft/s^2</t>
  </si>
  <si>
    <t>in/s^2</t>
  </si>
  <si>
    <t>Accel of Gravity</t>
  </si>
  <si>
    <t>Time (s)</t>
  </si>
  <si>
    <t>Distance (in)</t>
  </si>
  <si>
    <t>Launch Angle</t>
  </si>
  <si>
    <t>Wheel Ball Slip Factor</t>
  </si>
  <si>
    <t>Distance (ft)</t>
  </si>
  <si>
    <t>Targeting Calcs</t>
  </si>
  <si>
    <t>Distance to Target</t>
  </si>
  <si>
    <t>Launch Velocity</t>
  </si>
  <si>
    <t>in/s</t>
  </si>
  <si>
    <t>ft/s</t>
  </si>
  <si>
    <t>Motor Speed</t>
  </si>
  <si>
    <t>rpm</t>
  </si>
  <si>
    <t>degrees</t>
  </si>
  <si>
    <t>Defense Against Us</t>
  </si>
  <si>
    <t>Distance</t>
  </si>
  <si>
    <t>Safe</t>
  </si>
  <si>
    <t>Max Robot Height</t>
  </si>
  <si>
    <t>Ball Diameter</t>
  </si>
  <si>
    <t>This sheet calculates the distance and angle from various shooting locations to the target</t>
  </si>
  <si>
    <t>Center of target to edge of field</t>
  </si>
  <si>
    <t>Initiation line to front of target</t>
  </si>
  <si>
    <t>Front of trench to front of target</t>
  </si>
  <si>
    <t>Robot Dimensions</t>
  </si>
  <si>
    <t>Width</t>
  </si>
  <si>
    <t>Length</t>
  </si>
  <si>
    <t>Field Dimensions</t>
  </si>
  <si>
    <t>Shooting Locations</t>
  </si>
  <si>
    <t>Back edge of control panel to target</t>
  </si>
  <si>
    <t>Control panel width</t>
  </si>
  <si>
    <t>Front of Control Panel</t>
  </si>
  <si>
    <t>Front of Trench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</si>
</sst>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right"/>
    </xf>
    <xf numFmtId="0" fontId="0" fillId="2" borderId="0" xfId="0" applyFill="1"/>
    <xf numFmtId="0" fontId="4" fillId="0" borderId="0" xfId="0" applyFont="1"/>
    <xf numFmtId="0" fontId="1" fillId="0" borderId="0" xfId="0" applyFont="1" applyAlignment="1">
      <alignment horizontal="left"/>
    </xf>
    <xf numFmtId="2" fontId="4" fillId="0" borderId="0" xfId="0" applyNumberFormat="1" applyFont="1"/>
    <xf numFmtId="0" fontId="0" fillId="2" borderId="0" xfId="0" applyFill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2" xfId="0" applyFont="1" applyBorder="1"/>
    <xf numFmtId="0" fontId="1" fillId="0" borderId="4" xfId="0" applyFont="1" applyBorder="1"/>
    <xf numFmtId="0" fontId="0" fillId="0" borderId="6" xfId="0" applyBorder="1"/>
    <xf numFmtId="0" fontId="0" fillId="2" borderId="0" xfId="0" applyFill="1" applyBorder="1"/>
    <xf numFmtId="0" fontId="4" fillId="0" borderId="0" xfId="0" applyFont="1" applyBorder="1"/>
    <xf numFmtId="0" fontId="4" fillId="0" borderId="5" xfId="0" applyFont="1" applyBorder="1"/>
    <xf numFmtId="165" fontId="0" fillId="0" borderId="0" xfId="0" applyNumberFormat="1" applyAlignment="1">
      <alignment horizontal="center"/>
    </xf>
    <xf numFmtId="0" fontId="5" fillId="0" borderId="0" xfId="0" applyFont="1"/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Cell - Max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 ft/s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'Plot Data'!$I$20:$I$27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Data'!$K$20:$K$27</c:f>
              <c:numCache>
                <c:formatCode>0.00</c:formatCode>
                <c:ptCount val="8"/>
                <c:pt idx="0">
                  <c:v>0.56192125535826298</c:v>
                </c:pt>
                <c:pt idx="1">
                  <c:v>2.179934334036691</c:v>
                </c:pt>
                <c:pt idx="2">
                  <c:v>4.6589558551318966</c:v>
                </c:pt>
                <c:pt idx="3">
                  <c:v>7.7000908924900573</c:v>
                </c:pt>
                <c:pt idx="4">
                  <c:v>10.936670651717893</c:v>
                </c:pt>
                <c:pt idx="5">
                  <c:v>13.978461623387059</c:v>
                </c:pt>
                <c:pt idx="6">
                  <c:v>16.458715927289258</c:v>
                </c:pt>
                <c:pt idx="7">
                  <c:v>18.078390000995057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A-4EA3-AD3B-037463C8F43C}"/>
            </c:ext>
          </c:extLst>
        </c:ser>
        <c:ser>
          <c:idx val="0"/>
          <c:order val="1"/>
          <c:tx>
            <c:v>20 ft/s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Data'!$I$32:$I$39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Data'!$K$32:$K$39</c:f>
              <c:numCache>
                <c:formatCode>0.00</c:formatCode>
                <c:ptCount val="8"/>
                <c:pt idx="0">
                  <c:v>2.2476850214330519</c:v>
                </c:pt>
                <c:pt idx="1">
                  <c:v>8.7197373361467641</c:v>
                </c:pt>
                <c:pt idx="2">
                  <c:v>18.635823420527586</c:v>
                </c:pt>
                <c:pt idx="3">
                  <c:v>30.800363569960229</c:v>
                </c:pt>
                <c:pt idx="4">
                  <c:v>43.746682606871573</c:v>
                </c:pt>
                <c:pt idx="5">
                  <c:v>55.913846493548235</c:v>
                </c:pt>
                <c:pt idx="6">
                  <c:v>65.834863709157034</c:v>
                </c:pt>
                <c:pt idx="7">
                  <c:v>72.313560003980228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A-4EA3-AD3B-037463C8F43C}"/>
            </c:ext>
          </c:extLst>
        </c:ser>
        <c:ser>
          <c:idx val="2"/>
          <c:order val="2"/>
          <c:tx>
            <c:v>30 ft/s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 Data'!$I$44:$I$51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Data'!$K$44:$K$51</c:f>
              <c:numCache>
                <c:formatCode>0.00</c:formatCode>
                <c:ptCount val="8"/>
                <c:pt idx="0">
                  <c:v>5.0572912982243663</c:v>
                </c:pt>
                <c:pt idx="1">
                  <c:v>19.619409006330216</c:v>
                </c:pt>
                <c:pt idx="2">
                  <c:v>41.930602696187073</c:v>
                </c:pt>
                <c:pt idx="3">
                  <c:v>69.300818032410504</c:v>
                </c:pt>
                <c:pt idx="4">
                  <c:v>98.430035865461022</c:v>
                </c:pt>
                <c:pt idx="5">
                  <c:v>125.80615461048352</c:v>
                </c:pt>
                <c:pt idx="6">
                  <c:v>148.12844334560333</c:v>
                </c:pt>
                <c:pt idx="7">
                  <c:v>162.70551000895549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A-4EA3-AD3B-037463C8F43C}"/>
            </c:ext>
          </c:extLst>
        </c:ser>
        <c:ser>
          <c:idx val="3"/>
          <c:order val="3"/>
          <c:tx>
            <c:v>40 ft/s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'Plot Data'!$I$56:$I$63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Data'!$K$56:$K$63</c:f>
              <c:numCache>
                <c:formatCode>0.00</c:formatCode>
                <c:ptCount val="8"/>
                <c:pt idx="0">
                  <c:v>8.9907400857322077</c:v>
                </c:pt>
                <c:pt idx="1">
                  <c:v>34.878949344587056</c:v>
                </c:pt>
                <c:pt idx="2">
                  <c:v>74.543293682110345</c:v>
                </c:pt>
                <c:pt idx="3">
                  <c:v>123.20145427984092</c:v>
                </c:pt>
                <c:pt idx="4">
                  <c:v>174.98673042748629</c:v>
                </c:pt>
                <c:pt idx="5">
                  <c:v>223.65538597419294</c:v>
                </c:pt>
                <c:pt idx="6">
                  <c:v>263.33945483662814</c:v>
                </c:pt>
                <c:pt idx="7">
                  <c:v>289.25424001592091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A-4EA3-AD3B-037463C8F43C}"/>
            </c:ext>
          </c:extLst>
        </c:ser>
        <c:ser>
          <c:idx val="4"/>
          <c:order val="4"/>
          <c:tx>
            <c:v>50 ft/s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'Plot Data'!$I$68:$I$75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Data'!$K$68:$K$75</c:f>
              <c:numCache>
                <c:formatCode>0.00</c:formatCode>
                <c:ptCount val="8"/>
                <c:pt idx="0">
                  <c:v>14.048031383956573</c:v>
                </c:pt>
                <c:pt idx="1">
                  <c:v>54.498358350917272</c:v>
                </c:pt>
                <c:pt idx="2">
                  <c:v>116.47389637829741</c:v>
                </c:pt>
                <c:pt idx="3">
                  <c:v>192.50227231225142</c:v>
                </c:pt>
                <c:pt idx="4">
                  <c:v>273.41676629294733</c:v>
                </c:pt>
                <c:pt idx="5">
                  <c:v>349.46154058467647</c:v>
                </c:pt>
                <c:pt idx="6">
                  <c:v>411.46789818223147</c:v>
                </c:pt>
                <c:pt idx="7">
                  <c:v>451.95975002487643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7A-4EA3-AD3B-037463C8F43C}"/>
            </c:ext>
          </c:extLst>
        </c:ser>
        <c:ser>
          <c:idx val="5"/>
          <c:order val="5"/>
          <c:tx>
            <c:v>Target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'Plot Data'!$I$8:$I$15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Data'!$P$8:$P$15</c:f>
              <c:numCache>
                <c:formatCode>General</c:formatCode>
                <c:ptCount val="8"/>
                <c:pt idx="0">
                  <c:v>74.25</c:v>
                </c:pt>
                <c:pt idx="1">
                  <c:v>74.25</c:v>
                </c:pt>
                <c:pt idx="2">
                  <c:v>74.25</c:v>
                </c:pt>
                <c:pt idx="3">
                  <c:v>74.25</c:v>
                </c:pt>
                <c:pt idx="4">
                  <c:v>74.25</c:v>
                </c:pt>
                <c:pt idx="5">
                  <c:v>74.25</c:v>
                </c:pt>
                <c:pt idx="6">
                  <c:v>74.25</c:v>
                </c:pt>
                <c:pt idx="7">
                  <c:v>74.25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7A-4EA3-AD3B-037463C8F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60736"/>
        <c:axId val="486063360"/>
      </c:scatterChart>
      <c:valAx>
        <c:axId val="4860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3360"/>
        <c:crosses val="autoZero"/>
        <c:crossBetween val="midCat"/>
      </c:valAx>
      <c:valAx>
        <c:axId val="4860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Projectile Height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07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Cell Ballistics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Ballistics!$H$8:$H$43</c:f>
              <c:numCache>
                <c:formatCode>0.00</c:formatCode>
                <c:ptCount val="36"/>
                <c:pt idx="0">
                  <c:v>0</c:v>
                </c:pt>
                <c:pt idx="1">
                  <c:v>46.384714431314478</c:v>
                </c:pt>
                <c:pt idx="2">
                  <c:v>92.769428862628956</c:v>
                </c:pt>
                <c:pt idx="3">
                  <c:v>139.15414329394341</c:v>
                </c:pt>
                <c:pt idx="4">
                  <c:v>185.53885772525791</c:v>
                </c:pt>
                <c:pt idx="5">
                  <c:v>231.92357215657236</c:v>
                </c:pt>
                <c:pt idx="6">
                  <c:v>278.30828658788681</c:v>
                </c:pt>
                <c:pt idx="7">
                  <c:v>324.69300101920129</c:v>
                </c:pt>
                <c:pt idx="8">
                  <c:v>371.07771545051583</c:v>
                </c:pt>
                <c:pt idx="9">
                  <c:v>417.46242988183025</c:v>
                </c:pt>
                <c:pt idx="10">
                  <c:v>463.84714431314472</c:v>
                </c:pt>
                <c:pt idx="11">
                  <c:v>510.23185874445926</c:v>
                </c:pt>
                <c:pt idx="12">
                  <c:v>556.61657317577362</c:v>
                </c:pt>
                <c:pt idx="13">
                  <c:v>603.00128760708822</c:v>
                </c:pt>
                <c:pt idx="14">
                  <c:v>649.38600203840258</c:v>
                </c:pt>
                <c:pt idx="15">
                  <c:v>695.77071646971706</c:v>
                </c:pt>
                <c:pt idx="16">
                  <c:v>742.15543090103165</c:v>
                </c:pt>
                <c:pt idx="17">
                  <c:v>788.54014533234601</c:v>
                </c:pt>
                <c:pt idx="18">
                  <c:v>834.92485976366049</c:v>
                </c:pt>
                <c:pt idx="19">
                  <c:v>881.30957419497497</c:v>
                </c:pt>
                <c:pt idx="20">
                  <c:v>927.69428862628945</c:v>
                </c:pt>
                <c:pt idx="21">
                  <c:v>974.07900305760393</c:v>
                </c:pt>
                <c:pt idx="22">
                  <c:v>1020.4637174889185</c:v>
                </c:pt>
                <c:pt idx="23">
                  <c:v>1066.8484319202328</c:v>
                </c:pt>
                <c:pt idx="24">
                  <c:v>1113.2331463515472</c:v>
                </c:pt>
                <c:pt idx="25">
                  <c:v>1159.6178607828617</c:v>
                </c:pt>
                <c:pt idx="26">
                  <c:v>1206.0025752141764</c:v>
                </c:pt>
                <c:pt idx="27">
                  <c:v>1252.3872896454909</c:v>
                </c:pt>
                <c:pt idx="28">
                  <c:v>1298.7720040768052</c:v>
                </c:pt>
                <c:pt idx="29">
                  <c:v>1345.1567185081196</c:v>
                </c:pt>
                <c:pt idx="30">
                  <c:v>1391.5414329394341</c:v>
                </c:pt>
                <c:pt idx="31">
                  <c:v>1437.9261473707486</c:v>
                </c:pt>
                <c:pt idx="32">
                  <c:v>1484.3108618020633</c:v>
                </c:pt>
                <c:pt idx="33">
                  <c:v>1530.6955762333776</c:v>
                </c:pt>
                <c:pt idx="34">
                  <c:v>1577.080290664692</c:v>
                </c:pt>
                <c:pt idx="35">
                  <c:v>1623.4650050960065</c:v>
                </c:pt>
              </c:numCache>
            </c:numRef>
          </c:xVal>
          <c:yVal>
            <c:numRef>
              <c:f>Ballistics!$J$8:$J$43</c:f>
              <c:numCache>
                <c:formatCode>0.00</c:formatCode>
                <c:ptCount val="36"/>
                <c:pt idx="0">
                  <c:v>0</c:v>
                </c:pt>
                <c:pt idx="1">
                  <c:v>6.2471019465717816</c:v>
                </c:pt>
                <c:pt idx="2">
                  <c:v>8.633803893143563</c:v>
                </c:pt>
                <c:pt idx="3">
                  <c:v>7.1601058397153459</c:v>
                </c:pt>
                <c:pt idx="4">
                  <c:v>1.8260077862871213</c:v>
                </c:pt>
                <c:pt idx="5">
                  <c:v>-7.368490267141091</c:v>
                </c:pt>
                <c:pt idx="6">
                  <c:v>-20.423388320569309</c:v>
                </c:pt>
                <c:pt idx="7">
                  <c:v>-37.338686373997518</c:v>
                </c:pt>
                <c:pt idx="8">
                  <c:v>-58.114384427425776</c:v>
                </c:pt>
                <c:pt idx="9">
                  <c:v>-82.750482480853961</c:v>
                </c:pt>
                <c:pt idx="10">
                  <c:v>-111.24698053428219</c:v>
                </c:pt>
                <c:pt idx="11">
                  <c:v>-143.60387858771043</c:v>
                </c:pt>
                <c:pt idx="12">
                  <c:v>-179.82117664113861</c:v>
                </c:pt>
                <c:pt idx="13">
                  <c:v>-219.89887469456687</c:v>
                </c:pt>
                <c:pt idx="14">
                  <c:v>-263.83697274799499</c:v>
                </c:pt>
                <c:pt idx="15">
                  <c:v>-311.63547080142325</c:v>
                </c:pt>
                <c:pt idx="16">
                  <c:v>-363.29436885485165</c:v>
                </c:pt>
                <c:pt idx="17">
                  <c:v>-418.81366690827963</c:v>
                </c:pt>
                <c:pt idx="18">
                  <c:v>-478.19336496170797</c:v>
                </c:pt>
                <c:pt idx="19">
                  <c:v>-541.43346301513611</c:v>
                </c:pt>
                <c:pt idx="20">
                  <c:v>-608.53396106856439</c:v>
                </c:pt>
                <c:pt idx="21">
                  <c:v>-679.49485912199259</c:v>
                </c:pt>
                <c:pt idx="22">
                  <c:v>-754.31615717542093</c:v>
                </c:pt>
                <c:pt idx="23">
                  <c:v>-832.99785522884883</c:v>
                </c:pt>
                <c:pt idx="24">
                  <c:v>-915.53995328227722</c:v>
                </c:pt>
                <c:pt idx="25">
                  <c:v>-1001.9424513357054</c:v>
                </c:pt>
                <c:pt idx="26">
                  <c:v>-1092.205349389134</c:v>
                </c:pt>
                <c:pt idx="27">
                  <c:v>-1186.3286474425622</c:v>
                </c:pt>
                <c:pt idx="28">
                  <c:v>-1284.31234549599</c:v>
                </c:pt>
                <c:pt idx="29">
                  <c:v>-1386.1564435494186</c:v>
                </c:pt>
                <c:pt idx="30">
                  <c:v>-1491.8609416028467</c:v>
                </c:pt>
                <c:pt idx="31">
                  <c:v>-1601.4258396562752</c:v>
                </c:pt>
                <c:pt idx="32">
                  <c:v>-1714.8511377097036</c:v>
                </c:pt>
                <c:pt idx="33">
                  <c:v>-1832.1368357631311</c:v>
                </c:pt>
                <c:pt idx="34">
                  <c:v>-1953.2829338165591</c:v>
                </c:pt>
                <c:pt idx="35">
                  <c:v>-2078.2894318699882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F1-45F2-946A-560AE8127452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Ballistics!$H$8:$H$43</c:f>
              <c:numCache>
                <c:formatCode>0.00</c:formatCode>
                <c:ptCount val="36"/>
                <c:pt idx="0">
                  <c:v>0</c:v>
                </c:pt>
                <c:pt idx="1">
                  <c:v>46.384714431314478</c:v>
                </c:pt>
                <c:pt idx="2">
                  <c:v>92.769428862628956</c:v>
                </c:pt>
                <c:pt idx="3">
                  <c:v>139.15414329394341</c:v>
                </c:pt>
                <c:pt idx="4">
                  <c:v>185.53885772525791</c:v>
                </c:pt>
                <c:pt idx="5">
                  <c:v>231.92357215657236</c:v>
                </c:pt>
                <c:pt idx="6">
                  <c:v>278.30828658788681</c:v>
                </c:pt>
                <c:pt idx="7">
                  <c:v>324.69300101920129</c:v>
                </c:pt>
                <c:pt idx="8">
                  <c:v>371.07771545051583</c:v>
                </c:pt>
                <c:pt idx="9">
                  <c:v>417.46242988183025</c:v>
                </c:pt>
                <c:pt idx="10">
                  <c:v>463.84714431314472</c:v>
                </c:pt>
                <c:pt idx="11">
                  <c:v>510.23185874445926</c:v>
                </c:pt>
                <c:pt idx="12">
                  <c:v>556.61657317577362</c:v>
                </c:pt>
                <c:pt idx="13">
                  <c:v>603.00128760708822</c:v>
                </c:pt>
                <c:pt idx="14">
                  <c:v>649.38600203840258</c:v>
                </c:pt>
                <c:pt idx="15">
                  <c:v>695.77071646971706</c:v>
                </c:pt>
                <c:pt idx="16">
                  <c:v>742.15543090103165</c:v>
                </c:pt>
                <c:pt idx="17">
                  <c:v>788.54014533234601</c:v>
                </c:pt>
                <c:pt idx="18">
                  <c:v>834.92485976366049</c:v>
                </c:pt>
                <c:pt idx="19">
                  <c:v>881.30957419497497</c:v>
                </c:pt>
                <c:pt idx="20">
                  <c:v>927.69428862628945</c:v>
                </c:pt>
                <c:pt idx="21">
                  <c:v>974.07900305760393</c:v>
                </c:pt>
                <c:pt idx="22">
                  <c:v>1020.4637174889185</c:v>
                </c:pt>
                <c:pt idx="23">
                  <c:v>1066.8484319202328</c:v>
                </c:pt>
                <c:pt idx="24">
                  <c:v>1113.2331463515472</c:v>
                </c:pt>
                <c:pt idx="25">
                  <c:v>1159.6178607828617</c:v>
                </c:pt>
                <c:pt idx="26">
                  <c:v>1206.0025752141764</c:v>
                </c:pt>
                <c:pt idx="27">
                  <c:v>1252.3872896454909</c:v>
                </c:pt>
                <c:pt idx="28">
                  <c:v>1298.7720040768052</c:v>
                </c:pt>
                <c:pt idx="29">
                  <c:v>1345.1567185081196</c:v>
                </c:pt>
                <c:pt idx="30">
                  <c:v>1391.5414329394341</c:v>
                </c:pt>
                <c:pt idx="31">
                  <c:v>1437.9261473707486</c:v>
                </c:pt>
                <c:pt idx="32">
                  <c:v>1484.3108618020633</c:v>
                </c:pt>
                <c:pt idx="33">
                  <c:v>1530.6955762333776</c:v>
                </c:pt>
                <c:pt idx="34">
                  <c:v>1577.080290664692</c:v>
                </c:pt>
                <c:pt idx="35">
                  <c:v>1623.4650050960065</c:v>
                </c:pt>
              </c:numCache>
            </c:numRef>
          </c:xVal>
          <c:yVal>
            <c:numRef>
              <c:f>Ballistics!$L$8:$L$43</c:f>
              <c:numCache>
                <c:formatCode>General</c:formatCode>
                <c:ptCount val="36"/>
                <c:pt idx="0">
                  <c:v>74.25</c:v>
                </c:pt>
                <c:pt idx="1">
                  <c:v>74.25</c:v>
                </c:pt>
                <c:pt idx="2">
                  <c:v>74.25</c:v>
                </c:pt>
                <c:pt idx="3">
                  <c:v>74.25</c:v>
                </c:pt>
                <c:pt idx="4">
                  <c:v>74.25</c:v>
                </c:pt>
                <c:pt idx="5">
                  <c:v>74.25</c:v>
                </c:pt>
                <c:pt idx="6">
                  <c:v>74.25</c:v>
                </c:pt>
                <c:pt idx="7">
                  <c:v>74.25</c:v>
                </c:pt>
                <c:pt idx="8">
                  <c:v>74.25</c:v>
                </c:pt>
                <c:pt idx="9">
                  <c:v>74.25</c:v>
                </c:pt>
                <c:pt idx="10">
                  <c:v>74.25</c:v>
                </c:pt>
                <c:pt idx="11">
                  <c:v>74.25</c:v>
                </c:pt>
                <c:pt idx="12">
                  <c:v>74.25</c:v>
                </c:pt>
                <c:pt idx="13">
                  <c:v>74.25</c:v>
                </c:pt>
                <c:pt idx="14">
                  <c:v>74.25</c:v>
                </c:pt>
                <c:pt idx="15">
                  <c:v>74.25</c:v>
                </c:pt>
                <c:pt idx="16">
                  <c:v>74.25</c:v>
                </c:pt>
                <c:pt idx="17">
                  <c:v>74.25</c:v>
                </c:pt>
                <c:pt idx="18">
                  <c:v>74.25</c:v>
                </c:pt>
                <c:pt idx="19">
                  <c:v>74.25</c:v>
                </c:pt>
                <c:pt idx="20">
                  <c:v>74.25</c:v>
                </c:pt>
                <c:pt idx="21">
                  <c:v>74.25</c:v>
                </c:pt>
                <c:pt idx="22">
                  <c:v>74.25</c:v>
                </c:pt>
                <c:pt idx="23">
                  <c:v>74.25</c:v>
                </c:pt>
                <c:pt idx="24">
                  <c:v>74.25</c:v>
                </c:pt>
                <c:pt idx="25">
                  <c:v>74.25</c:v>
                </c:pt>
                <c:pt idx="26">
                  <c:v>74.25</c:v>
                </c:pt>
                <c:pt idx="27">
                  <c:v>74.25</c:v>
                </c:pt>
                <c:pt idx="28">
                  <c:v>74.25</c:v>
                </c:pt>
                <c:pt idx="29">
                  <c:v>74.25</c:v>
                </c:pt>
                <c:pt idx="30">
                  <c:v>74.25</c:v>
                </c:pt>
                <c:pt idx="31">
                  <c:v>74.25</c:v>
                </c:pt>
                <c:pt idx="32">
                  <c:v>74.25</c:v>
                </c:pt>
                <c:pt idx="33">
                  <c:v>74.25</c:v>
                </c:pt>
                <c:pt idx="34">
                  <c:v>74.25</c:v>
                </c:pt>
                <c:pt idx="35">
                  <c:v>74.25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F1-45F2-946A-560AE8127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03312"/>
        <c:axId val="449303640"/>
      </c:scatterChart>
      <c:valAx>
        <c:axId val="4493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03640"/>
        <c:crosses val="autoZero"/>
        <c:crossBetween val="midCat"/>
      </c:valAx>
      <c:valAx>
        <c:axId val="44930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0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Cell - Distance to Max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 ft/s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'Plot Data'!$I$20:$I$27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Data'!$N$20:$N$27</c:f>
              <c:numCache>
                <c:formatCode>0.000</c:formatCode>
                <c:ptCount val="8"/>
                <c:pt idx="0">
                  <c:v>0.53123791386159191</c:v>
                </c:pt>
                <c:pt idx="1">
                  <c:v>0.99842462216381322</c:v>
                </c:pt>
                <c:pt idx="2">
                  <c:v>1.3452315551505016</c:v>
                </c:pt>
                <c:pt idx="3">
                  <c:v>1.5298442986495295</c:v>
                </c:pt>
                <c:pt idx="4">
                  <c:v>1.530004146205288</c:v>
                </c:pt>
                <c:pt idx="5">
                  <c:v>1.3456918250430283</c:v>
                </c:pt>
                <c:pt idx="6">
                  <c:v>0.99912981978188053</c:v>
                </c:pt>
                <c:pt idx="7">
                  <c:v>0.53210301372713031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7-4C78-A833-3B834B9994D5}"/>
            </c:ext>
          </c:extLst>
        </c:ser>
        <c:ser>
          <c:idx val="0"/>
          <c:order val="1"/>
          <c:tx>
            <c:v>20 ft/s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Data'!$I$32:$I$39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Data'!$N$32:$N$39</c:f>
              <c:numCache>
                <c:formatCode>0.000</c:formatCode>
                <c:ptCount val="8"/>
                <c:pt idx="0">
                  <c:v>2.1249516554463677</c:v>
                </c:pt>
                <c:pt idx="1">
                  <c:v>3.9936984886552529</c:v>
                </c:pt>
                <c:pt idx="2">
                  <c:v>5.3809262206020065</c:v>
                </c:pt>
                <c:pt idx="3">
                  <c:v>6.1193771945981181</c:v>
                </c:pt>
                <c:pt idx="4">
                  <c:v>6.1200165848211521</c:v>
                </c:pt>
                <c:pt idx="5">
                  <c:v>5.3827673001721132</c:v>
                </c:pt>
                <c:pt idx="6">
                  <c:v>3.9965192791275221</c:v>
                </c:pt>
                <c:pt idx="7">
                  <c:v>2.1284120549085213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37-4C78-A833-3B834B9994D5}"/>
            </c:ext>
          </c:extLst>
        </c:ser>
        <c:ser>
          <c:idx val="2"/>
          <c:order val="2"/>
          <c:tx>
            <c:v>30 ft/s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 Data'!$I$44:$I$51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Data'!$N$44:$N$51</c:f>
              <c:numCache>
                <c:formatCode>0.000</c:formatCode>
                <c:ptCount val="8"/>
                <c:pt idx="0">
                  <c:v>4.7811412247543261</c:v>
                </c:pt>
                <c:pt idx="1">
                  <c:v>8.9858215994743187</c:v>
                </c:pt>
                <c:pt idx="2">
                  <c:v>12.107083996354513</c:v>
                </c:pt>
                <c:pt idx="3">
                  <c:v>13.768598687845767</c:v>
                </c:pt>
                <c:pt idx="4">
                  <c:v>13.770037315847594</c:v>
                </c:pt>
                <c:pt idx="5">
                  <c:v>12.111226425387253</c:v>
                </c:pt>
                <c:pt idx="6">
                  <c:v>8.9921683780369257</c:v>
                </c:pt>
                <c:pt idx="7">
                  <c:v>4.7889271235441724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37-4C78-A833-3B834B9994D5}"/>
            </c:ext>
          </c:extLst>
        </c:ser>
        <c:ser>
          <c:idx val="3"/>
          <c:order val="3"/>
          <c:tx>
            <c:v>40 ft/s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'Plot Data'!$I$56:$I$63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Data'!$N$56:$N$63</c:f>
              <c:numCache>
                <c:formatCode>0.000</c:formatCode>
                <c:ptCount val="8"/>
                <c:pt idx="0">
                  <c:v>8.4998066217854706</c:v>
                </c:pt>
                <c:pt idx="1">
                  <c:v>15.974793954621012</c:v>
                </c:pt>
                <c:pt idx="2">
                  <c:v>21.523704882408026</c:v>
                </c:pt>
                <c:pt idx="3">
                  <c:v>24.477508778392473</c:v>
                </c:pt>
                <c:pt idx="4">
                  <c:v>24.480066339284608</c:v>
                </c:pt>
                <c:pt idx="5">
                  <c:v>21.531069200688453</c:v>
                </c:pt>
                <c:pt idx="6">
                  <c:v>15.986077116510089</c:v>
                </c:pt>
                <c:pt idx="7">
                  <c:v>8.513648219634085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37-4C78-A833-3B834B9994D5}"/>
            </c:ext>
          </c:extLst>
        </c:ser>
        <c:ser>
          <c:idx val="4"/>
          <c:order val="4"/>
          <c:tx>
            <c:v>50 ft/s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'Plot Data'!$I$68:$I$75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Data'!$N$68:$N$75</c:f>
              <c:numCache>
                <c:formatCode>0.000</c:formatCode>
                <c:ptCount val="8"/>
                <c:pt idx="0">
                  <c:v>13.280947846539796</c:v>
                </c:pt>
                <c:pt idx="1">
                  <c:v>24.96061555409533</c:v>
                </c:pt>
                <c:pt idx="2">
                  <c:v>33.630788878762537</c:v>
                </c:pt>
                <c:pt idx="3">
                  <c:v>38.246107466238236</c:v>
                </c:pt>
                <c:pt idx="4">
                  <c:v>38.2501036551322</c:v>
                </c:pt>
                <c:pt idx="5">
                  <c:v>33.6422956260757</c:v>
                </c:pt>
                <c:pt idx="6">
                  <c:v>24.978245494547014</c:v>
                </c:pt>
                <c:pt idx="7">
                  <c:v>13.30257534317826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37-4C78-A833-3B834B999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60736"/>
        <c:axId val="486063360"/>
      </c:scatterChart>
      <c:valAx>
        <c:axId val="4860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3360"/>
        <c:crosses val="autoZero"/>
        <c:crossBetween val="midCat"/>
      </c:valAx>
      <c:valAx>
        <c:axId val="4860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(ft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07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</a:t>
            </a:r>
            <a:r>
              <a:rPr lang="en-US" baseline="0"/>
              <a:t> Distance to Prevent Power Cell Defense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Data'!$A$24:$A$36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xVal>
          <c:yVal>
            <c:numRef>
              <c:f>'Plot Data'!$C$24:$C$36</c:f>
              <c:numCache>
                <c:formatCode>0.0</c:formatCode>
                <c:ptCount val="13"/>
                <c:pt idx="0">
                  <c:v>5.6105825898244035</c:v>
                </c:pt>
                <c:pt idx="1">
                  <c:v>4.3793093909236225</c:v>
                </c:pt>
                <c:pt idx="2">
                  <c:v>3.5370772042069745</c:v>
                </c:pt>
                <c:pt idx="3">
                  <c:v>2.9165174507065417</c:v>
                </c:pt>
                <c:pt idx="4">
                  <c:v>2.4338144731167453</c:v>
                </c:pt>
                <c:pt idx="5">
                  <c:v>2.0422717568628941</c:v>
                </c:pt>
                <c:pt idx="6">
                  <c:v>1.7137345896093861</c:v>
                </c:pt>
                <c:pt idx="7">
                  <c:v>1.4301414544347331</c:v>
                </c:pt>
                <c:pt idx="8">
                  <c:v>1.1792946392038492</c:v>
                </c:pt>
                <c:pt idx="9">
                  <c:v>0.95257681052336729</c:v>
                </c:pt>
                <c:pt idx="10">
                  <c:v>0.74363883223931726</c:v>
                </c:pt>
                <c:pt idx="11">
                  <c:v>0.54760333500126313</c:v>
                </c:pt>
                <c:pt idx="12">
                  <c:v>0.36055544314502419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4-46D4-AF55-00398E5DE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43504"/>
        <c:axId val="458347768"/>
      </c:scatterChart>
      <c:valAx>
        <c:axId val="45834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47768"/>
        <c:crosses val="autoZero"/>
        <c:crossBetween val="midCat"/>
      </c:valAx>
      <c:valAx>
        <c:axId val="45834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Safe 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43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B71B03-CD02-43FF-943F-73E9D4B2D1A5}">
  <sheetPr/>
  <sheetViews>
    <sheetView zoomScale="6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C72955-79A8-4AE8-923E-96E5EAD2813F}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B62C60-775B-4601-97B5-D31A3B37AFDA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719B4-BD5A-4D57-9E24-797D01F53A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411954</xdr:colOff>
      <xdr:row>6</xdr:row>
      <xdr:rowOff>183356</xdr:rowOff>
    </xdr:from>
    <xdr:to>
      <xdr:col>23</xdr:col>
      <xdr:colOff>500062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70963-76EE-46D7-9C9B-00FA9E4BC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97" cy="6287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98055-B25D-4CDE-B08D-2F642BCB55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3679" cy="62778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AC863-A2E3-437A-B1ED-B061B33EF0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71DE-853C-4645-838D-52D3EBDAE5F1}">
  <dimension ref="A1:L61"/>
  <sheetViews>
    <sheetView tabSelected="1" topLeftCell="A2" workbookViewId="0">
      <selection activeCell="H7" sqref="H7"/>
    </sheetView>
  </sheetViews>
  <sheetFormatPr defaultRowHeight="14.25" x14ac:dyDescent="0.45"/>
  <cols>
    <col min="1" max="1" width="21.59765625" customWidth="1"/>
    <col min="2" max="2" width="9.1328125" customWidth="1"/>
    <col min="7" max="11" width="14.53125" style="3" customWidth="1"/>
    <col min="12" max="12" width="10.265625" style="3" customWidth="1"/>
  </cols>
  <sheetData>
    <row r="1" spans="1:12" ht="18" x14ac:dyDescent="0.55000000000000004">
      <c r="A1" s="1" t="s">
        <v>0</v>
      </c>
    </row>
    <row r="2" spans="1:12" ht="18" x14ac:dyDescent="0.55000000000000004">
      <c r="A2" s="1" t="s">
        <v>1</v>
      </c>
    </row>
    <row r="5" spans="1:12" x14ac:dyDescent="0.45">
      <c r="A5" s="2" t="s">
        <v>10</v>
      </c>
      <c r="B5" s="12">
        <v>8</v>
      </c>
      <c r="C5" t="s">
        <v>3</v>
      </c>
      <c r="D5" s="12">
        <v>2.25</v>
      </c>
      <c r="E5" t="s">
        <v>4</v>
      </c>
      <c r="G5" s="4" t="s">
        <v>32</v>
      </c>
      <c r="H5" s="16">
        <v>10</v>
      </c>
    </row>
    <row r="6" spans="1:12" x14ac:dyDescent="0.45">
      <c r="B6" s="13">
        <f>B5*12+D5</f>
        <v>98.25</v>
      </c>
      <c r="C6" t="s">
        <v>4</v>
      </c>
    </row>
    <row r="7" spans="1:12" ht="14.65" thickBot="1" x14ac:dyDescent="0.5">
      <c r="G7" s="5" t="s">
        <v>30</v>
      </c>
      <c r="H7" s="5" t="s">
        <v>31</v>
      </c>
      <c r="I7" s="5" t="s">
        <v>34</v>
      </c>
      <c r="J7" s="5" t="s">
        <v>16</v>
      </c>
      <c r="K7" s="5" t="s">
        <v>18</v>
      </c>
    </row>
    <row r="8" spans="1:12" x14ac:dyDescent="0.45">
      <c r="A8" s="2" t="s">
        <v>7</v>
      </c>
      <c r="B8" s="12">
        <v>24</v>
      </c>
      <c r="C8" t="s">
        <v>4</v>
      </c>
      <c r="G8" s="3">
        <v>0</v>
      </c>
      <c r="H8" s="7">
        <f t="shared" ref="H8:H43" si="0">($B$18*12)*COS($H$5*0.01745)*G8</f>
        <v>0</v>
      </c>
      <c r="I8" s="7">
        <f>H8/12</f>
        <v>0</v>
      </c>
      <c r="J8" s="7">
        <f t="shared" ref="J8:J43" si="1">($B$18*12)*SIN($H$5*0.01745)*G8-0.5*$B$22*G8^2</f>
        <v>0</v>
      </c>
      <c r="K8" s="7">
        <f>J8/12</f>
        <v>0</v>
      </c>
      <c r="L8" s="3">
        <f>$B$10</f>
        <v>74.25</v>
      </c>
    </row>
    <row r="9" spans="1:12" x14ac:dyDescent="0.45">
      <c r="G9" s="3">
        <v>0.1</v>
      </c>
      <c r="H9" s="7">
        <f t="shared" si="0"/>
        <v>46.384714431314478</v>
      </c>
      <c r="I9" s="7">
        <f t="shared" ref="I9:I43" si="2">H9/12</f>
        <v>3.8653928692762065</v>
      </c>
      <c r="J9" s="7">
        <f t="shared" si="1"/>
        <v>6.2471019465717816</v>
      </c>
      <c r="K9" s="7">
        <f t="shared" ref="K9:K43" si="3">J9/12</f>
        <v>0.52059182888098177</v>
      </c>
      <c r="L9" s="3">
        <f t="shared" ref="L9:L43" si="4">$B$10</f>
        <v>74.25</v>
      </c>
    </row>
    <row r="10" spans="1:12" x14ac:dyDescent="0.45">
      <c r="A10" s="14" t="s">
        <v>2</v>
      </c>
      <c r="B10">
        <f>B6-B8</f>
        <v>74.25</v>
      </c>
      <c r="C10" t="s">
        <v>4</v>
      </c>
      <c r="G10" s="3">
        <v>0.2</v>
      </c>
      <c r="H10" s="7">
        <f t="shared" si="0"/>
        <v>92.769428862628956</v>
      </c>
      <c r="I10" s="7">
        <f t="shared" si="2"/>
        <v>7.730785738552413</v>
      </c>
      <c r="J10" s="7">
        <f t="shared" si="1"/>
        <v>8.633803893143563</v>
      </c>
      <c r="K10" s="7">
        <f t="shared" si="3"/>
        <v>0.71948365776196355</v>
      </c>
      <c r="L10" s="3">
        <f t="shared" si="4"/>
        <v>74.25</v>
      </c>
    </row>
    <row r="11" spans="1:12" x14ac:dyDescent="0.45">
      <c r="G11" s="3">
        <v>0.3</v>
      </c>
      <c r="H11" s="7">
        <f t="shared" si="0"/>
        <v>139.15414329394341</v>
      </c>
      <c r="I11" s="7">
        <f t="shared" si="2"/>
        <v>11.596178607828618</v>
      </c>
      <c r="J11" s="7">
        <f t="shared" si="1"/>
        <v>7.1601058397153459</v>
      </c>
      <c r="K11" s="7">
        <f t="shared" si="3"/>
        <v>0.59667548664294545</v>
      </c>
      <c r="L11" s="3">
        <f t="shared" si="4"/>
        <v>74.25</v>
      </c>
    </row>
    <row r="12" spans="1:12" x14ac:dyDescent="0.45">
      <c r="A12" s="2" t="s">
        <v>19</v>
      </c>
      <c r="B12" s="12">
        <v>6</v>
      </c>
      <c r="C12" t="s">
        <v>4</v>
      </c>
      <c r="G12" s="3">
        <v>0.4</v>
      </c>
      <c r="H12" s="7">
        <f t="shared" si="0"/>
        <v>185.53885772525791</v>
      </c>
      <c r="I12" s="7">
        <f t="shared" si="2"/>
        <v>15.461571477104826</v>
      </c>
      <c r="J12" s="7">
        <f t="shared" si="1"/>
        <v>1.8260077862871213</v>
      </c>
      <c r="K12" s="7">
        <f t="shared" si="3"/>
        <v>0.15216731552392679</v>
      </c>
      <c r="L12" s="3">
        <f t="shared" si="4"/>
        <v>74.25</v>
      </c>
    </row>
    <row r="13" spans="1:12" x14ac:dyDescent="0.45">
      <c r="A13" s="14" t="s">
        <v>23</v>
      </c>
      <c r="B13" s="12">
        <v>6000</v>
      </c>
      <c r="G13" s="3">
        <v>0.5</v>
      </c>
      <c r="H13" s="7">
        <f t="shared" si="0"/>
        <v>231.92357215657236</v>
      </c>
      <c r="I13" s="7">
        <f t="shared" si="2"/>
        <v>19.326964346381029</v>
      </c>
      <c r="J13" s="7">
        <f t="shared" si="1"/>
        <v>-7.368490267141091</v>
      </c>
      <c r="K13" s="7">
        <f t="shared" si="3"/>
        <v>-0.61404085559509092</v>
      </c>
      <c r="L13" s="3">
        <f t="shared" si="4"/>
        <v>74.25</v>
      </c>
    </row>
    <row r="14" spans="1:12" x14ac:dyDescent="0.45">
      <c r="A14" s="14" t="s">
        <v>22</v>
      </c>
      <c r="B14" s="13">
        <f>3.14*B12</f>
        <v>18.84</v>
      </c>
      <c r="C14" t="s">
        <v>4</v>
      </c>
      <c r="G14" s="3">
        <v>0.6</v>
      </c>
      <c r="H14" s="7">
        <f t="shared" si="0"/>
        <v>278.30828658788681</v>
      </c>
      <c r="I14" s="7">
        <f t="shared" si="2"/>
        <v>23.192357215657236</v>
      </c>
      <c r="J14" s="7">
        <f t="shared" si="1"/>
        <v>-20.423388320569309</v>
      </c>
      <c r="K14" s="7">
        <f t="shared" si="3"/>
        <v>-1.7019490267141091</v>
      </c>
      <c r="L14" s="3">
        <f t="shared" si="4"/>
        <v>74.25</v>
      </c>
    </row>
    <row r="15" spans="1:12" x14ac:dyDescent="0.45">
      <c r="A15" s="14" t="s">
        <v>33</v>
      </c>
      <c r="B15" s="12">
        <v>0.25</v>
      </c>
      <c r="G15" s="3">
        <v>0.7</v>
      </c>
      <c r="H15" s="7">
        <f t="shared" si="0"/>
        <v>324.69300101920129</v>
      </c>
      <c r="I15" s="7">
        <f t="shared" si="2"/>
        <v>27.057750084933442</v>
      </c>
      <c r="J15" s="7">
        <f t="shared" si="1"/>
        <v>-37.338686373997518</v>
      </c>
      <c r="K15" s="7">
        <f t="shared" si="3"/>
        <v>-3.1115571978331267</v>
      </c>
      <c r="L15" s="3">
        <f t="shared" si="4"/>
        <v>74.25</v>
      </c>
    </row>
    <row r="16" spans="1:12" x14ac:dyDescent="0.45">
      <c r="G16" s="3">
        <v>0.8</v>
      </c>
      <c r="H16" s="7">
        <f t="shared" si="0"/>
        <v>371.07771545051583</v>
      </c>
      <c r="I16" s="7">
        <f t="shared" si="2"/>
        <v>30.923142954209652</v>
      </c>
      <c r="J16" s="7">
        <f t="shared" si="1"/>
        <v>-58.114384427425776</v>
      </c>
      <c r="K16" s="7">
        <f t="shared" si="3"/>
        <v>-4.8428653689521477</v>
      </c>
      <c r="L16" s="3">
        <f t="shared" si="4"/>
        <v>74.25</v>
      </c>
    </row>
    <row r="17" spans="1:12" x14ac:dyDescent="0.45">
      <c r="A17" s="2" t="s">
        <v>20</v>
      </c>
      <c r="B17" s="13">
        <f>B13*B14</f>
        <v>113040</v>
      </c>
      <c r="C17" t="s">
        <v>24</v>
      </c>
      <c r="G17" s="3">
        <v>0.9</v>
      </c>
      <c r="H17" s="7">
        <f t="shared" si="0"/>
        <v>417.46242988183025</v>
      </c>
      <c r="I17" s="7">
        <f t="shared" si="2"/>
        <v>34.788535823485851</v>
      </c>
      <c r="J17" s="7">
        <f t="shared" si="1"/>
        <v>-82.750482480853961</v>
      </c>
      <c r="K17" s="7">
        <f t="shared" si="3"/>
        <v>-6.8958735400711637</v>
      </c>
      <c r="L17" s="3">
        <f t="shared" si="4"/>
        <v>74.25</v>
      </c>
    </row>
    <row r="18" spans="1:12" x14ac:dyDescent="0.45">
      <c r="A18" s="2" t="s">
        <v>20</v>
      </c>
      <c r="B18" s="15">
        <f>($B$15*B17)/(12*60)</f>
        <v>39.25</v>
      </c>
      <c r="C18" t="s">
        <v>21</v>
      </c>
      <c r="G18" s="3">
        <v>1</v>
      </c>
      <c r="H18" s="7">
        <f t="shared" si="0"/>
        <v>463.84714431314472</v>
      </c>
      <c r="I18" s="7">
        <f t="shared" si="2"/>
        <v>38.653928692762058</v>
      </c>
      <c r="J18" s="7">
        <f t="shared" si="1"/>
        <v>-111.24698053428219</v>
      </c>
      <c r="K18" s="7">
        <f t="shared" si="3"/>
        <v>-9.2705817111901823</v>
      </c>
      <c r="L18" s="3">
        <f t="shared" si="4"/>
        <v>74.25</v>
      </c>
    </row>
    <row r="19" spans="1:12" x14ac:dyDescent="0.45">
      <c r="G19" s="3">
        <v>1.1000000000000001</v>
      </c>
      <c r="H19" s="7">
        <f t="shared" si="0"/>
        <v>510.23185874445926</v>
      </c>
      <c r="I19" s="7">
        <f t="shared" si="2"/>
        <v>42.519321562038272</v>
      </c>
      <c r="J19" s="7">
        <f t="shared" si="1"/>
        <v>-143.60387858771043</v>
      </c>
      <c r="K19" s="7">
        <f t="shared" si="3"/>
        <v>-11.966989882309202</v>
      </c>
      <c r="L19" s="3">
        <f t="shared" si="4"/>
        <v>74.25</v>
      </c>
    </row>
    <row r="20" spans="1:12" x14ac:dyDescent="0.45">
      <c r="G20" s="3">
        <v>1.2</v>
      </c>
      <c r="H20" s="7">
        <f t="shared" si="0"/>
        <v>556.61657317577362</v>
      </c>
      <c r="I20" s="7">
        <f t="shared" si="2"/>
        <v>46.384714431314471</v>
      </c>
      <c r="J20" s="7">
        <f t="shared" si="1"/>
        <v>-179.82117664113861</v>
      </c>
      <c r="K20" s="7">
        <f t="shared" si="3"/>
        <v>-14.985098053428217</v>
      </c>
      <c r="L20" s="3">
        <f t="shared" si="4"/>
        <v>74.25</v>
      </c>
    </row>
    <row r="21" spans="1:12" x14ac:dyDescent="0.45">
      <c r="A21" s="2" t="s">
        <v>29</v>
      </c>
      <c r="B21">
        <v>32.17</v>
      </c>
      <c r="C21" t="s">
        <v>27</v>
      </c>
      <c r="G21" s="3">
        <v>1.3</v>
      </c>
      <c r="H21" s="7">
        <f t="shared" si="0"/>
        <v>603.00128760708822</v>
      </c>
      <c r="I21" s="7">
        <f t="shared" si="2"/>
        <v>50.250107300590685</v>
      </c>
      <c r="J21" s="7">
        <f t="shared" si="1"/>
        <v>-219.89887469456687</v>
      </c>
      <c r="K21" s="7">
        <f t="shared" si="3"/>
        <v>-18.324906224547238</v>
      </c>
      <c r="L21" s="3">
        <f t="shared" si="4"/>
        <v>74.25</v>
      </c>
    </row>
    <row r="22" spans="1:12" x14ac:dyDescent="0.45">
      <c r="B22">
        <f>B21*12</f>
        <v>386.04</v>
      </c>
      <c r="C22" t="s">
        <v>28</v>
      </c>
      <c r="G22" s="3">
        <v>1.4</v>
      </c>
      <c r="H22" s="7">
        <f t="shared" si="0"/>
        <v>649.38600203840258</v>
      </c>
      <c r="I22" s="7">
        <f t="shared" si="2"/>
        <v>54.115500169866884</v>
      </c>
      <c r="J22" s="7">
        <f t="shared" si="1"/>
        <v>-263.83697274799499</v>
      </c>
      <c r="K22" s="7">
        <f t="shared" si="3"/>
        <v>-21.986414395666248</v>
      </c>
      <c r="L22" s="3">
        <f t="shared" si="4"/>
        <v>74.25</v>
      </c>
    </row>
    <row r="23" spans="1:12" x14ac:dyDescent="0.45">
      <c r="G23" s="3">
        <v>1.5</v>
      </c>
      <c r="H23" s="7">
        <f t="shared" si="0"/>
        <v>695.77071646971706</v>
      </c>
      <c r="I23" s="7">
        <f t="shared" si="2"/>
        <v>57.980893039143091</v>
      </c>
      <c r="J23" s="7">
        <f t="shared" si="1"/>
        <v>-311.63547080142325</v>
      </c>
      <c r="K23" s="7">
        <f t="shared" si="3"/>
        <v>-25.969622566785272</v>
      </c>
      <c r="L23" s="3">
        <f t="shared" si="4"/>
        <v>74.25</v>
      </c>
    </row>
    <row r="24" spans="1:12" x14ac:dyDescent="0.45">
      <c r="G24" s="3">
        <v>1.6</v>
      </c>
      <c r="H24" s="7">
        <f t="shared" si="0"/>
        <v>742.15543090103165</v>
      </c>
      <c r="I24" s="7">
        <f t="shared" si="2"/>
        <v>61.846285908419304</v>
      </c>
      <c r="J24" s="7">
        <f t="shared" si="1"/>
        <v>-363.29436885485165</v>
      </c>
      <c r="K24" s="7">
        <f t="shared" si="3"/>
        <v>-30.274530737904303</v>
      </c>
      <c r="L24" s="3">
        <f t="shared" si="4"/>
        <v>74.25</v>
      </c>
    </row>
    <row r="25" spans="1:12" x14ac:dyDescent="0.45">
      <c r="G25" s="3">
        <v>1.7</v>
      </c>
      <c r="H25" s="7">
        <f t="shared" si="0"/>
        <v>788.54014533234601</v>
      </c>
      <c r="I25" s="7">
        <f t="shared" si="2"/>
        <v>65.711678777695496</v>
      </c>
      <c r="J25" s="7">
        <f t="shared" si="1"/>
        <v>-418.81366690827963</v>
      </c>
      <c r="K25" s="7">
        <f t="shared" si="3"/>
        <v>-34.901138909023302</v>
      </c>
      <c r="L25" s="3">
        <f t="shared" si="4"/>
        <v>74.25</v>
      </c>
    </row>
    <row r="26" spans="1:12" x14ac:dyDescent="0.45">
      <c r="G26" s="3">
        <v>1.8</v>
      </c>
      <c r="H26" s="7">
        <f t="shared" si="0"/>
        <v>834.92485976366049</v>
      </c>
      <c r="I26" s="7">
        <f t="shared" si="2"/>
        <v>69.577071646971703</v>
      </c>
      <c r="J26" s="7">
        <f t="shared" si="1"/>
        <v>-478.19336496170797</v>
      </c>
      <c r="K26" s="7">
        <f t="shared" si="3"/>
        <v>-39.849447080142333</v>
      </c>
      <c r="L26" s="3">
        <f t="shared" si="4"/>
        <v>74.25</v>
      </c>
    </row>
    <row r="27" spans="1:12" ht="14.65" thickBot="1" x14ac:dyDescent="0.5">
      <c r="G27" s="3">
        <v>1.9</v>
      </c>
      <c r="H27" s="7">
        <f t="shared" si="0"/>
        <v>881.30957419497497</v>
      </c>
      <c r="I27" s="7">
        <f t="shared" si="2"/>
        <v>73.44246451624791</v>
      </c>
      <c r="J27" s="7">
        <f t="shared" si="1"/>
        <v>-541.43346301513611</v>
      </c>
      <c r="K27" s="7">
        <f t="shared" si="3"/>
        <v>-45.119455251261343</v>
      </c>
      <c r="L27" s="3">
        <f t="shared" si="4"/>
        <v>74.25</v>
      </c>
    </row>
    <row r="28" spans="1:12" ht="16.5" thickTop="1" thickBot="1" x14ac:dyDescent="0.55000000000000004">
      <c r="A28" s="28" t="s">
        <v>35</v>
      </c>
      <c r="B28" s="29"/>
      <c r="C28" s="30"/>
      <c r="G28" s="3">
        <v>2</v>
      </c>
      <c r="H28" s="7">
        <f t="shared" si="0"/>
        <v>927.69428862628945</v>
      </c>
      <c r="I28" s="7">
        <f t="shared" si="2"/>
        <v>77.307857385524116</v>
      </c>
      <c r="J28" s="7">
        <f t="shared" si="1"/>
        <v>-608.53396106856439</v>
      </c>
      <c r="K28" s="7">
        <f t="shared" si="3"/>
        <v>-50.711163422380366</v>
      </c>
      <c r="L28" s="3">
        <f t="shared" si="4"/>
        <v>74.25</v>
      </c>
    </row>
    <row r="29" spans="1:12" ht="14.65" thickTop="1" x14ac:dyDescent="0.45">
      <c r="A29" s="17"/>
      <c r="B29" s="18"/>
      <c r="C29" s="19"/>
      <c r="G29" s="3">
        <v>2.1</v>
      </c>
      <c r="H29" s="7">
        <f t="shared" si="0"/>
        <v>974.07900305760393</v>
      </c>
      <c r="I29" s="7">
        <f t="shared" si="2"/>
        <v>81.173250254800323</v>
      </c>
      <c r="J29" s="7">
        <f t="shared" si="1"/>
        <v>-679.49485912199259</v>
      </c>
      <c r="K29" s="7">
        <f t="shared" si="3"/>
        <v>-56.624571593499383</v>
      </c>
      <c r="L29" s="3">
        <f t="shared" si="4"/>
        <v>74.25</v>
      </c>
    </row>
    <row r="30" spans="1:12" x14ac:dyDescent="0.45">
      <c r="A30" s="20" t="s">
        <v>36</v>
      </c>
      <c r="B30" s="23">
        <v>220</v>
      </c>
      <c r="C30" s="19" t="s">
        <v>4</v>
      </c>
      <c r="G30" s="3">
        <v>2.2000000000000002</v>
      </c>
      <c r="H30" s="7">
        <f t="shared" si="0"/>
        <v>1020.4637174889185</v>
      </c>
      <c r="I30" s="7">
        <f t="shared" si="2"/>
        <v>85.038643124076543</v>
      </c>
      <c r="J30" s="7">
        <f t="shared" si="1"/>
        <v>-754.31615717542093</v>
      </c>
      <c r="K30" s="7">
        <f t="shared" si="3"/>
        <v>-62.859679764618413</v>
      </c>
      <c r="L30" s="3">
        <f t="shared" si="4"/>
        <v>74.25</v>
      </c>
    </row>
    <row r="31" spans="1:12" x14ac:dyDescent="0.45">
      <c r="A31" s="17"/>
      <c r="B31" s="18"/>
      <c r="C31" s="19"/>
      <c r="G31" s="3">
        <v>2.2999999999999998</v>
      </c>
      <c r="H31" s="7">
        <f t="shared" si="0"/>
        <v>1066.8484319202328</v>
      </c>
      <c r="I31" s="7">
        <f t="shared" si="2"/>
        <v>88.904035993352736</v>
      </c>
      <c r="J31" s="7">
        <f t="shared" si="1"/>
        <v>-832.99785522884883</v>
      </c>
      <c r="K31" s="7">
        <f t="shared" si="3"/>
        <v>-69.416487935737408</v>
      </c>
      <c r="L31" s="3">
        <f t="shared" si="4"/>
        <v>74.25</v>
      </c>
    </row>
    <row r="32" spans="1:12" x14ac:dyDescent="0.45">
      <c r="A32" s="20" t="s">
        <v>32</v>
      </c>
      <c r="B32" s="24">
        <f>ROUND(ATAN($B$10/B30)*57.2958,1)</f>
        <v>18.600000000000001</v>
      </c>
      <c r="C32" s="19" t="s">
        <v>42</v>
      </c>
      <c r="G32" s="3">
        <v>2.4</v>
      </c>
      <c r="H32" s="7">
        <f t="shared" si="0"/>
        <v>1113.2331463515472</v>
      </c>
      <c r="I32" s="7">
        <f t="shared" si="2"/>
        <v>92.769428862628942</v>
      </c>
      <c r="J32" s="7">
        <f t="shared" si="1"/>
        <v>-915.53995328227722</v>
      </c>
      <c r="K32" s="7">
        <f t="shared" si="3"/>
        <v>-76.294996106856431</v>
      </c>
      <c r="L32" s="3">
        <f t="shared" si="4"/>
        <v>74.25</v>
      </c>
    </row>
    <row r="33" spans="1:12" x14ac:dyDescent="0.45">
      <c r="A33" s="17"/>
      <c r="B33" s="18"/>
      <c r="C33" s="19"/>
      <c r="G33" s="3">
        <v>2.5</v>
      </c>
      <c r="H33" s="7">
        <f t="shared" si="0"/>
        <v>1159.6178607828617</v>
      </c>
      <c r="I33" s="7">
        <f t="shared" si="2"/>
        <v>96.634821731905149</v>
      </c>
      <c r="J33" s="7">
        <f t="shared" si="1"/>
        <v>-1001.9424513357054</v>
      </c>
      <c r="K33" s="7">
        <f t="shared" si="3"/>
        <v>-83.495204277975446</v>
      </c>
      <c r="L33" s="3">
        <f t="shared" si="4"/>
        <v>74.25</v>
      </c>
    </row>
    <row r="34" spans="1:12" x14ac:dyDescent="0.45">
      <c r="A34" s="20" t="s">
        <v>37</v>
      </c>
      <c r="B34" s="24">
        <f>ROUND(SQRT((2*$B$22*$B$10)/(SIN(B32*0.01745)*SIN(B32*0.01745))),1)</f>
        <v>750.8</v>
      </c>
      <c r="C34" s="19" t="s">
        <v>38</v>
      </c>
      <c r="G34" s="3">
        <v>2.6</v>
      </c>
      <c r="H34" s="7">
        <f t="shared" si="0"/>
        <v>1206.0025752141764</v>
      </c>
      <c r="I34" s="7">
        <f t="shared" si="2"/>
        <v>100.50021460118137</v>
      </c>
      <c r="J34" s="7">
        <f t="shared" si="1"/>
        <v>-1092.205349389134</v>
      </c>
      <c r="K34" s="7">
        <f t="shared" si="3"/>
        <v>-91.017112449094498</v>
      </c>
      <c r="L34" s="3">
        <f t="shared" si="4"/>
        <v>74.25</v>
      </c>
    </row>
    <row r="35" spans="1:12" x14ac:dyDescent="0.45">
      <c r="A35" s="17"/>
      <c r="B35" s="24">
        <f>ROUND(B34/12,1)</f>
        <v>62.6</v>
      </c>
      <c r="C35" s="19" t="s">
        <v>39</v>
      </c>
      <c r="G35" s="3">
        <v>2.7</v>
      </c>
      <c r="H35" s="7">
        <f t="shared" si="0"/>
        <v>1252.3872896454909</v>
      </c>
      <c r="I35" s="7">
        <f t="shared" si="2"/>
        <v>104.36560747045758</v>
      </c>
      <c r="J35" s="7">
        <f t="shared" si="1"/>
        <v>-1186.3286474425622</v>
      </c>
      <c r="K35" s="7">
        <f t="shared" si="3"/>
        <v>-98.860720620213513</v>
      </c>
      <c r="L35" s="3">
        <f t="shared" si="4"/>
        <v>74.25</v>
      </c>
    </row>
    <row r="36" spans="1:12" x14ac:dyDescent="0.45">
      <c r="A36" s="17"/>
      <c r="B36" s="18"/>
      <c r="C36" s="19"/>
      <c r="G36" s="3">
        <v>2.8</v>
      </c>
      <c r="H36" s="7">
        <f t="shared" si="0"/>
        <v>1298.7720040768052</v>
      </c>
      <c r="I36" s="7">
        <f t="shared" si="2"/>
        <v>108.23100033973377</v>
      </c>
      <c r="J36" s="7">
        <f t="shared" si="1"/>
        <v>-1284.31234549599</v>
      </c>
      <c r="K36" s="7">
        <f t="shared" si="3"/>
        <v>-107.02602879133251</v>
      </c>
      <c r="L36" s="3">
        <f t="shared" si="4"/>
        <v>74.25</v>
      </c>
    </row>
    <row r="37" spans="1:12" ht="14.65" thickBot="1" x14ac:dyDescent="0.5">
      <c r="A37" s="21" t="s">
        <v>40</v>
      </c>
      <c r="B37" s="25">
        <f>ROUND((720*B35)/(B15*B14),0)</f>
        <v>9569</v>
      </c>
      <c r="C37" s="22" t="s">
        <v>41</v>
      </c>
      <c r="G37" s="3">
        <v>2.9</v>
      </c>
      <c r="H37" s="7">
        <f t="shared" si="0"/>
        <v>1345.1567185081196</v>
      </c>
      <c r="I37" s="7">
        <f t="shared" si="2"/>
        <v>112.09639320900997</v>
      </c>
      <c r="J37" s="7">
        <f t="shared" si="1"/>
        <v>-1386.1564435494186</v>
      </c>
      <c r="K37" s="7">
        <f t="shared" si="3"/>
        <v>-115.51303696245155</v>
      </c>
      <c r="L37" s="3">
        <f t="shared" si="4"/>
        <v>74.25</v>
      </c>
    </row>
    <row r="38" spans="1:12" ht="14.65" thickTop="1" x14ac:dyDescent="0.45">
      <c r="G38" s="3">
        <v>3</v>
      </c>
      <c r="H38" s="7">
        <f t="shared" si="0"/>
        <v>1391.5414329394341</v>
      </c>
      <c r="I38" s="7">
        <f t="shared" si="2"/>
        <v>115.96178607828618</v>
      </c>
      <c r="J38" s="7">
        <f t="shared" si="1"/>
        <v>-1491.8609416028467</v>
      </c>
      <c r="K38" s="7">
        <f t="shared" si="3"/>
        <v>-124.32174513357056</v>
      </c>
      <c r="L38" s="3">
        <f t="shared" si="4"/>
        <v>74.25</v>
      </c>
    </row>
    <row r="39" spans="1:12" x14ac:dyDescent="0.45">
      <c r="G39" s="3">
        <v>3.1</v>
      </c>
      <c r="H39" s="7">
        <f t="shared" si="0"/>
        <v>1437.9261473707486</v>
      </c>
      <c r="I39" s="7">
        <f t="shared" si="2"/>
        <v>119.82717894756239</v>
      </c>
      <c r="J39" s="7">
        <f t="shared" si="1"/>
        <v>-1601.4258396562752</v>
      </c>
      <c r="K39" s="7">
        <f t="shared" si="3"/>
        <v>-133.4521533046896</v>
      </c>
      <c r="L39" s="3">
        <f t="shared" si="4"/>
        <v>74.25</v>
      </c>
    </row>
    <row r="40" spans="1:12" x14ac:dyDescent="0.45">
      <c r="G40" s="3">
        <v>3.2</v>
      </c>
      <c r="H40" s="7">
        <f t="shared" si="0"/>
        <v>1484.3108618020633</v>
      </c>
      <c r="I40" s="7">
        <f t="shared" si="2"/>
        <v>123.69257181683861</v>
      </c>
      <c r="J40" s="7">
        <f t="shared" si="1"/>
        <v>-1714.8511377097036</v>
      </c>
      <c r="K40" s="7">
        <f t="shared" si="3"/>
        <v>-142.90426147580862</v>
      </c>
      <c r="L40" s="3">
        <f t="shared" si="4"/>
        <v>74.25</v>
      </c>
    </row>
    <row r="41" spans="1:12" x14ac:dyDescent="0.45">
      <c r="G41" s="3">
        <v>3.3</v>
      </c>
      <c r="H41" s="7">
        <f t="shared" si="0"/>
        <v>1530.6955762333776</v>
      </c>
      <c r="I41" s="7">
        <f t="shared" si="2"/>
        <v>127.5579646861148</v>
      </c>
      <c r="J41" s="7">
        <f t="shared" si="1"/>
        <v>-1832.1368357631311</v>
      </c>
      <c r="K41" s="7">
        <f t="shared" si="3"/>
        <v>-152.67806964692758</v>
      </c>
      <c r="L41" s="3">
        <f t="shared" si="4"/>
        <v>74.25</v>
      </c>
    </row>
    <row r="42" spans="1:12" x14ac:dyDescent="0.45">
      <c r="G42" s="3">
        <v>3.4</v>
      </c>
      <c r="H42" s="7">
        <f t="shared" si="0"/>
        <v>1577.080290664692</v>
      </c>
      <c r="I42" s="7">
        <f t="shared" si="2"/>
        <v>131.42335755539099</v>
      </c>
      <c r="J42" s="7">
        <f t="shared" si="1"/>
        <v>-1953.2829338165591</v>
      </c>
      <c r="K42" s="7">
        <f t="shared" si="3"/>
        <v>-162.77357781804659</v>
      </c>
      <c r="L42" s="3">
        <f t="shared" si="4"/>
        <v>74.25</v>
      </c>
    </row>
    <row r="43" spans="1:12" x14ac:dyDescent="0.45">
      <c r="G43" s="3">
        <v>3.5</v>
      </c>
      <c r="H43" s="7">
        <f t="shared" si="0"/>
        <v>1623.4650050960065</v>
      </c>
      <c r="I43" s="7">
        <f t="shared" si="2"/>
        <v>135.2887504246672</v>
      </c>
      <c r="J43" s="7">
        <f t="shared" si="1"/>
        <v>-2078.2894318699882</v>
      </c>
      <c r="K43" s="7">
        <f t="shared" si="3"/>
        <v>-173.19078598916568</v>
      </c>
      <c r="L43" s="3">
        <f t="shared" si="4"/>
        <v>74.25</v>
      </c>
    </row>
    <row r="47" spans="1:12" x14ac:dyDescent="0.45">
      <c r="G47" s="4"/>
      <c r="H47" s="4"/>
      <c r="I47" s="4"/>
    </row>
    <row r="48" spans="1:12" x14ac:dyDescent="0.45">
      <c r="G48"/>
      <c r="H48"/>
      <c r="I48"/>
    </row>
    <row r="49" spans="7:8" x14ac:dyDescent="0.45">
      <c r="G49"/>
      <c r="H49"/>
    </row>
    <row r="50" spans="7:8" x14ac:dyDescent="0.45">
      <c r="G50"/>
      <c r="H50"/>
    </row>
    <row r="51" spans="7:8" x14ac:dyDescent="0.45">
      <c r="G51"/>
      <c r="H51"/>
    </row>
    <row r="52" spans="7:8" x14ac:dyDescent="0.45">
      <c r="G52"/>
      <c r="H52"/>
    </row>
    <row r="53" spans="7:8" x14ac:dyDescent="0.45">
      <c r="G53"/>
      <c r="H53"/>
    </row>
    <row r="54" spans="7:8" x14ac:dyDescent="0.45">
      <c r="G54"/>
      <c r="H54"/>
    </row>
    <row r="55" spans="7:8" x14ac:dyDescent="0.45">
      <c r="G55"/>
      <c r="H55"/>
    </row>
    <row r="56" spans="7:8" x14ac:dyDescent="0.45">
      <c r="G56"/>
      <c r="H56"/>
    </row>
    <row r="57" spans="7:8" x14ac:dyDescent="0.45">
      <c r="G57"/>
      <c r="H57"/>
    </row>
    <row r="58" spans="7:8" x14ac:dyDescent="0.45">
      <c r="G58"/>
      <c r="H58"/>
    </row>
    <row r="59" spans="7:8" x14ac:dyDescent="0.45">
      <c r="G59"/>
      <c r="H59"/>
    </row>
    <row r="60" spans="7:8" x14ac:dyDescent="0.45">
      <c r="G60"/>
      <c r="H60"/>
    </row>
    <row r="61" spans="7:8" x14ac:dyDescent="0.45">
      <c r="G61"/>
      <c r="H61"/>
    </row>
  </sheetData>
  <mergeCells count="1">
    <mergeCell ref="A28:C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D84D8-D7E0-465A-92B3-61F1DC1412F6}">
  <dimension ref="A1:J15"/>
  <sheetViews>
    <sheetView workbookViewId="0">
      <selection activeCell="I13" sqref="I13"/>
    </sheetView>
  </sheetViews>
  <sheetFormatPr defaultRowHeight="14.25" x14ac:dyDescent="0.45"/>
  <cols>
    <col min="3" max="3" width="14.53125" customWidth="1"/>
  </cols>
  <sheetData>
    <row r="1" spans="1:10" x14ac:dyDescent="0.45">
      <c r="A1" t="s">
        <v>48</v>
      </c>
    </row>
    <row r="3" spans="1:10" ht="18" x14ac:dyDescent="0.55000000000000004">
      <c r="A3" s="1" t="s">
        <v>52</v>
      </c>
      <c r="G3" s="1" t="s">
        <v>56</v>
      </c>
    </row>
    <row r="5" spans="1:10" ht="15.75" x14ac:dyDescent="0.5">
      <c r="A5" s="2" t="s">
        <v>53</v>
      </c>
      <c r="B5" s="12">
        <v>30</v>
      </c>
      <c r="C5" t="s">
        <v>4</v>
      </c>
      <c r="H5" s="27" t="s">
        <v>60</v>
      </c>
    </row>
    <row r="6" spans="1:10" x14ac:dyDescent="0.45">
      <c r="A6" s="2" t="s">
        <v>54</v>
      </c>
      <c r="B6" s="12">
        <v>30</v>
      </c>
      <c r="C6" t="s">
        <v>4</v>
      </c>
      <c r="H6" t="s">
        <v>5</v>
      </c>
      <c r="I6" s="10">
        <f>ATAN((D11-B5/2)/D13)*57.2958</f>
        <v>21.088242348926485</v>
      </c>
      <c r="J6" t="s">
        <v>42</v>
      </c>
    </row>
    <row r="7" spans="1:10" x14ac:dyDescent="0.45">
      <c r="H7" t="s">
        <v>44</v>
      </c>
      <c r="I7" s="10">
        <f>SQRT((D11-B5/2)^2+D13^2)</f>
        <v>221.39756209136542</v>
      </c>
      <c r="J7" t="s">
        <v>4</v>
      </c>
    </row>
    <row r="8" spans="1:10" x14ac:dyDescent="0.45">
      <c r="I8" s="10">
        <f>ROUND(I7/12,1)</f>
        <v>18.399999999999999</v>
      </c>
      <c r="J8" t="s">
        <v>3</v>
      </c>
    </row>
    <row r="9" spans="1:10" ht="18" x14ac:dyDescent="0.55000000000000004">
      <c r="A9" s="1" t="s">
        <v>55</v>
      </c>
    </row>
    <row r="10" spans="1:10" x14ac:dyDescent="0.45">
      <c r="H10" s="2" t="s">
        <v>59</v>
      </c>
    </row>
    <row r="11" spans="1:10" x14ac:dyDescent="0.45">
      <c r="A11" s="2" t="s">
        <v>49</v>
      </c>
      <c r="D11" s="12">
        <v>94.66</v>
      </c>
      <c r="E11" t="s">
        <v>4</v>
      </c>
      <c r="H11" t="s">
        <v>5</v>
      </c>
      <c r="I11" s="10">
        <f>ATAN((D11-B5/2)/(D13+D14-D15-B6))*57.2958</f>
        <v>8.6904758463773213</v>
      </c>
      <c r="J11" t="s">
        <v>42</v>
      </c>
    </row>
    <row r="12" spans="1:10" x14ac:dyDescent="0.45">
      <c r="A12" s="2" t="s">
        <v>50</v>
      </c>
      <c r="D12" s="12">
        <v>120</v>
      </c>
      <c r="E12" t="s">
        <v>4</v>
      </c>
      <c r="H12" t="s">
        <v>44</v>
      </c>
      <c r="I12" s="10">
        <f>SQRT((D11-B5/2)^2+(D13+D14-D15-B6)^2)</f>
        <v>527.21291827875382</v>
      </c>
      <c r="J12" t="s">
        <v>4</v>
      </c>
    </row>
    <row r="13" spans="1:10" x14ac:dyDescent="0.45">
      <c r="A13" s="2" t="s">
        <v>51</v>
      </c>
      <c r="D13" s="12">
        <v>206.57</v>
      </c>
      <c r="E13" t="s">
        <v>4</v>
      </c>
      <c r="I13" s="10">
        <f>I12/12</f>
        <v>43.934409856562816</v>
      </c>
      <c r="J13" t="s">
        <v>3</v>
      </c>
    </row>
    <row r="14" spans="1:10" x14ac:dyDescent="0.45">
      <c r="A14" s="2" t="s">
        <v>57</v>
      </c>
      <c r="D14" s="12">
        <v>374.59</v>
      </c>
      <c r="E14" t="s">
        <v>4</v>
      </c>
    </row>
    <row r="15" spans="1:10" x14ac:dyDescent="0.45">
      <c r="A15" s="2" t="s">
        <v>58</v>
      </c>
      <c r="D15" s="12">
        <v>30</v>
      </c>
      <c r="E15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A684-C6B9-48D0-BA62-41E5059F4BE2}">
  <dimension ref="A1:P75"/>
  <sheetViews>
    <sheetView workbookViewId="0">
      <selection activeCell="C8" sqref="C8"/>
    </sheetView>
  </sheetViews>
  <sheetFormatPr defaultRowHeight="14.25" x14ac:dyDescent="0.45"/>
  <cols>
    <col min="1" max="1" width="10.19921875" customWidth="1"/>
    <col min="2" max="2" width="11.9296875" customWidth="1"/>
    <col min="3" max="3" width="12.9296875" customWidth="1"/>
    <col min="8" max="12" width="14.53125" style="3" customWidth="1"/>
    <col min="13" max="13" width="17.6640625" style="3" customWidth="1"/>
    <col min="14" max="14" width="14.53125" customWidth="1"/>
  </cols>
  <sheetData>
    <row r="1" spans="1:16" ht="18" x14ac:dyDescent="0.55000000000000004">
      <c r="A1" s="1" t="s">
        <v>0</v>
      </c>
    </row>
    <row r="2" spans="1:16" ht="18" x14ac:dyDescent="0.55000000000000004">
      <c r="A2" s="1" t="s">
        <v>1</v>
      </c>
    </row>
    <row r="4" spans="1:16" x14ac:dyDescent="0.45">
      <c r="A4" s="2" t="s">
        <v>10</v>
      </c>
      <c r="C4">
        <v>8</v>
      </c>
      <c r="D4" t="s">
        <v>3</v>
      </c>
      <c r="E4">
        <f>C4*12+C5</f>
        <v>98.25</v>
      </c>
      <c r="F4" t="s">
        <v>4</v>
      </c>
      <c r="H4" s="4" t="s">
        <v>2</v>
      </c>
      <c r="I4" s="3">
        <f>E5-E7</f>
        <v>188.595</v>
      </c>
      <c r="J4" s="3" t="s">
        <v>9</v>
      </c>
      <c r="K4" s="3">
        <f>E4-C7</f>
        <v>74.25</v>
      </c>
      <c r="L4" s="3" t="s">
        <v>4</v>
      </c>
    </row>
    <row r="5" spans="1:16" x14ac:dyDescent="0.45">
      <c r="C5">
        <v>2.25</v>
      </c>
      <c r="D5" t="s">
        <v>4</v>
      </c>
      <c r="E5">
        <f>E4*2.54</f>
        <v>249.55500000000001</v>
      </c>
      <c r="F5" t="s">
        <v>9</v>
      </c>
    </row>
    <row r="6" spans="1:16" x14ac:dyDescent="0.45">
      <c r="H6" s="4" t="s">
        <v>6</v>
      </c>
      <c r="I6" s="4" t="s">
        <v>6</v>
      </c>
      <c r="J6" s="4" t="s">
        <v>8</v>
      </c>
      <c r="K6" s="4" t="s">
        <v>8</v>
      </c>
      <c r="L6" s="4" t="s">
        <v>15</v>
      </c>
      <c r="M6" s="4" t="s">
        <v>15</v>
      </c>
      <c r="N6" s="4" t="s">
        <v>15</v>
      </c>
    </row>
    <row r="7" spans="1:16" ht="14.65" thickBot="1" x14ac:dyDescent="0.5">
      <c r="A7" s="2" t="s">
        <v>7</v>
      </c>
      <c r="C7">
        <v>24</v>
      </c>
      <c r="D7" t="s">
        <v>4</v>
      </c>
      <c r="E7">
        <f>C7*2.54</f>
        <v>60.96</v>
      </c>
      <c r="F7" t="s">
        <v>9</v>
      </c>
      <c r="H7" s="5" t="s">
        <v>17</v>
      </c>
      <c r="I7" s="5" t="s">
        <v>5</v>
      </c>
      <c r="J7" s="5" t="s">
        <v>14</v>
      </c>
      <c r="K7" s="5" t="s">
        <v>16</v>
      </c>
      <c r="L7" s="5" t="s">
        <v>14</v>
      </c>
      <c r="M7" s="5" t="s">
        <v>16</v>
      </c>
      <c r="N7" s="5" t="s">
        <v>18</v>
      </c>
    </row>
    <row r="8" spans="1:16" x14ac:dyDescent="0.45">
      <c r="H8" s="3">
        <v>5</v>
      </c>
      <c r="I8" s="3">
        <v>10</v>
      </c>
      <c r="J8" s="6">
        <f t="shared" ref="J8:J15" si="0">((H8*12*2.54)^2*SIN(I8*0.01745)^2)/(2*$C$10)</f>
        <v>0.35681999715249701</v>
      </c>
      <c r="K8" s="7">
        <f>J8/2.54</f>
        <v>0.14048031383956575</v>
      </c>
      <c r="L8" s="7">
        <f t="shared" ref="L8:L15" si="1">(((H8*12*2.54)^2)/$C$10)*SIN(2*I8*0.01745)/2</f>
        <v>4.0480329036253302</v>
      </c>
      <c r="M8" s="7">
        <f>L8/2.54</f>
        <v>1.5937137415847757</v>
      </c>
      <c r="N8" s="8">
        <f>M8/12</f>
        <v>0.13280947846539798</v>
      </c>
      <c r="P8">
        <f>$K$4</f>
        <v>74.25</v>
      </c>
    </row>
    <row r="9" spans="1:16" x14ac:dyDescent="0.45">
      <c r="A9" s="2" t="s">
        <v>11</v>
      </c>
      <c r="C9">
        <v>9.81</v>
      </c>
      <c r="D9" t="s">
        <v>12</v>
      </c>
      <c r="H9" s="3">
        <v>5</v>
      </c>
      <c r="I9" s="3">
        <v>20</v>
      </c>
      <c r="J9" s="6">
        <f t="shared" si="0"/>
        <v>1.3842583021132988</v>
      </c>
      <c r="K9" s="7">
        <f t="shared" ref="K9:K15" si="2">J9/2.54</f>
        <v>0.54498358350917275</v>
      </c>
      <c r="L9" s="7">
        <f t="shared" si="1"/>
        <v>7.6079956208882571</v>
      </c>
      <c r="M9" s="7">
        <f t="shared" ref="M9:M15" si="3">L9/2.54</f>
        <v>2.9952738664914396</v>
      </c>
      <c r="N9" s="8">
        <f t="shared" ref="N9:N15" si="4">M9/12</f>
        <v>0.24960615554095331</v>
      </c>
      <c r="P9">
        <f t="shared" ref="P9:P15" si="5">$K$4</f>
        <v>74.25</v>
      </c>
    </row>
    <row r="10" spans="1:16" x14ac:dyDescent="0.45">
      <c r="C10">
        <f>C9*100</f>
        <v>981</v>
      </c>
      <c r="D10" t="s">
        <v>13</v>
      </c>
      <c r="H10" s="3">
        <v>5</v>
      </c>
      <c r="I10" s="3">
        <v>30</v>
      </c>
      <c r="J10" s="6">
        <f t="shared" si="0"/>
        <v>2.9584369680087543</v>
      </c>
      <c r="K10" s="7">
        <f t="shared" si="2"/>
        <v>1.1647389637829741</v>
      </c>
      <c r="L10" s="7">
        <f t="shared" si="1"/>
        <v>10.250664450246822</v>
      </c>
      <c r="M10" s="7">
        <f t="shared" si="3"/>
        <v>4.0356946654515049</v>
      </c>
      <c r="N10" s="8">
        <f t="shared" si="4"/>
        <v>0.33630788878762541</v>
      </c>
      <c r="P10">
        <f t="shared" si="5"/>
        <v>74.25</v>
      </c>
    </row>
    <row r="11" spans="1:16" x14ac:dyDescent="0.45">
      <c r="H11" s="3">
        <v>5</v>
      </c>
      <c r="I11" s="3">
        <v>40</v>
      </c>
      <c r="J11" s="6">
        <f t="shared" si="0"/>
        <v>4.8895577167311863</v>
      </c>
      <c r="K11" s="7">
        <f t="shared" si="2"/>
        <v>1.9250227231225143</v>
      </c>
      <c r="L11" s="7">
        <f t="shared" si="1"/>
        <v>11.657413555709415</v>
      </c>
      <c r="M11" s="7">
        <f t="shared" si="3"/>
        <v>4.5895328959485884</v>
      </c>
      <c r="N11" s="8">
        <f t="shared" si="4"/>
        <v>0.38246107466238238</v>
      </c>
      <c r="P11">
        <f t="shared" si="5"/>
        <v>74.25</v>
      </c>
    </row>
    <row r="12" spans="1:16" x14ac:dyDescent="0.45">
      <c r="H12" s="3">
        <v>5</v>
      </c>
      <c r="I12" s="3">
        <v>50</v>
      </c>
      <c r="J12" s="6">
        <f t="shared" si="0"/>
        <v>6.9447858638408624</v>
      </c>
      <c r="K12" s="7">
        <f t="shared" si="2"/>
        <v>2.7341676629294733</v>
      </c>
      <c r="L12" s="7">
        <f t="shared" si="1"/>
        <v>11.658631594084296</v>
      </c>
      <c r="M12" s="7">
        <f t="shared" si="3"/>
        <v>4.5900124386158643</v>
      </c>
      <c r="N12" s="8">
        <f t="shared" si="4"/>
        <v>0.382501036551322</v>
      </c>
      <c r="P12">
        <f t="shared" si="5"/>
        <v>74.25</v>
      </c>
    </row>
    <row r="13" spans="1:16" x14ac:dyDescent="0.45">
      <c r="H13" s="3">
        <v>5</v>
      </c>
      <c r="I13" s="3">
        <v>60</v>
      </c>
      <c r="J13" s="6">
        <f t="shared" si="0"/>
        <v>8.876323130850782</v>
      </c>
      <c r="K13" s="7">
        <f t="shared" si="2"/>
        <v>3.4946154058467647</v>
      </c>
      <c r="L13" s="7">
        <f t="shared" si="1"/>
        <v>10.254171706827876</v>
      </c>
      <c r="M13" s="7">
        <f t="shared" si="3"/>
        <v>4.0370754751290852</v>
      </c>
      <c r="N13" s="8">
        <f t="shared" si="4"/>
        <v>0.33642295626075708</v>
      </c>
      <c r="P13">
        <f t="shared" si="5"/>
        <v>74.25</v>
      </c>
    </row>
    <row r="14" spans="1:16" x14ac:dyDescent="0.45">
      <c r="H14" s="3">
        <v>5</v>
      </c>
      <c r="I14" s="3">
        <v>70</v>
      </c>
      <c r="J14" s="6">
        <f t="shared" si="0"/>
        <v>10.45128461382868</v>
      </c>
      <c r="K14" s="7">
        <f t="shared" si="2"/>
        <v>4.1146789818223146</v>
      </c>
      <c r="L14" s="7">
        <f t="shared" si="1"/>
        <v>7.6133692267379294</v>
      </c>
      <c r="M14" s="7">
        <f t="shared" si="3"/>
        <v>2.9973894593456416</v>
      </c>
      <c r="N14" s="8">
        <f t="shared" si="4"/>
        <v>0.24978245494547013</v>
      </c>
      <c r="P14">
        <f t="shared" si="5"/>
        <v>74.25</v>
      </c>
    </row>
    <row r="15" spans="1:16" x14ac:dyDescent="0.45">
      <c r="H15" s="3">
        <v>5</v>
      </c>
      <c r="I15" s="3">
        <v>80</v>
      </c>
      <c r="J15" s="6">
        <f t="shared" si="0"/>
        <v>11.479777650631862</v>
      </c>
      <c r="K15" s="7">
        <f t="shared" si="2"/>
        <v>4.5195975002487643</v>
      </c>
      <c r="L15" s="7">
        <f t="shared" si="1"/>
        <v>4.0546249646007331</v>
      </c>
      <c r="M15" s="7">
        <f t="shared" si="3"/>
        <v>1.5963090411813909</v>
      </c>
      <c r="N15" s="8">
        <f t="shared" si="4"/>
        <v>0.13302575343178258</v>
      </c>
      <c r="P15">
        <f t="shared" si="5"/>
        <v>74.25</v>
      </c>
    </row>
    <row r="17" spans="1:14" ht="18" x14ac:dyDescent="0.55000000000000004">
      <c r="A17" s="1" t="s">
        <v>43</v>
      </c>
    </row>
    <row r="18" spans="1:14" x14ac:dyDescent="0.45">
      <c r="H18" s="4" t="s">
        <v>6</v>
      </c>
      <c r="I18" s="4" t="s">
        <v>6</v>
      </c>
      <c r="J18" s="4" t="s">
        <v>8</v>
      </c>
      <c r="K18" s="4" t="s">
        <v>8</v>
      </c>
      <c r="L18" s="4" t="s">
        <v>15</v>
      </c>
      <c r="M18" s="4" t="s">
        <v>15</v>
      </c>
      <c r="N18" s="4" t="s">
        <v>15</v>
      </c>
    </row>
    <row r="19" spans="1:14" ht="14.65" thickBot="1" x14ac:dyDescent="0.5">
      <c r="A19" s="2" t="s">
        <v>46</v>
      </c>
      <c r="C19" s="12">
        <v>45</v>
      </c>
      <c r="D19" t="s">
        <v>4</v>
      </c>
      <c r="H19" s="5" t="s">
        <v>17</v>
      </c>
      <c r="I19" s="5" t="s">
        <v>5</v>
      </c>
      <c r="J19" s="5" t="s">
        <v>14</v>
      </c>
      <c r="K19" s="5" t="s">
        <v>16</v>
      </c>
      <c r="L19" s="5" t="s">
        <v>14</v>
      </c>
      <c r="M19" s="5" t="s">
        <v>16</v>
      </c>
      <c r="N19" s="5" t="s">
        <v>18</v>
      </c>
    </row>
    <row r="20" spans="1:14" x14ac:dyDescent="0.45">
      <c r="A20" s="2" t="s">
        <v>47</v>
      </c>
      <c r="C20" s="12">
        <v>7</v>
      </c>
      <c r="D20" t="s">
        <v>4</v>
      </c>
      <c r="H20" s="3">
        <v>10</v>
      </c>
      <c r="I20" s="3">
        <v>10</v>
      </c>
      <c r="J20" s="6">
        <f t="shared" ref="J20:J27" si="6">((H20*12*2.54)^2*SIN(I20*0.01745)^2)/(2*$C$10)</f>
        <v>1.4272799886099881</v>
      </c>
      <c r="K20" s="7">
        <f>J20/2.54</f>
        <v>0.56192125535826298</v>
      </c>
      <c r="L20" s="7">
        <f t="shared" ref="L20:L27" si="7">(((H20*12*2.54)^2)/$C$10)*SIN(2*I20*0.01745)/2</f>
        <v>16.192131614501321</v>
      </c>
      <c r="M20" s="7">
        <f>L20/2.54</f>
        <v>6.374854966339103</v>
      </c>
      <c r="N20" s="8">
        <f>M20/12</f>
        <v>0.53123791386159191</v>
      </c>
    </row>
    <row r="21" spans="1:14" x14ac:dyDescent="0.45">
      <c r="H21" s="3">
        <v>10</v>
      </c>
      <c r="I21" s="3">
        <v>20</v>
      </c>
      <c r="J21" s="6">
        <f t="shared" si="6"/>
        <v>5.5370332084531952</v>
      </c>
      <c r="K21" s="7">
        <f t="shared" ref="K21:K27" si="8">J21/2.54</f>
        <v>2.179934334036691</v>
      </c>
      <c r="L21" s="7">
        <f t="shared" si="7"/>
        <v>30.431982483553028</v>
      </c>
      <c r="M21" s="7">
        <f t="shared" ref="M21:M27" si="9">L21/2.54</f>
        <v>11.981095465965758</v>
      </c>
      <c r="N21" s="8">
        <f t="shared" ref="N21:N27" si="10">M21/12</f>
        <v>0.99842462216381322</v>
      </c>
    </row>
    <row r="22" spans="1:14" x14ac:dyDescent="0.45">
      <c r="A22" s="4" t="s">
        <v>6</v>
      </c>
      <c r="B22" s="4" t="s">
        <v>45</v>
      </c>
      <c r="C22" s="4" t="s">
        <v>45</v>
      </c>
      <c r="H22" s="3">
        <v>10</v>
      </c>
      <c r="I22" s="3">
        <v>30</v>
      </c>
      <c r="J22" s="6">
        <f t="shared" si="6"/>
        <v>11.833747872035017</v>
      </c>
      <c r="K22" s="7">
        <f t="shared" si="8"/>
        <v>4.6589558551318966</v>
      </c>
      <c r="L22" s="7">
        <f t="shared" si="7"/>
        <v>41.002657800987286</v>
      </c>
      <c r="M22" s="7">
        <f t="shared" si="9"/>
        <v>16.14277866180602</v>
      </c>
      <c r="N22" s="8">
        <f t="shared" si="10"/>
        <v>1.3452315551505016</v>
      </c>
    </row>
    <row r="23" spans="1:14" ht="14.65" thickBot="1" x14ac:dyDescent="0.5">
      <c r="A23" s="5" t="s">
        <v>5</v>
      </c>
      <c r="B23" s="5" t="s">
        <v>31</v>
      </c>
      <c r="C23" s="5" t="s">
        <v>34</v>
      </c>
      <c r="H23" s="3">
        <v>10</v>
      </c>
      <c r="I23" s="3">
        <v>40</v>
      </c>
      <c r="J23" s="6">
        <f t="shared" si="6"/>
        <v>19.558230866924745</v>
      </c>
      <c r="K23" s="7">
        <f t="shared" si="8"/>
        <v>7.7000908924900573</v>
      </c>
      <c r="L23" s="7">
        <f t="shared" si="7"/>
        <v>46.629654222837658</v>
      </c>
      <c r="M23" s="7">
        <f t="shared" si="9"/>
        <v>18.358131583794354</v>
      </c>
      <c r="N23" s="8">
        <f t="shared" si="10"/>
        <v>1.5298442986495295</v>
      </c>
    </row>
    <row r="24" spans="1:14" x14ac:dyDescent="0.45">
      <c r="A24" s="3">
        <v>20</v>
      </c>
      <c r="B24" s="26">
        <f>($C$19-$C$7+$C$20/2)/TAN(A24*0.01745)</f>
        <v>67.326991077892842</v>
      </c>
      <c r="C24" s="26">
        <f>B24/12</f>
        <v>5.6105825898244035</v>
      </c>
      <c r="H24" s="3">
        <v>10</v>
      </c>
      <c r="I24" s="3">
        <v>50</v>
      </c>
      <c r="J24" s="6">
        <f t="shared" si="6"/>
        <v>27.77914345536345</v>
      </c>
      <c r="K24" s="7">
        <f t="shared" si="8"/>
        <v>10.936670651717893</v>
      </c>
      <c r="L24" s="7">
        <f t="shared" si="7"/>
        <v>46.634526376337185</v>
      </c>
      <c r="M24" s="7">
        <f t="shared" si="9"/>
        <v>18.360049754463457</v>
      </c>
      <c r="N24" s="8">
        <f t="shared" si="10"/>
        <v>1.530004146205288</v>
      </c>
    </row>
    <row r="25" spans="1:14" x14ac:dyDescent="0.45">
      <c r="A25" s="3">
        <v>25</v>
      </c>
      <c r="B25" s="26">
        <f t="shared" ref="B25:B36" si="11">($C$19-$C$7+$C$20/2)/TAN(A25*0.01745)</f>
        <v>52.551712691083466</v>
      </c>
      <c r="C25" s="26">
        <f t="shared" ref="C25:C36" si="12">B25/12</f>
        <v>4.3793093909236225</v>
      </c>
      <c r="H25" s="3">
        <v>10</v>
      </c>
      <c r="I25" s="3">
        <v>60</v>
      </c>
      <c r="J25" s="6">
        <f t="shared" si="6"/>
        <v>35.505292523403128</v>
      </c>
      <c r="K25" s="7">
        <f t="shared" si="8"/>
        <v>13.978461623387059</v>
      </c>
      <c r="L25" s="7">
        <f t="shared" si="7"/>
        <v>41.016686827311503</v>
      </c>
      <c r="M25" s="7">
        <f t="shared" si="9"/>
        <v>16.148301900516341</v>
      </c>
      <c r="N25" s="8">
        <f t="shared" si="10"/>
        <v>1.3456918250430283</v>
      </c>
    </row>
    <row r="26" spans="1:14" x14ac:dyDescent="0.45">
      <c r="A26" s="3">
        <v>30</v>
      </c>
      <c r="B26" s="26">
        <f t="shared" si="11"/>
        <v>42.444926450483692</v>
      </c>
      <c r="C26" s="26">
        <f t="shared" si="12"/>
        <v>3.5370772042069745</v>
      </c>
      <c r="H26" s="3">
        <v>10</v>
      </c>
      <c r="I26" s="3">
        <v>70</v>
      </c>
      <c r="J26" s="6">
        <f t="shared" si="6"/>
        <v>41.805138455314719</v>
      </c>
      <c r="K26" s="7">
        <f t="shared" si="8"/>
        <v>16.458715927289258</v>
      </c>
      <c r="L26" s="7">
        <f t="shared" si="7"/>
        <v>30.453476906951717</v>
      </c>
      <c r="M26" s="7">
        <f t="shared" si="9"/>
        <v>11.989557837382566</v>
      </c>
      <c r="N26" s="8">
        <f t="shared" si="10"/>
        <v>0.99912981978188053</v>
      </c>
    </row>
    <row r="27" spans="1:14" x14ac:dyDescent="0.45">
      <c r="A27" s="3">
        <v>35</v>
      </c>
      <c r="B27" s="26">
        <f t="shared" si="11"/>
        <v>34.998209408478502</v>
      </c>
      <c r="C27" s="26">
        <f t="shared" si="12"/>
        <v>2.9165174507065417</v>
      </c>
      <c r="H27" s="3">
        <v>10</v>
      </c>
      <c r="I27" s="3">
        <v>80</v>
      </c>
      <c r="J27" s="6">
        <f t="shared" si="6"/>
        <v>45.919110602527446</v>
      </c>
      <c r="K27" s="7">
        <f t="shared" si="8"/>
        <v>18.078390000995057</v>
      </c>
      <c r="L27" s="7">
        <f t="shared" si="7"/>
        <v>16.218499858402932</v>
      </c>
      <c r="M27" s="7">
        <f t="shared" si="9"/>
        <v>6.3852361647255638</v>
      </c>
      <c r="N27" s="8">
        <f t="shared" si="10"/>
        <v>0.53210301372713031</v>
      </c>
    </row>
    <row r="28" spans="1:14" x14ac:dyDescent="0.45">
      <c r="A28" s="3">
        <v>40</v>
      </c>
      <c r="B28" s="26">
        <f t="shared" si="11"/>
        <v>29.205773677400945</v>
      </c>
      <c r="C28" s="26">
        <f t="shared" si="12"/>
        <v>2.4338144731167453</v>
      </c>
    </row>
    <row r="29" spans="1:14" x14ac:dyDescent="0.45">
      <c r="A29" s="3">
        <v>45</v>
      </c>
      <c r="B29" s="26">
        <f t="shared" si="11"/>
        <v>24.507261082354731</v>
      </c>
      <c r="C29" s="26">
        <f t="shared" si="12"/>
        <v>2.0422717568628941</v>
      </c>
    </row>
    <row r="30" spans="1:14" x14ac:dyDescent="0.45">
      <c r="A30" s="3">
        <v>50</v>
      </c>
      <c r="B30" s="26">
        <f t="shared" si="11"/>
        <v>20.564815075312634</v>
      </c>
      <c r="C30" s="26">
        <f t="shared" si="12"/>
        <v>1.7137345896093861</v>
      </c>
      <c r="H30" s="4" t="s">
        <v>6</v>
      </c>
      <c r="I30" s="4" t="s">
        <v>6</v>
      </c>
      <c r="J30" s="4" t="s">
        <v>8</v>
      </c>
      <c r="K30" s="4" t="s">
        <v>8</v>
      </c>
      <c r="L30" s="4" t="s">
        <v>15</v>
      </c>
      <c r="M30" s="4" t="s">
        <v>15</v>
      </c>
      <c r="N30" s="4" t="s">
        <v>15</v>
      </c>
    </row>
    <row r="31" spans="1:14" ht="14.65" thickBot="1" x14ac:dyDescent="0.5">
      <c r="A31" s="3">
        <v>55</v>
      </c>
      <c r="B31" s="26">
        <f t="shared" si="11"/>
        <v>17.161697453216796</v>
      </c>
      <c r="C31" s="26">
        <f t="shared" si="12"/>
        <v>1.4301414544347331</v>
      </c>
      <c r="H31" s="5" t="s">
        <v>17</v>
      </c>
      <c r="I31" s="5" t="s">
        <v>5</v>
      </c>
      <c r="J31" s="5" t="s">
        <v>14</v>
      </c>
      <c r="K31" s="5" t="s">
        <v>16</v>
      </c>
      <c r="L31" s="5" t="s">
        <v>14</v>
      </c>
      <c r="M31" s="5" t="s">
        <v>16</v>
      </c>
      <c r="N31" s="5" t="s">
        <v>18</v>
      </c>
    </row>
    <row r="32" spans="1:14" x14ac:dyDescent="0.45">
      <c r="A32" s="3">
        <v>60</v>
      </c>
      <c r="B32" s="26">
        <f t="shared" si="11"/>
        <v>14.151535670446192</v>
      </c>
      <c r="C32" s="26">
        <f t="shared" si="12"/>
        <v>1.1792946392038492</v>
      </c>
      <c r="H32" s="3">
        <v>20</v>
      </c>
      <c r="I32" s="3">
        <v>10</v>
      </c>
      <c r="J32" s="6">
        <f t="shared" ref="J32:J39" si="13">((H32*12*2.54)^2*SIN(I32*0.01745)^2)/(2*$C$10)</f>
        <v>5.7091199544399522</v>
      </c>
      <c r="K32" s="7">
        <f>J32/2.54</f>
        <v>2.2476850214330519</v>
      </c>
      <c r="L32" s="7">
        <f t="shared" ref="L32:L39" si="14">(((H32*12*2.54)^2)/$C$10)*SIN(2*I32*0.01745)/2</f>
        <v>64.768526458005283</v>
      </c>
      <c r="M32" s="7">
        <f>L32/2.54</f>
        <v>25.499419865356412</v>
      </c>
      <c r="N32" s="8">
        <f>M32/12</f>
        <v>2.1249516554463677</v>
      </c>
    </row>
    <row r="33" spans="1:14" x14ac:dyDescent="0.45">
      <c r="A33" s="3">
        <v>65</v>
      </c>
      <c r="B33" s="26">
        <f t="shared" si="11"/>
        <v>11.430921726280408</v>
      </c>
      <c r="C33" s="26">
        <f t="shared" si="12"/>
        <v>0.95257681052336729</v>
      </c>
      <c r="H33" s="3">
        <v>20</v>
      </c>
      <c r="I33" s="3">
        <v>20</v>
      </c>
      <c r="J33" s="6">
        <f t="shared" si="13"/>
        <v>22.148132833812781</v>
      </c>
      <c r="K33" s="7">
        <f t="shared" ref="K33:K39" si="15">J33/2.54</f>
        <v>8.7197373361467641</v>
      </c>
      <c r="L33" s="7">
        <f t="shared" si="14"/>
        <v>121.72792993421211</v>
      </c>
      <c r="M33" s="7">
        <f t="shared" ref="M33:M39" si="16">L33/2.54</f>
        <v>47.924381863863033</v>
      </c>
      <c r="N33" s="8">
        <f t="shared" ref="N33:N39" si="17">M33/12</f>
        <v>3.9936984886552529</v>
      </c>
    </row>
    <row r="34" spans="1:14" x14ac:dyDescent="0.45">
      <c r="A34" s="3">
        <v>70</v>
      </c>
      <c r="B34" s="26">
        <f t="shared" si="11"/>
        <v>8.9236659868718071</v>
      </c>
      <c r="C34" s="26">
        <f t="shared" si="12"/>
        <v>0.74363883223931726</v>
      </c>
      <c r="H34" s="3">
        <v>20</v>
      </c>
      <c r="I34" s="3">
        <v>30</v>
      </c>
      <c r="J34" s="6">
        <f t="shared" si="13"/>
        <v>47.334991488140069</v>
      </c>
      <c r="K34" s="7">
        <f t="shared" si="15"/>
        <v>18.635823420527586</v>
      </c>
      <c r="L34" s="7">
        <f t="shared" si="14"/>
        <v>164.01063120394915</v>
      </c>
      <c r="M34" s="7">
        <f t="shared" si="16"/>
        <v>64.571114647224078</v>
      </c>
      <c r="N34" s="8">
        <f t="shared" si="17"/>
        <v>5.3809262206020065</v>
      </c>
    </row>
    <row r="35" spans="1:14" x14ac:dyDescent="0.45">
      <c r="A35" s="3">
        <v>75</v>
      </c>
      <c r="B35" s="26">
        <f t="shared" si="11"/>
        <v>6.5712400200151571</v>
      </c>
      <c r="C35" s="26">
        <f t="shared" si="12"/>
        <v>0.54760333500126313</v>
      </c>
      <c r="H35" s="3">
        <v>20</v>
      </c>
      <c r="I35" s="3">
        <v>40</v>
      </c>
      <c r="J35" s="6">
        <f t="shared" si="13"/>
        <v>78.232923467698981</v>
      </c>
      <c r="K35" s="7">
        <f t="shared" si="15"/>
        <v>30.800363569960229</v>
      </c>
      <c r="L35" s="7">
        <f t="shared" si="14"/>
        <v>186.51861689135063</v>
      </c>
      <c r="M35" s="7">
        <f t="shared" si="16"/>
        <v>73.432526335177414</v>
      </c>
      <c r="N35" s="8">
        <f t="shared" si="17"/>
        <v>6.1193771945981181</v>
      </c>
    </row>
    <row r="36" spans="1:14" x14ac:dyDescent="0.45">
      <c r="A36" s="3">
        <v>80</v>
      </c>
      <c r="B36" s="26">
        <f t="shared" si="11"/>
        <v>4.3266653177402903</v>
      </c>
      <c r="C36" s="26">
        <f t="shared" si="12"/>
        <v>0.36055544314502419</v>
      </c>
      <c r="H36" s="3">
        <v>20</v>
      </c>
      <c r="I36" s="3">
        <v>50</v>
      </c>
      <c r="J36" s="6">
        <f t="shared" si="13"/>
        <v>111.1165738214538</v>
      </c>
      <c r="K36" s="7">
        <f t="shared" si="15"/>
        <v>43.746682606871573</v>
      </c>
      <c r="L36" s="7">
        <f t="shared" si="14"/>
        <v>186.53810550534874</v>
      </c>
      <c r="M36" s="7">
        <f t="shared" si="16"/>
        <v>73.440199017853828</v>
      </c>
      <c r="N36" s="8">
        <f t="shared" si="17"/>
        <v>6.1200165848211521</v>
      </c>
    </row>
    <row r="37" spans="1:14" x14ac:dyDescent="0.45">
      <c r="A37" s="3"/>
      <c r="B37" s="3"/>
      <c r="H37" s="3">
        <v>20</v>
      </c>
      <c r="I37" s="3">
        <v>60</v>
      </c>
      <c r="J37" s="6">
        <f t="shared" si="13"/>
        <v>142.02117009361251</v>
      </c>
      <c r="K37" s="7">
        <f t="shared" si="15"/>
        <v>55.913846493548235</v>
      </c>
      <c r="L37" s="7">
        <f t="shared" si="14"/>
        <v>164.06674730924601</v>
      </c>
      <c r="M37" s="7">
        <f t="shared" si="16"/>
        <v>64.593207602065362</v>
      </c>
      <c r="N37" s="8">
        <f t="shared" si="17"/>
        <v>5.3827673001721132</v>
      </c>
    </row>
    <row r="38" spans="1:14" x14ac:dyDescent="0.45">
      <c r="A38" s="3"/>
      <c r="B38" s="3"/>
      <c r="H38" s="3">
        <v>20</v>
      </c>
      <c r="I38" s="3">
        <v>70</v>
      </c>
      <c r="J38" s="6">
        <f t="shared" si="13"/>
        <v>167.22055382125887</v>
      </c>
      <c r="K38" s="7">
        <f t="shared" si="15"/>
        <v>65.834863709157034</v>
      </c>
      <c r="L38" s="7">
        <f t="shared" si="14"/>
        <v>121.81390762780687</v>
      </c>
      <c r="M38" s="7">
        <f t="shared" si="16"/>
        <v>47.958231349530266</v>
      </c>
      <c r="N38" s="8">
        <f t="shared" si="17"/>
        <v>3.9965192791275221</v>
      </c>
    </row>
    <row r="39" spans="1:14" x14ac:dyDescent="0.45">
      <c r="A39" s="3"/>
      <c r="B39" s="3"/>
      <c r="H39" s="3">
        <v>20</v>
      </c>
      <c r="I39" s="3">
        <v>80</v>
      </c>
      <c r="J39" s="6">
        <f t="shared" si="13"/>
        <v>183.67644241010979</v>
      </c>
      <c r="K39" s="7">
        <f t="shared" si="15"/>
        <v>72.313560003980228</v>
      </c>
      <c r="L39" s="7">
        <f t="shared" si="14"/>
        <v>64.873999433611729</v>
      </c>
      <c r="M39" s="7">
        <f t="shared" si="16"/>
        <v>25.540944658902255</v>
      </c>
      <c r="N39" s="8">
        <f t="shared" si="17"/>
        <v>2.1284120549085213</v>
      </c>
    </row>
    <row r="40" spans="1:14" x14ac:dyDescent="0.45">
      <c r="A40" s="3"/>
      <c r="B40" s="3"/>
    </row>
    <row r="41" spans="1:14" x14ac:dyDescent="0.45">
      <c r="A41" s="3"/>
      <c r="B41" s="3"/>
    </row>
    <row r="42" spans="1:14" x14ac:dyDescent="0.45">
      <c r="A42" s="3"/>
      <c r="B42" s="3"/>
      <c r="H42" s="4" t="s">
        <v>6</v>
      </c>
      <c r="I42" s="4" t="s">
        <v>6</v>
      </c>
      <c r="J42" s="4" t="s">
        <v>8</v>
      </c>
      <c r="K42" s="4" t="s">
        <v>8</v>
      </c>
      <c r="L42" s="4" t="s">
        <v>15</v>
      </c>
      <c r="M42" s="4" t="s">
        <v>15</v>
      </c>
      <c r="N42" s="4" t="s">
        <v>15</v>
      </c>
    </row>
    <row r="43" spans="1:14" ht="14.65" thickBot="1" x14ac:dyDescent="0.5">
      <c r="A43" s="3"/>
      <c r="B43" s="3"/>
      <c r="H43" s="5" t="s">
        <v>17</v>
      </c>
      <c r="I43" s="5" t="s">
        <v>5</v>
      </c>
      <c r="J43" s="5" t="s">
        <v>14</v>
      </c>
      <c r="K43" s="5" t="s">
        <v>16</v>
      </c>
      <c r="L43" s="5" t="s">
        <v>14</v>
      </c>
      <c r="M43" s="5" t="s">
        <v>16</v>
      </c>
      <c r="N43" s="5" t="s">
        <v>18</v>
      </c>
    </row>
    <row r="44" spans="1:14" x14ac:dyDescent="0.45">
      <c r="A44" s="3"/>
      <c r="B44" s="3"/>
      <c r="H44" s="3">
        <v>30</v>
      </c>
      <c r="I44" s="3">
        <v>10</v>
      </c>
      <c r="J44" s="6">
        <f t="shared" ref="J44:J51" si="18">((H44*12*2.54)^2*SIN(I44*0.01745)^2)/(2*$C$10)</f>
        <v>12.84551989748989</v>
      </c>
      <c r="K44" s="7">
        <f>J44/2.54</f>
        <v>5.0572912982243663</v>
      </c>
      <c r="L44" s="7">
        <f t="shared" ref="L44:L51" si="19">(((H44*12*2.54)^2)/$C$10)*SIN(2*I44*0.01745)/2</f>
        <v>145.72918453051187</v>
      </c>
      <c r="M44" s="7">
        <f>L44/2.54</f>
        <v>57.373694697051917</v>
      </c>
      <c r="N44" s="8">
        <f>M44/12</f>
        <v>4.7811412247543261</v>
      </c>
    </row>
    <row r="45" spans="1:14" x14ac:dyDescent="0.45">
      <c r="A45" s="3"/>
      <c r="B45" s="3"/>
      <c r="H45" s="3">
        <v>30</v>
      </c>
      <c r="I45" s="3">
        <v>20</v>
      </c>
      <c r="J45" s="6">
        <f t="shared" si="18"/>
        <v>49.83329887607875</v>
      </c>
      <c r="K45" s="7">
        <f t="shared" ref="K45:K51" si="20">J45/2.54</f>
        <v>19.619409006330216</v>
      </c>
      <c r="L45" s="7">
        <f t="shared" si="19"/>
        <v>273.88784235197727</v>
      </c>
      <c r="M45" s="7">
        <f t="shared" ref="M45:M51" si="21">L45/2.54</f>
        <v>107.82985919369183</v>
      </c>
      <c r="N45" s="8">
        <f t="shared" ref="N45:N51" si="22">M45/12</f>
        <v>8.9858215994743187</v>
      </c>
    </row>
    <row r="46" spans="1:14" x14ac:dyDescent="0.45">
      <c r="A46" s="3"/>
      <c r="B46" s="3"/>
      <c r="H46" s="3">
        <v>30</v>
      </c>
      <c r="I46" s="3">
        <v>30</v>
      </c>
      <c r="J46" s="6">
        <f t="shared" si="18"/>
        <v>106.50373084831516</v>
      </c>
      <c r="K46" s="7">
        <f t="shared" si="20"/>
        <v>41.930602696187073</v>
      </c>
      <c r="L46" s="7">
        <f t="shared" si="19"/>
        <v>369.02392020888556</v>
      </c>
      <c r="M46" s="7">
        <f t="shared" si="21"/>
        <v>145.28500795625416</v>
      </c>
      <c r="N46" s="8">
        <f t="shared" si="22"/>
        <v>12.107083996354513</v>
      </c>
    </row>
    <row r="47" spans="1:14" x14ac:dyDescent="0.45">
      <c r="A47" s="3"/>
      <c r="B47" s="3"/>
      <c r="H47" s="3">
        <v>30</v>
      </c>
      <c r="I47" s="3">
        <v>40</v>
      </c>
      <c r="J47" s="6">
        <f t="shared" si="18"/>
        <v>176.02407780232269</v>
      </c>
      <c r="K47" s="7">
        <f t="shared" si="20"/>
        <v>69.300818032410504</v>
      </c>
      <c r="L47" s="7">
        <f t="shared" si="19"/>
        <v>419.66688800553896</v>
      </c>
      <c r="M47" s="7">
        <f t="shared" si="21"/>
        <v>165.2231842541492</v>
      </c>
      <c r="N47" s="8">
        <f t="shared" si="22"/>
        <v>13.768598687845767</v>
      </c>
    </row>
    <row r="48" spans="1:14" x14ac:dyDescent="0.45">
      <c r="A48" s="3"/>
      <c r="B48" s="3"/>
      <c r="H48" s="3">
        <v>30</v>
      </c>
      <c r="I48" s="3">
        <v>50</v>
      </c>
      <c r="J48" s="6">
        <f t="shared" si="18"/>
        <v>250.01229109827099</v>
      </c>
      <c r="K48" s="7">
        <f t="shared" si="20"/>
        <v>98.430035865461022</v>
      </c>
      <c r="L48" s="7">
        <f t="shared" si="19"/>
        <v>419.71073738703467</v>
      </c>
      <c r="M48" s="7">
        <f t="shared" si="21"/>
        <v>165.24044779017112</v>
      </c>
      <c r="N48" s="8">
        <f t="shared" si="22"/>
        <v>13.770037315847594</v>
      </c>
    </row>
    <row r="49" spans="1:14" x14ac:dyDescent="0.45">
      <c r="A49" s="3"/>
      <c r="B49" s="3"/>
      <c r="H49" s="3">
        <v>30</v>
      </c>
      <c r="I49" s="3">
        <v>60</v>
      </c>
      <c r="J49" s="6">
        <f t="shared" si="18"/>
        <v>319.54763271062814</v>
      </c>
      <c r="K49" s="7">
        <f t="shared" si="20"/>
        <v>125.80615461048352</v>
      </c>
      <c r="L49" s="7">
        <f t="shared" si="19"/>
        <v>369.15018144580347</v>
      </c>
      <c r="M49" s="7">
        <f t="shared" si="21"/>
        <v>145.33471710464704</v>
      </c>
      <c r="N49" s="8">
        <f t="shared" si="22"/>
        <v>12.111226425387253</v>
      </c>
    </row>
    <row r="50" spans="1:14" x14ac:dyDescent="0.45">
      <c r="H50" s="3">
        <v>30</v>
      </c>
      <c r="I50" s="3">
        <v>70</v>
      </c>
      <c r="J50" s="6">
        <f t="shared" si="18"/>
        <v>376.24624609783245</v>
      </c>
      <c r="K50" s="7">
        <f t="shared" si="20"/>
        <v>148.12844334560333</v>
      </c>
      <c r="L50" s="7">
        <f t="shared" si="19"/>
        <v>274.08129216256549</v>
      </c>
      <c r="M50" s="7">
        <f t="shared" si="21"/>
        <v>107.90602053644311</v>
      </c>
      <c r="N50" s="8">
        <f t="shared" si="22"/>
        <v>8.9921683780369257</v>
      </c>
    </row>
    <row r="51" spans="1:14" x14ac:dyDescent="0.45">
      <c r="H51" s="3">
        <v>30</v>
      </c>
      <c r="I51" s="3">
        <v>80</v>
      </c>
      <c r="J51" s="6">
        <f t="shared" si="18"/>
        <v>413.27199542274695</v>
      </c>
      <c r="K51" s="7">
        <f t="shared" si="20"/>
        <v>162.70551000895549</v>
      </c>
      <c r="L51" s="7">
        <f t="shared" si="19"/>
        <v>145.96649872562639</v>
      </c>
      <c r="M51" s="7">
        <f t="shared" si="21"/>
        <v>57.467125482530072</v>
      </c>
      <c r="N51" s="8">
        <f t="shared" si="22"/>
        <v>4.7889271235441724</v>
      </c>
    </row>
    <row r="54" spans="1:14" x14ac:dyDescent="0.45">
      <c r="H54" s="4" t="s">
        <v>6</v>
      </c>
      <c r="I54" s="4" t="s">
        <v>6</v>
      </c>
      <c r="J54" s="4" t="s">
        <v>8</v>
      </c>
      <c r="K54" s="4" t="s">
        <v>8</v>
      </c>
      <c r="L54" s="4" t="s">
        <v>15</v>
      </c>
      <c r="M54" s="4" t="s">
        <v>15</v>
      </c>
      <c r="N54" s="4" t="s">
        <v>15</v>
      </c>
    </row>
    <row r="55" spans="1:14" ht="14.65" thickBot="1" x14ac:dyDescent="0.5">
      <c r="H55" s="5" t="s">
        <v>17</v>
      </c>
      <c r="I55" s="5" t="s">
        <v>5</v>
      </c>
      <c r="J55" s="5" t="s">
        <v>14</v>
      </c>
      <c r="K55" s="5" t="s">
        <v>16</v>
      </c>
      <c r="L55" s="5" t="s">
        <v>14</v>
      </c>
      <c r="M55" s="5" t="s">
        <v>16</v>
      </c>
      <c r="N55" s="5" t="s">
        <v>18</v>
      </c>
    </row>
    <row r="56" spans="1:14" x14ac:dyDescent="0.45">
      <c r="H56" s="3">
        <v>40</v>
      </c>
      <c r="I56" s="3">
        <v>10</v>
      </c>
      <c r="J56" s="6">
        <f t="shared" ref="J56:J63" si="23">((H56*12*2.54)^2*SIN(I56*0.01745)^2)/(2*$C$10)</f>
        <v>22.836479817759809</v>
      </c>
      <c r="K56" s="7">
        <f>J56/2.54</f>
        <v>8.9907400857322077</v>
      </c>
      <c r="L56" s="7">
        <f t="shared" ref="L56:L63" si="24">(((H56*12*2.54)^2)/$C$10)*SIN(2*I56*0.01745)/2</f>
        <v>259.07410583202113</v>
      </c>
      <c r="M56" s="7">
        <f>L56/2.54</f>
        <v>101.99767946142565</v>
      </c>
      <c r="N56" s="8">
        <f>M56/12</f>
        <v>8.4998066217854706</v>
      </c>
    </row>
    <row r="57" spans="1:14" x14ac:dyDescent="0.45">
      <c r="H57" s="3">
        <v>40</v>
      </c>
      <c r="I57" s="3">
        <v>20</v>
      </c>
      <c r="J57" s="6">
        <f t="shared" si="23"/>
        <v>88.592531335251124</v>
      </c>
      <c r="K57" s="7">
        <f t="shared" ref="K57:K63" si="25">J57/2.54</f>
        <v>34.878949344587056</v>
      </c>
      <c r="L57" s="7">
        <f t="shared" si="24"/>
        <v>486.91171973684845</v>
      </c>
      <c r="M57" s="7">
        <f t="shared" ref="M57:M63" si="26">L57/2.54</f>
        <v>191.69752745545213</v>
      </c>
      <c r="N57" s="8">
        <f t="shared" ref="N57:N63" si="27">M57/12</f>
        <v>15.974793954621012</v>
      </c>
    </row>
    <row r="58" spans="1:14" x14ac:dyDescent="0.45">
      <c r="H58" s="3">
        <v>40</v>
      </c>
      <c r="I58" s="3">
        <v>30</v>
      </c>
      <c r="J58" s="6">
        <f t="shared" si="23"/>
        <v>189.33996595256028</v>
      </c>
      <c r="K58" s="7">
        <f t="shared" si="25"/>
        <v>74.543293682110345</v>
      </c>
      <c r="L58" s="7">
        <f t="shared" si="24"/>
        <v>656.04252481579658</v>
      </c>
      <c r="M58" s="7">
        <f t="shared" si="26"/>
        <v>258.28445858889631</v>
      </c>
      <c r="N58" s="8">
        <f t="shared" si="27"/>
        <v>21.523704882408026</v>
      </c>
    </row>
    <row r="59" spans="1:14" x14ac:dyDescent="0.45">
      <c r="H59" s="3">
        <v>40</v>
      </c>
      <c r="I59" s="3">
        <v>40</v>
      </c>
      <c r="J59" s="6">
        <f t="shared" si="23"/>
        <v>312.93169387079593</v>
      </c>
      <c r="K59" s="7">
        <f t="shared" si="25"/>
        <v>123.20145427984092</v>
      </c>
      <c r="L59" s="7">
        <f t="shared" si="24"/>
        <v>746.07446756540253</v>
      </c>
      <c r="M59" s="7">
        <f t="shared" si="26"/>
        <v>293.73010534070966</v>
      </c>
      <c r="N59" s="8">
        <f t="shared" si="27"/>
        <v>24.477508778392473</v>
      </c>
    </row>
    <row r="60" spans="1:14" x14ac:dyDescent="0.45">
      <c r="H60" s="3">
        <v>40</v>
      </c>
      <c r="I60" s="3">
        <v>50</v>
      </c>
      <c r="J60" s="6">
        <f t="shared" si="23"/>
        <v>444.46629528581519</v>
      </c>
      <c r="K60" s="7">
        <f t="shared" si="25"/>
        <v>174.98673042748629</v>
      </c>
      <c r="L60" s="7">
        <f t="shared" si="24"/>
        <v>746.15242202139495</v>
      </c>
      <c r="M60" s="7">
        <f t="shared" si="26"/>
        <v>293.76079607141531</v>
      </c>
      <c r="N60" s="8">
        <f t="shared" si="27"/>
        <v>24.480066339284608</v>
      </c>
    </row>
    <row r="61" spans="1:14" x14ac:dyDescent="0.45">
      <c r="H61" s="3">
        <v>40</v>
      </c>
      <c r="I61" s="3">
        <v>60</v>
      </c>
      <c r="J61" s="6">
        <f t="shared" si="23"/>
        <v>568.08468037445004</v>
      </c>
      <c r="K61" s="7">
        <f t="shared" si="25"/>
        <v>223.65538597419294</v>
      </c>
      <c r="L61" s="7">
        <f t="shared" si="24"/>
        <v>656.26698923698405</v>
      </c>
      <c r="M61" s="7">
        <f t="shared" si="26"/>
        <v>258.37283040826145</v>
      </c>
      <c r="N61" s="8">
        <f t="shared" si="27"/>
        <v>21.531069200688453</v>
      </c>
    </row>
    <row r="62" spans="1:14" x14ac:dyDescent="0.45">
      <c r="H62" s="3">
        <v>40</v>
      </c>
      <c r="I62" s="3">
        <v>70</v>
      </c>
      <c r="J62" s="6">
        <f t="shared" si="23"/>
        <v>668.8822152850355</v>
      </c>
      <c r="K62" s="7">
        <f t="shared" si="25"/>
        <v>263.33945483662814</v>
      </c>
      <c r="L62" s="7">
        <f t="shared" si="24"/>
        <v>487.25563051122748</v>
      </c>
      <c r="M62" s="7">
        <f t="shared" si="26"/>
        <v>191.83292539812106</v>
      </c>
      <c r="N62" s="8">
        <f t="shared" si="27"/>
        <v>15.986077116510089</v>
      </c>
    </row>
    <row r="63" spans="1:14" x14ac:dyDescent="0.45">
      <c r="H63" s="3">
        <v>40</v>
      </c>
      <c r="I63" s="3">
        <v>80</v>
      </c>
      <c r="J63" s="6">
        <f t="shared" si="23"/>
        <v>734.70576964043914</v>
      </c>
      <c r="K63" s="7">
        <f t="shared" si="25"/>
        <v>289.25424001592091</v>
      </c>
      <c r="L63" s="7">
        <f t="shared" si="24"/>
        <v>259.49599773444692</v>
      </c>
      <c r="M63" s="7">
        <f t="shared" si="26"/>
        <v>102.16377863560902</v>
      </c>
      <c r="N63" s="8">
        <f t="shared" si="27"/>
        <v>8.513648219634085</v>
      </c>
    </row>
    <row r="66" spans="8:14" x14ac:dyDescent="0.45">
      <c r="H66" s="4" t="s">
        <v>6</v>
      </c>
      <c r="I66" s="4" t="s">
        <v>6</v>
      </c>
      <c r="J66" s="4" t="s">
        <v>8</v>
      </c>
      <c r="K66" s="4" t="s">
        <v>8</v>
      </c>
      <c r="L66" s="4" t="s">
        <v>15</v>
      </c>
      <c r="M66" s="4" t="s">
        <v>15</v>
      </c>
      <c r="N66" s="4" t="s">
        <v>15</v>
      </c>
    </row>
    <row r="67" spans="8:14" ht="14.65" thickBot="1" x14ac:dyDescent="0.5">
      <c r="H67" s="5" t="s">
        <v>17</v>
      </c>
      <c r="I67" s="5" t="s">
        <v>5</v>
      </c>
      <c r="J67" s="5" t="s">
        <v>14</v>
      </c>
      <c r="K67" s="5" t="s">
        <v>16</v>
      </c>
      <c r="L67" s="5" t="s">
        <v>14</v>
      </c>
      <c r="M67" s="5" t="s">
        <v>16</v>
      </c>
      <c r="N67" s="5" t="s">
        <v>18</v>
      </c>
    </row>
    <row r="68" spans="8:14" x14ac:dyDescent="0.45">
      <c r="H68" s="3">
        <v>50</v>
      </c>
      <c r="I68" s="3">
        <v>10</v>
      </c>
      <c r="J68" s="6">
        <f t="shared" ref="J68:J75" si="28">((H68*12*2.54)^2*SIN(I68*0.01745)^2)/(2*$C$10)</f>
        <v>35.681999715249695</v>
      </c>
      <c r="K68" s="7">
        <f>J68/2.54</f>
        <v>14.048031383956573</v>
      </c>
      <c r="L68" s="7">
        <f t="shared" ref="L68:L75" si="29">(((H68*12*2.54)^2)/$C$10)*SIN(2*I68*0.01745)/2</f>
        <v>404.80329036253301</v>
      </c>
      <c r="M68" s="7">
        <f>L68/2.54</f>
        <v>159.37137415847755</v>
      </c>
      <c r="N68" s="8">
        <f>M68/12</f>
        <v>13.280947846539796</v>
      </c>
    </row>
    <row r="69" spans="8:14" x14ac:dyDescent="0.45">
      <c r="H69" s="3">
        <v>50</v>
      </c>
      <c r="I69" s="3">
        <v>20</v>
      </c>
      <c r="J69" s="6">
        <f t="shared" si="28"/>
        <v>138.42583021132987</v>
      </c>
      <c r="K69" s="7">
        <f t="shared" ref="K69:K75" si="30">J69/2.54</f>
        <v>54.498358350917272</v>
      </c>
      <c r="L69" s="7">
        <f t="shared" si="29"/>
        <v>760.79956208882572</v>
      </c>
      <c r="M69" s="7">
        <f t="shared" ref="M69:M75" si="31">L69/2.54</f>
        <v>299.52738664914398</v>
      </c>
      <c r="N69" s="8">
        <f t="shared" ref="N69:N75" si="32">M69/12</f>
        <v>24.96061555409533</v>
      </c>
    </row>
    <row r="70" spans="8:14" x14ac:dyDescent="0.45">
      <c r="H70" s="3">
        <v>50</v>
      </c>
      <c r="I70" s="3">
        <v>30</v>
      </c>
      <c r="J70" s="6">
        <f t="shared" si="28"/>
        <v>295.84369680087542</v>
      </c>
      <c r="K70" s="7">
        <f t="shared" si="30"/>
        <v>116.47389637829741</v>
      </c>
      <c r="L70" s="7">
        <f t="shared" si="29"/>
        <v>1025.066445024682</v>
      </c>
      <c r="M70" s="7">
        <f t="shared" si="31"/>
        <v>403.56946654515042</v>
      </c>
      <c r="N70" s="8">
        <f t="shared" si="32"/>
        <v>33.630788878762537</v>
      </c>
    </row>
    <row r="71" spans="8:14" x14ac:dyDescent="0.45">
      <c r="H71" s="3">
        <v>50</v>
      </c>
      <c r="I71" s="3">
        <v>40</v>
      </c>
      <c r="J71" s="6">
        <f t="shared" si="28"/>
        <v>488.95577167311859</v>
      </c>
      <c r="K71" s="7">
        <f t="shared" si="30"/>
        <v>192.50227231225142</v>
      </c>
      <c r="L71" s="7">
        <f t="shared" si="29"/>
        <v>1165.7413555709416</v>
      </c>
      <c r="M71" s="7">
        <f t="shared" si="31"/>
        <v>458.95328959485886</v>
      </c>
      <c r="N71" s="8">
        <f t="shared" si="32"/>
        <v>38.246107466238236</v>
      </c>
    </row>
    <row r="72" spans="8:14" x14ac:dyDescent="0.45">
      <c r="H72" s="3">
        <v>50</v>
      </c>
      <c r="I72" s="3">
        <v>50</v>
      </c>
      <c r="J72" s="6">
        <f t="shared" si="28"/>
        <v>694.47858638408616</v>
      </c>
      <c r="K72" s="7">
        <f t="shared" si="30"/>
        <v>273.41676629294733</v>
      </c>
      <c r="L72" s="7">
        <f t="shared" si="29"/>
        <v>1165.8631594084295</v>
      </c>
      <c r="M72" s="7">
        <f t="shared" si="31"/>
        <v>459.00124386158643</v>
      </c>
      <c r="N72" s="8">
        <f t="shared" si="32"/>
        <v>38.2501036551322</v>
      </c>
    </row>
    <row r="73" spans="8:14" x14ac:dyDescent="0.45">
      <c r="H73" s="3">
        <v>50</v>
      </c>
      <c r="I73" s="3">
        <v>60</v>
      </c>
      <c r="J73" s="6">
        <f t="shared" si="28"/>
        <v>887.63231308507829</v>
      </c>
      <c r="K73" s="7">
        <f t="shared" si="30"/>
        <v>349.46154058467647</v>
      </c>
      <c r="L73" s="7">
        <f t="shared" si="29"/>
        <v>1025.4171706827874</v>
      </c>
      <c r="M73" s="7">
        <f t="shared" si="31"/>
        <v>403.70754751290843</v>
      </c>
      <c r="N73" s="8">
        <f t="shared" si="32"/>
        <v>33.6422956260757</v>
      </c>
    </row>
    <row r="74" spans="8:14" x14ac:dyDescent="0.45">
      <c r="H74" s="3">
        <v>50</v>
      </c>
      <c r="I74" s="3">
        <v>70</v>
      </c>
      <c r="J74" s="6">
        <f t="shared" si="28"/>
        <v>1045.128461382868</v>
      </c>
      <c r="K74" s="7">
        <f t="shared" si="30"/>
        <v>411.46789818223147</v>
      </c>
      <c r="L74" s="7">
        <f t="shared" si="29"/>
        <v>761.33692267379297</v>
      </c>
      <c r="M74" s="7">
        <f t="shared" si="31"/>
        <v>299.73894593456419</v>
      </c>
      <c r="N74" s="8">
        <f t="shared" si="32"/>
        <v>24.978245494547014</v>
      </c>
    </row>
    <row r="75" spans="8:14" x14ac:dyDescent="0.45">
      <c r="H75" s="3">
        <v>50</v>
      </c>
      <c r="I75" s="3">
        <v>80</v>
      </c>
      <c r="J75" s="6">
        <f t="shared" si="28"/>
        <v>1147.9777650631861</v>
      </c>
      <c r="K75" s="7">
        <f t="shared" si="30"/>
        <v>451.95975002487643</v>
      </c>
      <c r="L75" s="7">
        <f t="shared" si="29"/>
        <v>405.46249646007334</v>
      </c>
      <c r="M75" s="7">
        <f t="shared" si="31"/>
        <v>159.63090411813911</v>
      </c>
      <c r="N75" s="8">
        <f t="shared" si="32"/>
        <v>13.30257534317826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760CE-2D6D-4E8B-AFF0-30C50443C3C8}">
  <dimension ref="A2:F7"/>
  <sheetViews>
    <sheetView workbookViewId="0">
      <selection activeCell="B2" sqref="B2:D7"/>
    </sheetView>
  </sheetViews>
  <sheetFormatPr defaultRowHeight="14.25" x14ac:dyDescent="0.45"/>
  <cols>
    <col min="2" max="2" width="19.53125" bestFit="1" customWidth="1"/>
    <col min="4" max="4" width="6.796875" customWidth="1"/>
    <col min="6" max="6" width="4.19921875" customWidth="1"/>
  </cols>
  <sheetData>
    <row r="2" spans="1:6" x14ac:dyDescent="0.45">
      <c r="A2" s="11" t="s">
        <v>25</v>
      </c>
      <c r="B2" t="s">
        <v>19</v>
      </c>
      <c r="C2">
        <v>1</v>
      </c>
      <c r="D2" t="s">
        <v>4</v>
      </c>
      <c r="E2">
        <f>C2*2.54</f>
        <v>2.54</v>
      </c>
      <c r="F2" t="s">
        <v>9</v>
      </c>
    </row>
    <row r="3" spans="1:6" x14ac:dyDescent="0.45">
      <c r="A3" s="11" t="s">
        <v>25</v>
      </c>
      <c r="B3" t="s">
        <v>23</v>
      </c>
      <c r="C3">
        <v>8000</v>
      </c>
    </row>
    <row r="4" spans="1:6" x14ac:dyDescent="0.45">
      <c r="A4" s="11" t="s">
        <v>26</v>
      </c>
      <c r="B4" t="s">
        <v>22</v>
      </c>
      <c r="C4">
        <f>3.14*C2</f>
        <v>3.14</v>
      </c>
      <c r="D4" t="s">
        <v>4</v>
      </c>
      <c r="E4" s="10">
        <f>C4*2.54</f>
        <v>7.9756</v>
      </c>
      <c r="F4" t="s">
        <v>9</v>
      </c>
    </row>
    <row r="5" spans="1:6" x14ac:dyDescent="0.45">
      <c r="A5" s="11"/>
      <c r="E5" s="10"/>
    </row>
    <row r="6" spans="1:6" x14ac:dyDescent="0.45">
      <c r="A6" s="11" t="s">
        <v>26</v>
      </c>
      <c r="B6" t="s">
        <v>20</v>
      </c>
      <c r="C6">
        <f>C3*C4</f>
        <v>25120</v>
      </c>
      <c r="D6" t="s">
        <v>24</v>
      </c>
      <c r="E6" s="10"/>
    </row>
    <row r="7" spans="1:6" x14ac:dyDescent="0.45">
      <c r="A7" s="11" t="s">
        <v>26</v>
      </c>
      <c r="B7" t="s">
        <v>20</v>
      </c>
      <c r="C7" s="9">
        <f>C6/12/60</f>
        <v>34.888888888888893</v>
      </c>
      <c r="D7" t="s">
        <v>21</v>
      </c>
      <c r="E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Ballistics</vt:lpstr>
      <vt:lpstr>Locations</vt:lpstr>
      <vt:lpstr>Plot Data</vt:lpstr>
      <vt:lpstr>Motor Speed Estimator</vt:lpstr>
      <vt:lpstr>Height</vt:lpstr>
      <vt:lpstr>Distance</vt:lpstr>
      <vt:lpstr>Defense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Fuller</dc:creator>
  <cp:lastModifiedBy>Tim Fuller</cp:lastModifiedBy>
  <dcterms:created xsi:type="dcterms:W3CDTF">2020-01-05T23:35:41Z</dcterms:created>
  <dcterms:modified xsi:type="dcterms:W3CDTF">2020-01-19T20:18:12Z</dcterms:modified>
</cp:coreProperties>
</file>