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as\Documents\Code\FRC\2020-Robot\"/>
    </mc:Choice>
  </mc:AlternateContent>
  <xr:revisionPtr revIDLastSave="0" documentId="13_ncr:1_{FFB21084-DF51-4B65-A110-68483B7EC77B}" xr6:coauthVersionLast="45" xr6:coauthVersionMax="45" xr10:uidLastSave="{00000000-0000-0000-0000-000000000000}"/>
  <bookViews>
    <workbookView xWindow="-108" yWindow="-108" windowWidth="23256" windowHeight="13176" firstSheet="1" activeTab="2" xr2:uid="{6505FE35-6DDB-4B85-B29F-6D89AE1E982C}"/>
  </bookViews>
  <sheets>
    <sheet name="Height" sheetId="2" r:id="rId1"/>
    <sheet name="Ballistics" sheetId="7" r:id="rId2"/>
    <sheet name="Ballistics2" sheetId="11" r:id="rId3"/>
    <sheet name="DistanceSpeedTesting" sheetId="10" r:id="rId4"/>
    <sheet name="Distance" sheetId="3" r:id="rId5"/>
    <sheet name="Defense" sheetId="8" r:id="rId6"/>
    <sheet name="Locations" sheetId="9" r:id="rId7"/>
    <sheet name="Plot Data" sheetId="1" r:id="rId8"/>
    <sheet name="Motor Speed Estimator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4" i="11" l="1"/>
  <c r="I45" i="11"/>
  <c r="I46" i="11"/>
  <c r="I39" i="11"/>
  <c r="I40" i="11"/>
  <c r="I41" i="11"/>
  <c r="I42" i="11"/>
  <c r="I43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J5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6" i="11"/>
  <c r="B24" i="11"/>
  <c r="B16" i="11"/>
  <c r="B15" i="11"/>
  <c r="B8" i="11"/>
  <c r="B12" i="11" s="1"/>
  <c r="B14" i="7"/>
  <c r="B19" i="11" l="1"/>
  <c r="B20" i="11" s="1"/>
  <c r="B21" i="11" s="1"/>
  <c r="J44" i="11" s="1"/>
  <c r="B13" i="7"/>
  <c r="M44" i="11" l="1"/>
  <c r="W45" i="11"/>
  <c r="U45" i="11"/>
  <c r="R46" i="11"/>
  <c r="P46" i="11"/>
  <c r="T46" i="11"/>
  <c r="O45" i="11"/>
  <c r="V45" i="11"/>
  <c r="R44" i="11"/>
  <c r="V44" i="11"/>
  <c r="U46" i="11"/>
  <c r="Q44" i="11"/>
  <c r="J45" i="11"/>
  <c r="S46" i="11"/>
  <c r="W44" i="11"/>
  <c r="Q45" i="11"/>
  <c r="L45" i="11"/>
  <c r="O44" i="11"/>
  <c r="S45" i="11"/>
  <c r="N45" i="11"/>
  <c r="M45" i="11"/>
  <c r="L44" i="11"/>
  <c r="T45" i="11"/>
  <c r="N44" i="11"/>
  <c r="Q39" i="11"/>
  <c r="J46" i="11"/>
  <c r="K46" i="11"/>
  <c r="L46" i="11"/>
  <c r="M46" i="11"/>
  <c r="N46" i="11"/>
  <c r="P45" i="11"/>
  <c r="O46" i="11"/>
  <c r="V46" i="11"/>
  <c r="S44" i="11"/>
  <c r="W46" i="11"/>
  <c r="U44" i="11"/>
  <c r="P44" i="11"/>
  <c r="K44" i="11"/>
  <c r="T44" i="11"/>
  <c r="Q46" i="11"/>
  <c r="K45" i="11"/>
  <c r="R45" i="11"/>
  <c r="T43" i="11"/>
  <c r="K40" i="11"/>
  <c r="W40" i="11"/>
  <c r="J43" i="11"/>
  <c r="J39" i="11"/>
  <c r="M42" i="11"/>
  <c r="N43" i="11"/>
  <c r="P41" i="11"/>
  <c r="W39" i="11"/>
  <c r="O43" i="11"/>
  <c r="S40" i="11"/>
  <c r="T40" i="11"/>
  <c r="Q43" i="11"/>
  <c r="T41" i="11"/>
  <c r="Q42" i="11"/>
  <c r="R39" i="11"/>
  <c r="K43" i="11"/>
  <c r="L40" i="11"/>
  <c r="K39" i="11"/>
  <c r="Q41" i="11"/>
  <c r="N42" i="11"/>
  <c r="O39" i="11"/>
  <c r="O42" i="11"/>
  <c r="T42" i="11"/>
  <c r="N39" i="11"/>
  <c r="R43" i="11"/>
  <c r="W43" i="11"/>
  <c r="U41" i="11"/>
  <c r="U43" i="11"/>
  <c r="L39" i="11"/>
  <c r="R42" i="11"/>
  <c r="N40" i="11"/>
  <c r="N41" i="11"/>
  <c r="O40" i="11"/>
  <c r="O41" i="11"/>
  <c r="P40" i="11"/>
  <c r="R41" i="11"/>
  <c r="Q40" i="11"/>
  <c r="S41" i="11"/>
  <c r="R40" i="11"/>
  <c r="V41" i="11"/>
  <c r="P42" i="11"/>
  <c r="L41" i="11"/>
  <c r="M40" i="11"/>
  <c r="V42" i="11"/>
  <c r="U40" i="11"/>
  <c r="W41" i="11"/>
  <c r="V40" i="11"/>
  <c r="S39" i="11"/>
  <c r="J42" i="11"/>
  <c r="U39" i="11"/>
  <c r="J41" i="11"/>
  <c r="L42" i="11"/>
  <c r="K41" i="11"/>
  <c r="J40" i="11"/>
  <c r="U42" i="11"/>
  <c r="M41" i="11"/>
  <c r="P39" i="11"/>
  <c r="V39" i="11"/>
  <c r="S42" i="11"/>
  <c r="K42" i="11"/>
  <c r="S43" i="11"/>
  <c r="L43" i="11"/>
  <c r="T39" i="11"/>
  <c r="M39" i="11"/>
  <c r="V43" i="11"/>
  <c r="M43" i="11"/>
  <c r="P43" i="11"/>
  <c r="W42" i="11"/>
  <c r="U8" i="11"/>
  <c r="L17" i="11"/>
  <c r="V19" i="11"/>
  <c r="T21" i="11"/>
  <c r="R23" i="11"/>
  <c r="P25" i="11"/>
  <c r="N27" i="11"/>
  <c r="L29" i="11"/>
  <c r="W30" i="11"/>
  <c r="U32" i="11"/>
  <c r="S34" i="11"/>
  <c r="Q36" i="11"/>
  <c r="O38" i="11"/>
  <c r="J38" i="11"/>
  <c r="M29" i="11"/>
  <c r="V32" i="11"/>
  <c r="S35" i="11"/>
  <c r="P38" i="11"/>
  <c r="J20" i="11"/>
  <c r="T35" i="11"/>
  <c r="J9" i="11"/>
  <c r="U23" i="11"/>
  <c r="N30" i="11"/>
  <c r="U35" i="11"/>
  <c r="J10" i="11"/>
  <c r="K34" i="11"/>
  <c r="T37" i="11"/>
  <c r="L6" i="11"/>
  <c r="K7" i="11"/>
  <c r="W7" i="11"/>
  <c r="V8" i="11"/>
  <c r="U9" i="11"/>
  <c r="T10" i="11"/>
  <c r="S11" i="11"/>
  <c r="R12" i="11"/>
  <c r="Q13" i="11"/>
  <c r="P14" i="11"/>
  <c r="O15" i="11"/>
  <c r="N16" i="11"/>
  <c r="M17" i="11"/>
  <c r="L18" i="11"/>
  <c r="K19" i="11"/>
  <c r="W19" i="11"/>
  <c r="V20" i="11"/>
  <c r="U21" i="11"/>
  <c r="T22" i="11"/>
  <c r="S23" i="11"/>
  <c r="R24" i="11"/>
  <c r="Q25" i="11"/>
  <c r="P26" i="11"/>
  <c r="O27" i="11"/>
  <c r="L30" i="11"/>
  <c r="W31" i="11"/>
  <c r="T34" i="11"/>
  <c r="Q37" i="11"/>
  <c r="J8" i="11"/>
  <c r="R37" i="11"/>
  <c r="K21" i="11"/>
  <c r="K33" i="11"/>
  <c r="J29" i="11"/>
  <c r="W34" i="11"/>
  <c r="J7" i="11"/>
  <c r="M6" i="11"/>
  <c r="L7" i="11"/>
  <c r="K8" i="11"/>
  <c r="W8" i="11"/>
  <c r="V9" i="11"/>
  <c r="U10" i="11"/>
  <c r="T11" i="11"/>
  <c r="S12" i="11"/>
  <c r="R13" i="11"/>
  <c r="Q14" i="11"/>
  <c r="P15" i="11"/>
  <c r="O16" i="11"/>
  <c r="N17" i="11"/>
  <c r="M18" i="11"/>
  <c r="L19" i="11"/>
  <c r="K20" i="11"/>
  <c r="W20" i="11"/>
  <c r="V21" i="11"/>
  <c r="U22" i="11"/>
  <c r="T23" i="11"/>
  <c r="S24" i="11"/>
  <c r="R25" i="11"/>
  <c r="Q26" i="11"/>
  <c r="P27" i="11"/>
  <c r="O28" i="11"/>
  <c r="N29" i="11"/>
  <c r="M30" i="11"/>
  <c r="L31" i="11"/>
  <c r="K32" i="11"/>
  <c r="W32" i="11"/>
  <c r="V33" i="11"/>
  <c r="S36" i="11"/>
  <c r="Q38" i="11"/>
  <c r="J21" i="11"/>
  <c r="V22" i="11"/>
  <c r="M31" i="11"/>
  <c r="V34" i="11"/>
  <c r="S37" i="11"/>
  <c r="M32" i="11"/>
  <c r="J30" i="11"/>
  <c r="N6" i="11"/>
  <c r="M7" i="11"/>
  <c r="L8" i="11"/>
  <c r="K9" i="11"/>
  <c r="W9" i="11"/>
  <c r="V10" i="11"/>
  <c r="U11" i="11"/>
  <c r="T12" i="11"/>
  <c r="S13" i="11"/>
  <c r="R14" i="11"/>
  <c r="Q15" i="11"/>
  <c r="P16" i="11"/>
  <c r="O17" i="11"/>
  <c r="N18" i="11"/>
  <c r="M19" i="11"/>
  <c r="L20" i="11"/>
  <c r="T24" i="11"/>
  <c r="S25" i="11"/>
  <c r="R26" i="11"/>
  <c r="Q27" i="11"/>
  <c r="O29" i="11"/>
  <c r="L32" i="11"/>
  <c r="T36" i="11"/>
  <c r="R38" i="11"/>
  <c r="L33" i="11"/>
  <c r="O6" i="11"/>
  <c r="N7" i="11"/>
  <c r="M8" i="11"/>
  <c r="L9" i="11"/>
  <c r="K10" i="11"/>
  <c r="W10" i="11"/>
  <c r="V11" i="11"/>
  <c r="U12" i="11"/>
  <c r="T13" i="11"/>
  <c r="S14" i="11"/>
  <c r="R15" i="11"/>
  <c r="Q16" i="11"/>
  <c r="P17" i="11"/>
  <c r="O18" i="11"/>
  <c r="N19" i="11"/>
  <c r="M20" i="11"/>
  <c r="L21" i="11"/>
  <c r="K22" i="11"/>
  <c r="W22" i="11"/>
  <c r="V23" i="11"/>
  <c r="U24" i="11"/>
  <c r="T25" i="11"/>
  <c r="S26" i="11"/>
  <c r="R27" i="11"/>
  <c r="Q28" i="11"/>
  <c r="P29" i="11"/>
  <c r="O30" i="11"/>
  <c r="N31" i="11"/>
  <c r="V35" i="11"/>
  <c r="S38" i="11"/>
  <c r="P6" i="11"/>
  <c r="O7" i="11"/>
  <c r="N8" i="11"/>
  <c r="M9" i="11"/>
  <c r="L10" i="11"/>
  <c r="K11" i="11"/>
  <c r="W11" i="11"/>
  <c r="V12" i="11"/>
  <c r="U13" i="11"/>
  <c r="T14" i="11"/>
  <c r="S15" i="11"/>
  <c r="R16" i="11"/>
  <c r="Q17" i="11"/>
  <c r="P18" i="11"/>
  <c r="O19" i="11"/>
  <c r="N20" i="11"/>
  <c r="M21" i="11"/>
  <c r="L22" i="11"/>
  <c r="K23" i="11"/>
  <c r="W23" i="11"/>
  <c r="V24" i="11"/>
  <c r="U25" i="11"/>
  <c r="T26" i="11"/>
  <c r="S27" i="11"/>
  <c r="R28" i="11"/>
  <c r="Q29" i="11"/>
  <c r="P30" i="11"/>
  <c r="O31" i="11"/>
  <c r="N32" i="11"/>
  <c r="M33" i="11"/>
  <c r="L34" i="11"/>
  <c r="K35" i="11"/>
  <c r="W35" i="11"/>
  <c r="V36" i="11"/>
  <c r="U37" i="11"/>
  <c r="T38" i="11"/>
  <c r="J31" i="11"/>
  <c r="J12" i="11"/>
  <c r="J6" i="11"/>
  <c r="S28" i="11"/>
  <c r="P31" i="11"/>
  <c r="N33" i="11"/>
  <c r="L35" i="11"/>
  <c r="K36" i="11"/>
  <c r="V37" i="11"/>
  <c r="U38" i="11"/>
  <c r="J13" i="11"/>
  <c r="R6" i="11"/>
  <c r="O9" i="11"/>
  <c r="M11" i="11"/>
  <c r="K13" i="11"/>
  <c r="V14" i="11"/>
  <c r="S17" i="11"/>
  <c r="R18" i="11"/>
  <c r="O21" i="11"/>
  <c r="N22" i="11"/>
  <c r="K25" i="11"/>
  <c r="V26" i="11"/>
  <c r="S29" i="11"/>
  <c r="Q31" i="11"/>
  <c r="N34" i="11"/>
  <c r="L36" i="11"/>
  <c r="V38" i="11"/>
  <c r="P21" i="11"/>
  <c r="W26" i="11"/>
  <c r="T29" i="11"/>
  <c r="P33" i="11"/>
  <c r="M36" i="11"/>
  <c r="J34" i="11"/>
  <c r="S31" i="11"/>
  <c r="M37" i="11"/>
  <c r="N37" i="11"/>
  <c r="Q6" i="11"/>
  <c r="P7" i="11"/>
  <c r="O8" i="11"/>
  <c r="N9" i="11"/>
  <c r="M10" i="11"/>
  <c r="L11" i="11"/>
  <c r="K12" i="11"/>
  <c r="W12" i="11"/>
  <c r="V13" i="11"/>
  <c r="U14" i="11"/>
  <c r="T15" i="11"/>
  <c r="S16" i="11"/>
  <c r="R17" i="11"/>
  <c r="Q18" i="11"/>
  <c r="P19" i="11"/>
  <c r="O20" i="11"/>
  <c r="N21" i="11"/>
  <c r="M22" i="11"/>
  <c r="L23" i="11"/>
  <c r="K24" i="11"/>
  <c r="W24" i="11"/>
  <c r="V25" i="11"/>
  <c r="U26" i="11"/>
  <c r="T27" i="11"/>
  <c r="R29" i="11"/>
  <c r="Q30" i="11"/>
  <c r="O32" i="11"/>
  <c r="M34" i="11"/>
  <c r="W36" i="11"/>
  <c r="J32" i="11"/>
  <c r="Q7" i="11"/>
  <c r="N10" i="11"/>
  <c r="L12" i="11"/>
  <c r="W13" i="11"/>
  <c r="U15" i="11"/>
  <c r="Q19" i="11"/>
  <c r="M23" i="11"/>
  <c r="W25" i="11"/>
  <c r="T28" i="11"/>
  <c r="P32" i="11"/>
  <c r="M35" i="11"/>
  <c r="W37" i="11"/>
  <c r="J33" i="11"/>
  <c r="N23" i="11"/>
  <c r="Q32" i="11"/>
  <c r="L37" i="11"/>
  <c r="J15" i="11"/>
  <c r="R32" i="11"/>
  <c r="J23" i="11"/>
  <c r="J36" i="11"/>
  <c r="P8" i="11"/>
  <c r="T16" i="11"/>
  <c r="P20" i="11"/>
  <c r="L24" i="11"/>
  <c r="U27" i="11"/>
  <c r="R30" i="11"/>
  <c r="O33" i="11"/>
  <c r="K37" i="11"/>
  <c r="J14" i="11"/>
  <c r="M24" i="11"/>
  <c r="S30" i="11"/>
  <c r="N35" i="11"/>
  <c r="W38" i="11"/>
  <c r="U29" i="11"/>
  <c r="N36" i="11"/>
  <c r="J16" i="11"/>
  <c r="S6" i="11"/>
  <c r="R7" i="11"/>
  <c r="Q8" i="11"/>
  <c r="P9" i="11"/>
  <c r="O10" i="11"/>
  <c r="N11" i="11"/>
  <c r="M12" i="11"/>
  <c r="L13" i="11"/>
  <c r="K14" i="11"/>
  <c r="W14" i="11"/>
  <c r="V15" i="11"/>
  <c r="U16" i="11"/>
  <c r="T17" i="11"/>
  <c r="S18" i="11"/>
  <c r="R19" i="11"/>
  <c r="Q20" i="11"/>
  <c r="O22" i="11"/>
  <c r="L25" i="11"/>
  <c r="K26" i="11"/>
  <c r="V27" i="11"/>
  <c r="U28" i="11"/>
  <c r="R31" i="11"/>
  <c r="O34" i="11"/>
  <c r="K38" i="11"/>
  <c r="Q33" i="11"/>
  <c r="L38" i="11"/>
  <c r="J17" i="11"/>
  <c r="T6" i="11"/>
  <c r="S7" i="11"/>
  <c r="R8" i="11"/>
  <c r="Q9" i="11"/>
  <c r="P10" i="11"/>
  <c r="O11" i="11"/>
  <c r="N12" i="11"/>
  <c r="M13" i="11"/>
  <c r="L14" i="11"/>
  <c r="K15" i="11"/>
  <c r="W15" i="11"/>
  <c r="V16" i="11"/>
  <c r="U17" i="11"/>
  <c r="T18" i="11"/>
  <c r="S19" i="11"/>
  <c r="R20" i="11"/>
  <c r="Q21" i="11"/>
  <c r="P22" i="11"/>
  <c r="O23" i="11"/>
  <c r="N24" i="11"/>
  <c r="M25" i="11"/>
  <c r="L26" i="11"/>
  <c r="K27" i="11"/>
  <c r="W27" i="11"/>
  <c r="V28" i="11"/>
  <c r="T30" i="11"/>
  <c r="P34" i="11"/>
  <c r="O35" i="11"/>
  <c r="J35" i="11"/>
  <c r="M38" i="11"/>
  <c r="U6" i="11"/>
  <c r="T7" i="11"/>
  <c r="S8" i="11"/>
  <c r="R9" i="11"/>
  <c r="Q10" i="11"/>
  <c r="P11" i="11"/>
  <c r="O12" i="11"/>
  <c r="N13" i="11"/>
  <c r="M14" i="11"/>
  <c r="L15" i="11"/>
  <c r="K16" i="11"/>
  <c r="W16" i="11"/>
  <c r="V17" i="11"/>
  <c r="U18" i="11"/>
  <c r="T19" i="11"/>
  <c r="S20" i="11"/>
  <c r="R21" i="11"/>
  <c r="Q22" i="11"/>
  <c r="P23" i="11"/>
  <c r="O24" i="11"/>
  <c r="N25" i="11"/>
  <c r="M26" i="11"/>
  <c r="L27" i="11"/>
  <c r="K28" i="11"/>
  <c r="W28" i="11"/>
  <c r="V29" i="11"/>
  <c r="U30" i="11"/>
  <c r="T31" i="11"/>
  <c r="S32" i="11"/>
  <c r="R33" i="11"/>
  <c r="Q34" i="11"/>
  <c r="P35" i="11"/>
  <c r="O36" i="11"/>
  <c r="J24" i="11"/>
  <c r="V6" i="11"/>
  <c r="U7" i="11"/>
  <c r="T8" i="11"/>
  <c r="S9" i="11"/>
  <c r="R10" i="11"/>
  <c r="Q11" i="11"/>
  <c r="P12" i="11"/>
  <c r="O13" i="11"/>
  <c r="N14" i="11"/>
  <c r="M15" i="11"/>
  <c r="L16" i="11"/>
  <c r="K17" i="11"/>
  <c r="W17" i="11"/>
  <c r="V18" i="11"/>
  <c r="U19" i="11"/>
  <c r="T20" i="11"/>
  <c r="S21" i="11"/>
  <c r="R22" i="11"/>
  <c r="Q23" i="11"/>
  <c r="P24" i="11"/>
  <c r="O25" i="11"/>
  <c r="N26" i="11"/>
  <c r="M27" i="11"/>
  <c r="L28" i="11"/>
  <c r="K29" i="11"/>
  <c r="W29" i="11"/>
  <c r="V30" i="11"/>
  <c r="U31" i="11"/>
  <c r="T32" i="11"/>
  <c r="S33" i="11"/>
  <c r="R34" i="11"/>
  <c r="Q35" i="11"/>
  <c r="P36" i="11"/>
  <c r="O37" i="11"/>
  <c r="N38" i="11"/>
  <c r="J25" i="11"/>
  <c r="J37" i="11"/>
  <c r="J18" i="11"/>
  <c r="K6" i="11"/>
  <c r="W6" i="11"/>
  <c r="V7" i="11"/>
  <c r="T9" i="11"/>
  <c r="S10" i="11"/>
  <c r="R11" i="11"/>
  <c r="Q12" i="11"/>
  <c r="P13" i="11"/>
  <c r="O14" i="11"/>
  <c r="N15" i="11"/>
  <c r="M16" i="11"/>
  <c r="K18" i="11"/>
  <c r="W18" i="11"/>
  <c r="U20" i="11"/>
  <c r="S22" i="11"/>
  <c r="Q24" i="11"/>
  <c r="O26" i="11"/>
  <c r="M28" i="11"/>
  <c r="K30" i="11"/>
  <c r="V31" i="11"/>
  <c r="T33" i="11"/>
  <c r="R35" i="11"/>
  <c r="P37" i="11"/>
  <c r="J26" i="11"/>
  <c r="J19" i="11"/>
  <c r="N28" i="11"/>
  <c r="K31" i="11"/>
  <c r="U33" i="11"/>
  <c r="R36" i="11"/>
  <c r="J27" i="11"/>
  <c r="U34" i="11"/>
  <c r="J28" i="11"/>
  <c r="W21" i="11"/>
  <c r="P28" i="11"/>
  <c r="W33" i="11"/>
  <c r="J22" i="11"/>
  <c r="U36" i="11"/>
  <c r="J11" i="11"/>
  <c r="I12" i="9"/>
  <c r="I13" i="9" s="1"/>
  <c r="I11" i="9"/>
  <c r="I6" i="9"/>
  <c r="I7" i="9"/>
  <c r="I8" i="9" s="1"/>
  <c r="B25" i="1"/>
  <c r="C25" i="1" s="1"/>
  <c r="B26" i="1"/>
  <c r="C26" i="1" s="1"/>
  <c r="B27" i="1"/>
  <c r="B28" i="1"/>
  <c r="B29" i="1"/>
  <c r="B30" i="1"/>
  <c r="B31" i="1"/>
  <c r="B32" i="1"/>
  <c r="B33" i="1"/>
  <c r="B34" i="1"/>
  <c r="B35" i="1"/>
  <c r="B36" i="1"/>
  <c r="B24" i="1"/>
  <c r="C24" i="1" s="1"/>
  <c r="C27" i="1"/>
  <c r="C28" i="1" l="1"/>
  <c r="C32" i="1"/>
  <c r="C29" i="1"/>
  <c r="C33" i="1" s="1"/>
  <c r="C31" i="1"/>
  <c r="C36" i="1" s="1"/>
  <c r="C30" i="1"/>
  <c r="C35" i="1" s="1"/>
  <c r="C34" i="1" l="1"/>
  <c r="B17" i="7"/>
  <c r="B18" i="7" s="1"/>
  <c r="B22" i="7"/>
  <c r="B6" i="7"/>
  <c r="B10" i="7" s="1"/>
  <c r="B32" i="7" s="1"/>
  <c r="B34" i="7" s="1"/>
  <c r="B35" i="7" s="1"/>
  <c r="B37" i="7" l="1"/>
  <c r="L12" i="7"/>
  <c r="L16" i="7"/>
  <c r="L20" i="7"/>
  <c r="L24" i="7"/>
  <c r="L28" i="7"/>
  <c r="L32" i="7"/>
  <c r="L36" i="7"/>
  <c r="L40" i="7"/>
  <c r="L8" i="7"/>
  <c r="L22" i="7"/>
  <c r="L30" i="7"/>
  <c r="L38" i="7"/>
  <c r="L11" i="7"/>
  <c r="L19" i="7"/>
  <c r="L31" i="7"/>
  <c r="L39" i="7"/>
  <c r="L9" i="7"/>
  <c r="L13" i="7"/>
  <c r="L17" i="7"/>
  <c r="L21" i="7"/>
  <c r="L25" i="7"/>
  <c r="L29" i="7"/>
  <c r="L33" i="7"/>
  <c r="L37" i="7"/>
  <c r="L41" i="7"/>
  <c r="L10" i="7"/>
  <c r="L14" i="7"/>
  <c r="L18" i="7"/>
  <c r="L26" i="7"/>
  <c r="L34" i="7"/>
  <c r="L42" i="7"/>
  <c r="L15" i="7"/>
  <c r="L23" i="7"/>
  <c r="L27" i="7"/>
  <c r="L35" i="7"/>
  <c r="L43" i="7"/>
  <c r="H43" i="7"/>
  <c r="I43" i="7" s="1"/>
  <c r="H42" i="7"/>
  <c r="I42" i="7" s="1"/>
  <c r="H30" i="7"/>
  <c r="I30" i="7" s="1"/>
  <c r="H32" i="7"/>
  <c r="I32" i="7" s="1"/>
  <c r="H34" i="7"/>
  <c r="I34" i="7" s="1"/>
  <c r="H36" i="7"/>
  <c r="I36" i="7" s="1"/>
  <c r="H38" i="7"/>
  <c r="I38" i="7" s="1"/>
  <c r="H40" i="7"/>
  <c r="I40" i="7" s="1"/>
  <c r="J11" i="7"/>
  <c r="K11" i="7" s="1"/>
  <c r="J15" i="7"/>
  <c r="K15" i="7" s="1"/>
  <c r="J19" i="7"/>
  <c r="K19" i="7" s="1"/>
  <c r="J23" i="7"/>
  <c r="K23" i="7" s="1"/>
  <c r="J27" i="7"/>
  <c r="K27" i="7" s="1"/>
  <c r="H10" i="7"/>
  <c r="I10" i="7" s="1"/>
  <c r="H14" i="7"/>
  <c r="I14" i="7" s="1"/>
  <c r="H18" i="7"/>
  <c r="I18" i="7" s="1"/>
  <c r="H22" i="7"/>
  <c r="I22" i="7" s="1"/>
  <c r="H26" i="7"/>
  <c r="I26" i="7" s="1"/>
  <c r="H16" i="7"/>
  <c r="I16" i="7" s="1"/>
  <c r="H28" i="7"/>
  <c r="I28" i="7" s="1"/>
  <c r="J33" i="7"/>
  <c r="K33" i="7" s="1"/>
  <c r="J10" i="7"/>
  <c r="K10" i="7" s="1"/>
  <c r="J22" i="7"/>
  <c r="K22" i="7" s="1"/>
  <c r="H13" i="7"/>
  <c r="I13" i="7" s="1"/>
  <c r="H25" i="7"/>
  <c r="I25" i="7" s="1"/>
  <c r="J43" i="7"/>
  <c r="K43" i="7" s="1"/>
  <c r="J42" i="7"/>
  <c r="K42" i="7" s="1"/>
  <c r="J30" i="7"/>
  <c r="K30" i="7" s="1"/>
  <c r="J32" i="7"/>
  <c r="K32" i="7" s="1"/>
  <c r="J34" i="7"/>
  <c r="K34" i="7" s="1"/>
  <c r="J36" i="7"/>
  <c r="K36" i="7" s="1"/>
  <c r="J38" i="7"/>
  <c r="K38" i="7" s="1"/>
  <c r="J40" i="7"/>
  <c r="K40" i="7" s="1"/>
  <c r="J12" i="7"/>
  <c r="K12" i="7" s="1"/>
  <c r="J16" i="7"/>
  <c r="K16" i="7" s="1"/>
  <c r="J20" i="7"/>
  <c r="K20" i="7" s="1"/>
  <c r="J24" i="7"/>
  <c r="K24" i="7" s="1"/>
  <c r="J28" i="7"/>
  <c r="K28" i="7" s="1"/>
  <c r="H11" i="7"/>
  <c r="I11" i="7" s="1"/>
  <c r="H15" i="7"/>
  <c r="I15" i="7" s="1"/>
  <c r="H19" i="7"/>
  <c r="I19" i="7" s="1"/>
  <c r="H23" i="7"/>
  <c r="I23" i="7" s="1"/>
  <c r="H27" i="7"/>
  <c r="I27" i="7" s="1"/>
  <c r="H12" i="7"/>
  <c r="I12" i="7" s="1"/>
  <c r="H20" i="7"/>
  <c r="I20" i="7" s="1"/>
  <c r="J41" i="7"/>
  <c r="K41" i="7" s="1"/>
  <c r="J35" i="7"/>
  <c r="K35" i="7" s="1"/>
  <c r="J39" i="7"/>
  <c r="K39" i="7" s="1"/>
  <c r="J18" i="7"/>
  <c r="K18" i="7" s="1"/>
  <c r="H9" i="7"/>
  <c r="I9" i="7" s="1"/>
  <c r="H17" i="7"/>
  <c r="I17" i="7" s="1"/>
  <c r="H8" i="7"/>
  <c r="I8" i="7" s="1"/>
  <c r="H41" i="7"/>
  <c r="I41" i="7" s="1"/>
  <c r="H29" i="7"/>
  <c r="I29" i="7" s="1"/>
  <c r="H31" i="7"/>
  <c r="I31" i="7" s="1"/>
  <c r="H33" i="7"/>
  <c r="I33" i="7" s="1"/>
  <c r="H35" i="7"/>
  <c r="I35" i="7" s="1"/>
  <c r="H37" i="7"/>
  <c r="I37" i="7" s="1"/>
  <c r="H39" i="7"/>
  <c r="I39" i="7" s="1"/>
  <c r="J9" i="7"/>
  <c r="K9" i="7" s="1"/>
  <c r="J13" i="7"/>
  <c r="K13" i="7" s="1"/>
  <c r="J17" i="7"/>
  <c r="K17" i="7" s="1"/>
  <c r="J21" i="7"/>
  <c r="K21" i="7" s="1"/>
  <c r="J25" i="7"/>
  <c r="K25" i="7" s="1"/>
  <c r="J8" i="7"/>
  <c r="K8" i="7" s="1"/>
  <c r="H24" i="7"/>
  <c r="I24" i="7" s="1"/>
  <c r="J29" i="7"/>
  <c r="K29" i="7" s="1"/>
  <c r="J31" i="7"/>
  <c r="K31" i="7" s="1"/>
  <c r="J37" i="7"/>
  <c r="K37" i="7" s="1"/>
  <c r="J14" i="7"/>
  <c r="K14" i="7" s="1"/>
  <c r="J26" i="7"/>
  <c r="K26" i="7" s="1"/>
  <c r="H21" i="7"/>
  <c r="I21" i="7" s="1"/>
  <c r="C4" i="6"/>
  <c r="C6" i="6" s="1"/>
  <c r="C7" i="6" s="1"/>
  <c r="E2" i="6"/>
  <c r="E4" i="6" l="1"/>
  <c r="C10" i="1"/>
  <c r="L74" i="1" s="1"/>
  <c r="M74" i="1" s="1"/>
  <c r="N74" i="1" s="1"/>
  <c r="E7" i="1"/>
  <c r="E4" i="1"/>
  <c r="E5" i="1" s="1"/>
  <c r="K4" i="1" l="1"/>
  <c r="L11" i="1"/>
  <c r="M11" i="1" s="1"/>
  <c r="N11" i="1" s="1"/>
  <c r="L23" i="1"/>
  <c r="M23" i="1" s="1"/>
  <c r="N23" i="1" s="1"/>
  <c r="J10" i="1"/>
  <c r="K10" i="1" s="1"/>
  <c r="J22" i="1"/>
  <c r="K22" i="1" s="1"/>
  <c r="J33" i="1"/>
  <c r="K33" i="1" s="1"/>
  <c r="L38" i="1"/>
  <c r="M38" i="1" s="1"/>
  <c r="N38" i="1" s="1"/>
  <c r="L44" i="1"/>
  <c r="M44" i="1" s="1"/>
  <c r="N44" i="1" s="1"/>
  <c r="J46" i="1"/>
  <c r="K46" i="1" s="1"/>
  <c r="L56" i="1"/>
  <c r="M56" i="1" s="1"/>
  <c r="N56" i="1" s="1"/>
  <c r="L59" i="1"/>
  <c r="M59" i="1" s="1"/>
  <c r="N59" i="1" s="1"/>
  <c r="L61" i="1"/>
  <c r="M61" i="1" s="1"/>
  <c r="N61" i="1" s="1"/>
  <c r="L63" i="1"/>
  <c r="M63" i="1" s="1"/>
  <c r="N63" i="1" s="1"/>
  <c r="L69" i="1"/>
  <c r="M69" i="1" s="1"/>
  <c r="N69" i="1" s="1"/>
  <c r="L71" i="1"/>
  <c r="M71" i="1" s="1"/>
  <c r="N71" i="1" s="1"/>
  <c r="J75" i="1"/>
  <c r="K75" i="1" s="1"/>
  <c r="L14" i="1"/>
  <c r="M14" i="1" s="1"/>
  <c r="N14" i="1" s="1"/>
  <c r="L10" i="1"/>
  <c r="M10" i="1" s="1"/>
  <c r="N10" i="1" s="1"/>
  <c r="L21" i="1"/>
  <c r="M21" i="1" s="1"/>
  <c r="N21" i="1" s="1"/>
  <c r="L24" i="1"/>
  <c r="M24" i="1" s="1"/>
  <c r="N24" i="1" s="1"/>
  <c r="L27" i="1"/>
  <c r="M27" i="1" s="1"/>
  <c r="N27" i="1" s="1"/>
  <c r="J13" i="1"/>
  <c r="K13" i="1" s="1"/>
  <c r="J9" i="1"/>
  <c r="K9" i="1" s="1"/>
  <c r="J25" i="1"/>
  <c r="K25" i="1" s="1"/>
  <c r="J21" i="1"/>
  <c r="K21" i="1" s="1"/>
  <c r="L33" i="1"/>
  <c r="M33" i="1" s="1"/>
  <c r="N33" i="1" s="1"/>
  <c r="J35" i="1"/>
  <c r="K35" i="1" s="1"/>
  <c r="J37" i="1"/>
  <c r="K37" i="1" s="1"/>
  <c r="J39" i="1"/>
  <c r="K39" i="1" s="1"/>
  <c r="J45" i="1"/>
  <c r="K45" i="1" s="1"/>
  <c r="L46" i="1"/>
  <c r="M46" i="1" s="1"/>
  <c r="N46" i="1" s="1"/>
  <c r="J48" i="1"/>
  <c r="K48" i="1" s="1"/>
  <c r="J57" i="1"/>
  <c r="K57" i="1" s="1"/>
  <c r="L58" i="1"/>
  <c r="M58" i="1" s="1"/>
  <c r="N58" i="1" s="1"/>
  <c r="J60" i="1"/>
  <c r="K60" i="1" s="1"/>
  <c r="J62" i="1"/>
  <c r="K62" i="1" s="1"/>
  <c r="J68" i="1"/>
  <c r="K68" i="1" s="1"/>
  <c r="J70" i="1"/>
  <c r="K70" i="1" s="1"/>
  <c r="J72" i="1"/>
  <c r="K72" i="1" s="1"/>
  <c r="L73" i="1"/>
  <c r="M73" i="1" s="1"/>
  <c r="N73" i="1" s="1"/>
  <c r="L75" i="1"/>
  <c r="M75" i="1" s="1"/>
  <c r="N75" i="1" s="1"/>
  <c r="L15" i="1"/>
  <c r="M15" i="1" s="1"/>
  <c r="N15" i="1" s="1"/>
  <c r="L26" i="1"/>
  <c r="M26" i="1" s="1"/>
  <c r="N26" i="1" s="1"/>
  <c r="J14" i="1"/>
  <c r="K14" i="1" s="1"/>
  <c r="J26" i="1"/>
  <c r="K26" i="1" s="1"/>
  <c r="L34" i="1"/>
  <c r="M34" i="1" s="1"/>
  <c r="N34" i="1" s="1"/>
  <c r="L36" i="1"/>
  <c r="M36" i="1" s="1"/>
  <c r="N36" i="1" s="1"/>
  <c r="L47" i="1"/>
  <c r="M47" i="1" s="1"/>
  <c r="N47" i="1" s="1"/>
  <c r="L49" i="1"/>
  <c r="M49" i="1" s="1"/>
  <c r="N49" i="1" s="1"/>
  <c r="J51" i="1"/>
  <c r="K51" i="1" s="1"/>
  <c r="J58" i="1"/>
  <c r="K58" i="1" s="1"/>
  <c r="L13" i="1"/>
  <c r="M13" i="1" s="1"/>
  <c r="N13" i="1" s="1"/>
  <c r="L9" i="1"/>
  <c r="M9" i="1" s="1"/>
  <c r="N9" i="1" s="1"/>
  <c r="J8" i="1"/>
  <c r="K8" i="1" s="1"/>
  <c r="J12" i="1"/>
  <c r="K12" i="1" s="1"/>
  <c r="J20" i="1"/>
  <c r="K20" i="1" s="1"/>
  <c r="J24" i="1"/>
  <c r="K24" i="1" s="1"/>
  <c r="J32" i="1"/>
  <c r="K32" i="1" s="1"/>
  <c r="L35" i="1"/>
  <c r="M35" i="1" s="1"/>
  <c r="N35" i="1" s="1"/>
  <c r="L37" i="1"/>
  <c r="M37" i="1" s="1"/>
  <c r="N37" i="1" s="1"/>
  <c r="L39" i="1"/>
  <c r="M39" i="1" s="1"/>
  <c r="N39" i="1" s="1"/>
  <c r="L45" i="1"/>
  <c r="M45" i="1" s="1"/>
  <c r="N45" i="1" s="1"/>
  <c r="J47" i="1"/>
  <c r="K47" i="1" s="1"/>
  <c r="L48" i="1"/>
  <c r="M48" i="1" s="1"/>
  <c r="N48" i="1" s="1"/>
  <c r="J50" i="1"/>
  <c r="K50" i="1" s="1"/>
  <c r="L51" i="1"/>
  <c r="M51" i="1" s="1"/>
  <c r="N51" i="1" s="1"/>
  <c r="L57" i="1"/>
  <c r="M57" i="1" s="1"/>
  <c r="N57" i="1" s="1"/>
  <c r="J59" i="1"/>
  <c r="K59" i="1" s="1"/>
  <c r="L60" i="1"/>
  <c r="M60" i="1" s="1"/>
  <c r="N60" i="1" s="1"/>
  <c r="L62" i="1"/>
  <c r="M62" i="1" s="1"/>
  <c r="N62" i="1" s="1"/>
  <c r="L68" i="1"/>
  <c r="M68" i="1" s="1"/>
  <c r="N68" i="1" s="1"/>
  <c r="L70" i="1"/>
  <c r="M70" i="1" s="1"/>
  <c r="N70" i="1" s="1"/>
  <c r="L72" i="1"/>
  <c r="M72" i="1" s="1"/>
  <c r="N72" i="1" s="1"/>
  <c r="J74" i="1"/>
  <c r="K74" i="1" s="1"/>
  <c r="L8" i="1"/>
  <c r="M8" i="1" s="1"/>
  <c r="N8" i="1" s="1"/>
  <c r="L12" i="1"/>
  <c r="M12" i="1" s="1"/>
  <c r="N12" i="1" s="1"/>
  <c r="L20" i="1"/>
  <c r="M20" i="1" s="1"/>
  <c r="N20" i="1" s="1"/>
  <c r="L22" i="1"/>
  <c r="M22" i="1" s="1"/>
  <c r="N22" i="1" s="1"/>
  <c r="L25" i="1"/>
  <c r="M25" i="1" s="1"/>
  <c r="N25" i="1" s="1"/>
  <c r="J15" i="1"/>
  <c r="K15" i="1" s="1"/>
  <c r="J11" i="1"/>
  <c r="K11" i="1" s="1"/>
  <c r="J27" i="1"/>
  <c r="K27" i="1" s="1"/>
  <c r="J23" i="1"/>
  <c r="K23" i="1" s="1"/>
  <c r="L32" i="1"/>
  <c r="M32" i="1" s="1"/>
  <c r="N32" i="1" s="1"/>
  <c r="J34" i="1"/>
  <c r="K34" i="1" s="1"/>
  <c r="J36" i="1"/>
  <c r="K36" i="1" s="1"/>
  <c r="J38" i="1"/>
  <c r="K38" i="1" s="1"/>
  <c r="J44" i="1"/>
  <c r="K44" i="1" s="1"/>
  <c r="J49" i="1"/>
  <c r="K49" i="1" s="1"/>
  <c r="L50" i="1"/>
  <c r="M50" i="1" s="1"/>
  <c r="N50" i="1" s="1"/>
  <c r="J56" i="1"/>
  <c r="K56" i="1" s="1"/>
  <c r="J61" i="1"/>
  <c r="K61" i="1" s="1"/>
  <c r="J63" i="1"/>
  <c r="K63" i="1" s="1"/>
  <c r="J69" i="1"/>
  <c r="K69" i="1" s="1"/>
  <c r="J71" i="1"/>
  <c r="K71" i="1" s="1"/>
  <c r="J73" i="1"/>
  <c r="K73" i="1" s="1"/>
  <c r="P9" i="1"/>
  <c r="P13" i="1"/>
  <c r="P10" i="1"/>
  <c r="P14" i="1"/>
  <c r="P11" i="1"/>
  <c r="P15" i="1"/>
  <c r="P12" i="1"/>
  <c r="P8" i="1"/>
  <c r="I4" i="1"/>
</calcChain>
</file>

<file path=xl/sharedStrings.xml><?xml version="1.0" encoding="utf-8"?>
<sst xmlns="http://schemas.openxmlformats.org/spreadsheetml/2006/main" count="234" uniqueCount="74">
  <si>
    <t>2020 FRC - Infinite Recharge</t>
  </si>
  <si>
    <t>Power Cell to Power Port Ballistics</t>
  </si>
  <si>
    <t>Target height</t>
  </si>
  <si>
    <t>ft</t>
  </si>
  <si>
    <t>in</t>
  </si>
  <si>
    <t>Angle</t>
  </si>
  <si>
    <t>Launch</t>
  </si>
  <si>
    <t>Shooter height</t>
  </si>
  <si>
    <t>Max</t>
  </si>
  <si>
    <t>cm</t>
  </si>
  <si>
    <t>Port height</t>
  </si>
  <si>
    <t>Gravity</t>
  </si>
  <si>
    <t>m/s2</t>
  </si>
  <si>
    <t>cm/s2</t>
  </si>
  <si>
    <t>Height (cm)</t>
  </si>
  <si>
    <t>Distance To</t>
  </si>
  <si>
    <t>Height (in)</t>
  </si>
  <si>
    <t>Velocity (ft/s)</t>
  </si>
  <si>
    <t>Height (ft)</t>
  </si>
  <si>
    <t>Wheel Dia</t>
  </si>
  <si>
    <t xml:space="preserve">Wheel Surface Speed </t>
  </si>
  <si>
    <t>ft/sec</t>
  </si>
  <si>
    <t>Wheel Circumference</t>
  </si>
  <si>
    <t>Motor Speed (rpm)</t>
  </si>
  <si>
    <t>in/min</t>
  </si>
  <si>
    <t>variable</t>
  </si>
  <si>
    <t>calculation</t>
  </si>
  <si>
    <t>ft/s^2</t>
  </si>
  <si>
    <t>in/s^2</t>
  </si>
  <si>
    <t>Accel of Gravity</t>
  </si>
  <si>
    <t>Time (s)</t>
  </si>
  <si>
    <t>Distance (in)</t>
  </si>
  <si>
    <t>Launch Angle</t>
  </si>
  <si>
    <t>Wheel Ball Slip Factor</t>
  </si>
  <si>
    <t>Distance (ft)</t>
  </si>
  <si>
    <t>Targeting Calcs</t>
  </si>
  <si>
    <t>Distance to Target</t>
  </si>
  <si>
    <t>Launch Velocity</t>
  </si>
  <si>
    <t>in/s</t>
  </si>
  <si>
    <t>ft/s</t>
  </si>
  <si>
    <t>Motor Speed</t>
  </si>
  <si>
    <t>rpm</t>
  </si>
  <si>
    <t>degrees</t>
  </si>
  <si>
    <t>Defense Against Us</t>
  </si>
  <si>
    <t>Distance</t>
  </si>
  <si>
    <t>Safe</t>
  </si>
  <si>
    <t>Max Robot Height</t>
  </si>
  <si>
    <t>Ball Diameter</t>
  </si>
  <si>
    <t>This sheet calculates the distance and angle from various shooting locations to the target</t>
  </si>
  <si>
    <t>Center of target to edge of field</t>
  </si>
  <si>
    <t>Initiation line to front of target</t>
  </si>
  <si>
    <t>Front of trench to front of target</t>
  </si>
  <si>
    <t>Robot Dimensions</t>
  </si>
  <si>
    <t>Width</t>
  </si>
  <si>
    <t>Length</t>
  </si>
  <si>
    <t>Field Dimensions</t>
  </si>
  <si>
    <t>Shooting Locations</t>
  </si>
  <si>
    <t>Back edge of control panel to target</t>
  </si>
  <si>
    <t>Control panel width</t>
  </si>
  <si>
    <t>Front of Control Panel</t>
  </si>
  <si>
    <t>Front of Trench</t>
  </si>
  <si>
    <t>Speed</t>
  </si>
  <si>
    <t>Fixed 45 degree angle</t>
  </si>
  <si>
    <t>all shots made</t>
  </si>
  <si>
    <t>center of trench, behind wheel</t>
  </si>
  <si>
    <t>immediately in front of wheel</t>
  </si>
  <si>
    <t>not enough</t>
  </si>
  <si>
    <t>missed 3 shots</t>
  </si>
  <si>
    <t>missed 2 shots</t>
  </si>
  <si>
    <t>angle (degrees)</t>
  </si>
  <si>
    <t>distance (in)</t>
  </si>
  <si>
    <t>angle(radians)</t>
  </si>
  <si>
    <t>in/sec</t>
  </si>
  <si>
    <t>Heights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</si>
</sst>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3" fillId="0" borderId="0" xfId="0" applyFont="1" applyAlignment="1">
      <alignment horizontal="right"/>
    </xf>
    <xf numFmtId="0" fontId="0" fillId="2" borderId="0" xfId="0" applyFill="1"/>
    <xf numFmtId="0" fontId="4" fillId="0" borderId="0" xfId="0" applyFont="1"/>
    <xf numFmtId="0" fontId="1" fillId="0" borderId="0" xfId="0" applyFont="1" applyAlignment="1">
      <alignment horizontal="left"/>
    </xf>
    <xf numFmtId="2" fontId="4" fillId="0" borderId="0" xfId="0" applyNumberFormat="1" applyFont="1"/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1" fillId="0" borderId="2" xfId="0" applyFont="1" applyBorder="1"/>
    <xf numFmtId="0" fontId="1" fillId="0" borderId="4" xfId="0" applyFont="1" applyBorder="1"/>
    <xf numFmtId="0" fontId="0" fillId="0" borderId="6" xfId="0" applyBorder="1"/>
    <xf numFmtId="0" fontId="0" fillId="2" borderId="0" xfId="0" applyFill="1" applyBorder="1"/>
    <xf numFmtId="0" fontId="4" fillId="0" borderId="0" xfId="0" applyFont="1" applyBorder="1"/>
    <xf numFmtId="0" fontId="4" fillId="0" borderId="5" xfId="0" applyFont="1" applyBorder="1"/>
    <xf numFmtId="165" fontId="0" fillId="0" borderId="0" xfId="0" applyNumberFormat="1" applyAlignment="1">
      <alignment horizontal="center"/>
    </xf>
    <xf numFmtId="0" fontId="5" fillId="0" borderId="0" xfId="0" applyFont="1"/>
    <xf numFmtId="0" fontId="5" fillId="3" borderId="7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0" fillId="0" borderId="0" xfId="0" applyAlignment="1">
      <alignment horizontal="right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5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4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styles" Target="styles.xml"/><Relationship Id="rId5" Type="http://schemas.openxmlformats.org/officeDocument/2006/relationships/chartsheet" Target="chartsheets/sheet2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Data'!$K$20:$K$27</c:f>
              <c:numCache>
                <c:formatCode>0.00</c:formatCode>
                <c:ptCount val="8"/>
                <c:pt idx="0">
                  <c:v>0.56192125535826298</c:v>
                </c:pt>
                <c:pt idx="1">
                  <c:v>2.179934334036691</c:v>
                </c:pt>
                <c:pt idx="2">
                  <c:v>4.6589558551318966</c:v>
                </c:pt>
                <c:pt idx="3">
                  <c:v>7.7000908924900573</c:v>
                </c:pt>
                <c:pt idx="4">
                  <c:v>10.936670651717893</c:v>
                </c:pt>
                <c:pt idx="5">
                  <c:v>13.978461623387059</c:v>
                </c:pt>
                <c:pt idx="6">
                  <c:v>16.458715927289258</c:v>
                </c:pt>
                <c:pt idx="7">
                  <c:v>18.078390000995057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27A-4EA3-AD3B-037463C8F43C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Data'!$K$32:$K$39</c:f>
              <c:numCache>
                <c:formatCode>0.00</c:formatCode>
                <c:ptCount val="8"/>
                <c:pt idx="0">
                  <c:v>2.2476850214330519</c:v>
                </c:pt>
                <c:pt idx="1">
                  <c:v>8.7197373361467641</c:v>
                </c:pt>
                <c:pt idx="2">
                  <c:v>18.635823420527586</c:v>
                </c:pt>
                <c:pt idx="3">
                  <c:v>30.800363569960229</c:v>
                </c:pt>
                <c:pt idx="4">
                  <c:v>43.746682606871573</c:v>
                </c:pt>
                <c:pt idx="5">
                  <c:v>55.913846493548235</c:v>
                </c:pt>
                <c:pt idx="6">
                  <c:v>65.834863709157034</c:v>
                </c:pt>
                <c:pt idx="7">
                  <c:v>72.313560003980228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27A-4EA3-AD3B-037463C8F43C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Data'!$K$44:$K$51</c:f>
              <c:numCache>
                <c:formatCode>0.00</c:formatCode>
                <c:ptCount val="8"/>
                <c:pt idx="0">
                  <c:v>5.0572912982243663</c:v>
                </c:pt>
                <c:pt idx="1">
                  <c:v>19.619409006330216</c:v>
                </c:pt>
                <c:pt idx="2">
                  <c:v>41.930602696187073</c:v>
                </c:pt>
                <c:pt idx="3">
                  <c:v>69.300818032410504</c:v>
                </c:pt>
                <c:pt idx="4">
                  <c:v>98.430035865461022</c:v>
                </c:pt>
                <c:pt idx="5">
                  <c:v>125.80615461048352</c:v>
                </c:pt>
                <c:pt idx="6">
                  <c:v>148.12844334560333</c:v>
                </c:pt>
                <c:pt idx="7">
                  <c:v>162.70551000895549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27A-4EA3-AD3B-037463C8F43C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Data'!$K$56:$K$63</c:f>
              <c:numCache>
                <c:formatCode>0.00</c:formatCode>
                <c:ptCount val="8"/>
                <c:pt idx="0">
                  <c:v>8.9907400857322077</c:v>
                </c:pt>
                <c:pt idx="1">
                  <c:v>34.878949344587056</c:v>
                </c:pt>
                <c:pt idx="2">
                  <c:v>74.543293682110345</c:v>
                </c:pt>
                <c:pt idx="3">
                  <c:v>123.20145427984092</c:v>
                </c:pt>
                <c:pt idx="4">
                  <c:v>174.98673042748629</c:v>
                </c:pt>
                <c:pt idx="5">
                  <c:v>223.65538597419294</c:v>
                </c:pt>
                <c:pt idx="6">
                  <c:v>263.33945483662814</c:v>
                </c:pt>
                <c:pt idx="7">
                  <c:v>289.25424001592091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27A-4EA3-AD3B-037463C8F43C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Data'!$K$68:$K$75</c:f>
              <c:numCache>
                <c:formatCode>0.00</c:formatCode>
                <c:ptCount val="8"/>
                <c:pt idx="0">
                  <c:v>14.048031383956573</c:v>
                </c:pt>
                <c:pt idx="1">
                  <c:v>54.498358350917272</c:v>
                </c:pt>
                <c:pt idx="2">
                  <c:v>116.47389637829741</c:v>
                </c:pt>
                <c:pt idx="3">
                  <c:v>192.50227231225142</c:v>
                </c:pt>
                <c:pt idx="4">
                  <c:v>273.41676629294733</c:v>
                </c:pt>
                <c:pt idx="5">
                  <c:v>349.46154058467647</c:v>
                </c:pt>
                <c:pt idx="6">
                  <c:v>411.46789818223147</c:v>
                </c:pt>
                <c:pt idx="7">
                  <c:v>451.95975002487643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27A-4EA3-AD3B-037463C8F43C}"/>
            </c:ext>
          </c:extLst>
        </c:ser>
        <c:ser>
          <c:idx val="5"/>
          <c:order val="5"/>
          <c:tx>
            <c:v>Target</c:v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'Plot Data'!$I$8:$I$15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Data'!$P$8:$P$15</c:f>
              <c:numCache>
                <c:formatCode>General</c:formatCode>
                <c:ptCount val="8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27A-4EA3-AD3B-037463C8F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Projectile 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Ballistics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27.350462424058719</c:v>
                </c:pt>
                <c:pt idx="2">
                  <c:v>54.700924848117438</c:v>
                </c:pt>
                <c:pt idx="3">
                  <c:v>82.051387272176157</c:v>
                </c:pt>
                <c:pt idx="4">
                  <c:v>109.40184969623488</c:v>
                </c:pt>
                <c:pt idx="5">
                  <c:v>136.7523121202936</c:v>
                </c:pt>
                <c:pt idx="6">
                  <c:v>164.10277454435231</c:v>
                </c:pt>
                <c:pt idx="7">
                  <c:v>191.45323696841103</c:v>
                </c:pt>
                <c:pt idx="8">
                  <c:v>218.80369939246975</c:v>
                </c:pt>
                <c:pt idx="9">
                  <c:v>246.15416181652847</c:v>
                </c:pt>
                <c:pt idx="10">
                  <c:v>273.50462424058719</c:v>
                </c:pt>
                <c:pt idx="11">
                  <c:v>300.85508666464591</c:v>
                </c:pt>
                <c:pt idx="12">
                  <c:v>328.20554908870463</c:v>
                </c:pt>
                <c:pt idx="13">
                  <c:v>355.55601151276335</c:v>
                </c:pt>
                <c:pt idx="14">
                  <c:v>382.90647393682207</c:v>
                </c:pt>
                <c:pt idx="15">
                  <c:v>410.25693636088079</c:v>
                </c:pt>
                <c:pt idx="16">
                  <c:v>437.60739878493951</c:v>
                </c:pt>
                <c:pt idx="17">
                  <c:v>464.95786120899822</c:v>
                </c:pt>
                <c:pt idx="18">
                  <c:v>492.30832363305694</c:v>
                </c:pt>
                <c:pt idx="19">
                  <c:v>519.65878605711566</c:v>
                </c:pt>
                <c:pt idx="20">
                  <c:v>547.00924848117438</c:v>
                </c:pt>
                <c:pt idx="21">
                  <c:v>574.3597109052331</c:v>
                </c:pt>
                <c:pt idx="22">
                  <c:v>601.71017332929182</c:v>
                </c:pt>
                <c:pt idx="23">
                  <c:v>629.06063575335054</c:v>
                </c:pt>
                <c:pt idx="24">
                  <c:v>656.41109817740926</c:v>
                </c:pt>
                <c:pt idx="25">
                  <c:v>683.76156060146798</c:v>
                </c:pt>
                <c:pt idx="26">
                  <c:v>711.1120230255267</c:v>
                </c:pt>
                <c:pt idx="27">
                  <c:v>738.46248544958542</c:v>
                </c:pt>
                <c:pt idx="28">
                  <c:v>765.81294787364413</c:v>
                </c:pt>
                <c:pt idx="29">
                  <c:v>793.16341029770285</c:v>
                </c:pt>
                <c:pt idx="30">
                  <c:v>820.51387272176157</c:v>
                </c:pt>
                <c:pt idx="31">
                  <c:v>847.86433514582029</c:v>
                </c:pt>
                <c:pt idx="32">
                  <c:v>875.21479756987901</c:v>
                </c:pt>
                <c:pt idx="33">
                  <c:v>902.56525999393773</c:v>
                </c:pt>
                <c:pt idx="34">
                  <c:v>929.91572241799645</c:v>
                </c:pt>
                <c:pt idx="35">
                  <c:v>957.26618484205517</c:v>
                </c:pt>
              </c:numCache>
            </c:numRef>
          </c:xVal>
          <c:yVal>
            <c:numRef>
              <c:f>Ballistics!$J$8:$J$43</c:f>
              <c:numCache>
                <c:formatCode>0.00</c:formatCode>
                <c:ptCount val="36"/>
                <c:pt idx="0">
                  <c:v>0</c:v>
                </c:pt>
                <c:pt idx="1">
                  <c:v>25.412158949768642</c:v>
                </c:pt>
                <c:pt idx="2">
                  <c:v>46.963917899537279</c:v>
                </c:pt>
                <c:pt idx="3">
                  <c:v>64.65527684930592</c:v>
                </c:pt>
                <c:pt idx="4">
                  <c:v>78.486235799074564</c:v>
                </c:pt>
                <c:pt idx="5">
                  <c:v>88.456794748843208</c:v>
                </c:pt>
                <c:pt idx="6">
                  <c:v>94.566953698611826</c:v>
                </c:pt>
                <c:pt idx="7">
                  <c:v>96.816712648380488</c:v>
                </c:pt>
                <c:pt idx="8">
                  <c:v>95.206071598149094</c:v>
                </c:pt>
                <c:pt idx="9">
                  <c:v>89.735030547917773</c:v>
                </c:pt>
                <c:pt idx="10">
                  <c:v>80.403589497686397</c:v>
                </c:pt>
                <c:pt idx="11">
                  <c:v>67.211748447455022</c:v>
                </c:pt>
                <c:pt idx="12">
                  <c:v>50.159507397223649</c:v>
                </c:pt>
                <c:pt idx="13">
                  <c:v>29.246866346992306</c:v>
                </c:pt>
                <c:pt idx="14">
                  <c:v>4.4738252967609924</c:v>
                </c:pt>
                <c:pt idx="15">
                  <c:v>-24.159615753470405</c:v>
                </c:pt>
                <c:pt idx="16">
                  <c:v>-56.653456803701886</c:v>
                </c:pt>
                <c:pt idx="17">
                  <c:v>-93.007697853933053</c:v>
                </c:pt>
                <c:pt idx="18">
                  <c:v>-133.22233890416447</c:v>
                </c:pt>
                <c:pt idx="19">
                  <c:v>-177.29737995439586</c:v>
                </c:pt>
                <c:pt idx="20">
                  <c:v>-225.23282100462723</c:v>
                </c:pt>
                <c:pt idx="21">
                  <c:v>-277.0286620548585</c:v>
                </c:pt>
                <c:pt idx="22">
                  <c:v>-332.68490310509003</c:v>
                </c:pt>
                <c:pt idx="23">
                  <c:v>-392.20154415532113</c:v>
                </c:pt>
                <c:pt idx="24">
                  <c:v>-455.57858520555271</c:v>
                </c:pt>
                <c:pt idx="25">
                  <c:v>-522.81602625578398</c:v>
                </c:pt>
                <c:pt idx="26">
                  <c:v>-593.9138673060155</c:v>
                </c:pt>
                <c:pt idx="27">
                  <c:v>-668.87210835624694</c:v>
                </c:pt>
                <c:pt idx="28">
                  <c:v>-747.69074940647795</c:v>
                </c:pt>
                <c:pt idx="29">
                  <c:v>-830.36979045670967</c:v>
                </c:pt>
                <c:pt idx="30">
                  <c:v>-916.90923150694084</c:v>
                </c:pt>
                <c:pt idx="31">
                  <c:v>-1007.3090725571725</c:v>
                </c:pt>
                <c:pt idx="32">
                  <c:v>-1101.5693136074042</c:v>
                </c:pt>
                <c:pt idx="33">
                  <c:v>-1199.6899546576346</c:v>
                </c:pt>
                <c:pt idx="34">
                  <c:v>-1301.670995707866</c:v>
                </c:pt>
                <c:pt idx="35">
                  <c:v>-1407.5124367580979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F1-45F2-946A-560AE8127452}"/>
            </c:ext>
          </c:extLst>
        </c:ser>
        <c:ser>
          <c:idx val="1"/>
          <c:order val="1"/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Ballistics!$H$8:$H$43</c:f>
              <c:numCache>
                <c:formatCode>0.00</c:formatCode>
                <c:ptCount val="36"/>
                <c:pt idx="0">
                  <c:v>0</c:v>
                </c:pt>
                <c:pt idx="1">
                  <c:v>27.350462424058719</c:v>
                </c:pt>
                <c:pt idx="2">
                  <c:v>54.700924848117438</c:v>
                </c:pt>
                <c:pt idx="3">
                  <c:v>82.051387272176157</c:v>
                </c:pt>
                <c:pt idx="4">
                  <c:v>109.40184969623488</c:v>
                </c:pt>
                <c:pt idx="5">
                  <c:v>136.7523121202936</c:v>
                </c:pt>
                <c:pt idx="6">
                  <c:v>164.10277454435231</c:v>
                </c:pt>
                <c:pt idx="7">
                  <c:v>191.45323696841103</c:v>
                </c:pt>
                <c:pt idx="8">
                  <c:v>218.80369939246975</c:v>
                </c:pt>
                <c:pt idx="9">
                  <c:v>246.15416181652847</c:v>
                </c:pt>
                <c:pt idx="10">
                  <c:v>273.50462424058719</c:v>
                </c:pt>
                <c:pt idx="11">
                  <c:v>300.85508666464591</c:v>
                </c:pt>
                <c:pt idx="12">
                  <c:v>328.20554908870463</c:v>
                </c:pt>
                <c:pt idx="13">
                  <c:v>355.55601151276335</c:v>
                </c:pt>
                <c:pt idx="14">
                  <c:v>382.90647393682207</c:v>
                </c:pt>
                <c:pt idx="15">
                  <c:v>410.25693636088079</c:v>
                </c:pt>
                <c:pt idx="16">
                  <c:v>437.60739878493951</c:v>
                </c:pt>
                <c:pt idx="17">
                  <c:v>464.95786120899822</c:v>
                </c:pt>
                <c:pt idx="18">
                  <c:v>492.30832363305694</c:v>
                </c:pt>
                <c:pt idx="19">
                  <c:v>519.65878605711566</c:v>
                </c:pt>
                <c:pt idx="20">
                  <c:v>547.00924848117438</c:v>
                </c:pt>
                <c:pt idx="21">
                  <c:v>574.3597109052331</c:v>
                </c:pt>
                <c:pt idx="22">
                  <c:v>601.71017332929182</c:v>
                </c:pt>
                <c:pt idx="23">
                  <c:v>629.06063575335054</c:v>
                </c:pt>
                <c:pt idx="24">
                  <c:v>656.41109817740926</c:v>
                </c:pt>
                <c:pt idx="25">
                  <c:v>683.76156060146798</c:v>
                </c:pt>
                <c:pt idx="26">
                  <c:v>711.1120230255267</c:v>
                </c:pt>
                <c:pt idx="27">
                  <c:v>738.46248544958542</c:v>
                </c:pt>
                <c:pt idx="28">
                  <c:v>765.81294787364413</c:v>
                </c:pt>
                <c:pt idx="29">
                  <c:v>793.16341029770285</c:v>
                </c:pt>
                <c:pt idx="30">
                  <c:v>820.51387272176157</c:v>
                </c:pt>
                <c:pt idx="31">
                  <c:v>847.86433514582029</c:v>
                </c:pt>
                <c:pt idx="32">
                  <c:v>875.21479756987901</c:v>
                </c:pt>
                <c:pt idx="33">
                  <c:v>902.56525999393773</c:v>
                </c:pt>
                <c:pt idx="34">
                  <c:v>929.91572241799645</c:v>
                </c:pt>
                <c:pt idx="35">
                  <c:v>957.26618484205517</c:v>
                </c:pt>
              </c:numCache>
            </c:numRef>
          </c:xVal>
          <c:yVal>
            <c:numRef>
              <c:f>Ballistics!$L$8:$L$43</c:f>
              <c:numCache>
                <c:formatCode>General</c:formatCode>
                <c:ptCount val="36"/>
                <c:pt idx="0">
                  <c:v>74.25</c:v>
                </c:pt>
                <c:pt idx="1">
                  <c:v>74.25</c:v>
                </c:pt>
                <c:pt idx="2">
                  <c:v>74.25</c:v>
                </c:pt>
                <c:pt idx="3">
                  <c:v>74.25</c:v>
                </c:pt>
                <c:pt idx="4">
                  <c:v>74.25</c:v>
                </c:pt>
                <c:pt idx="5">
                  <c:v>74.25</c:v>
                </c:pt>
                <c:pt idx="6">
                  <c:v>74.25</c:v>
                </c:pt>
                <c:pt idx="7">
                  <c:v>74.25</c:v>
                </c:pt>
                <c:pt idx="8">
                  <c:v>74.25</c:v>
                </c:pt>
                <c:pt idx="9">
                  <c:v>74.25</c:v>
                </c:pt>
                <c:pt idx="10">
                  <c:v>74.25</c:v>
                </c:pt>
                <c:pt idx="11">
                  <c:v>74.25</c:v>
                </c:pt>
                <c:pt idx="12">
                  <c:v>74.25</c:v>
                </c:pt>
                <c:pt idx="13">
                  <c:v>74.25</c:v>
                </c:pt>
                <c:pt idx="14">
                  <c:v>74.25</c:v>
                </c:pt>
                <c:pt idx="15">
                  <c:v>74.25</c:v>
                </c:pt>
                <c:pt idx="16">
                  <c:v>74.25</c:v>
                </c:pt>
                <c:pt idx="17">
                  <c:v>74.25</c:v>
                </c:pt>
                <c:pt idx="18">
                  <c:v>74.25</c:v>
                </c:pt>
                <c:pt idx="19">
                  <c:v>74.25</c:v>
                </c:pt>
                <c:pt idx="20">
                  <c:v>74.25</c:v>
                </c:pt>
                <c:pt idx="21">
                  <c:v>74.25</c:v>
                </c:pt>
                <c:pt idx="22">
                  <c:v>74.25</c:v>
                </c:pt>
                <c:pt idx="23">
                  <c:v>74.25</c:v>
                </c:pt>
                <c:pt idx="24">
                  <c:v>74.25</c:v>
                </c:pt>
                <c:pt idx="25">
                  <c:v>74.25</c:v>
                </c:pt>
                <c:pt idx="26">
                  <c:v>74.25</c:v>
                </c:pt>
                <c:pt idx="27">
                  <c:v>74.25</c:v>
                </c:pt>
                <c:pt idx="28">
                  <c:v>74.25</c:v>
                </c:pt>
                <c:pt idx="29">
                  <c:v>74.25</c:v>
                </c:pt>
                <c:pt idx="30">
                  <c:v>74.25</c:v>
                </c:pt>
                <c:pt idx="31">
                  <c:v>74.25</c:v>
                </c:pt>
                <c:pt idx="32">
                  <c:v>74.25</c:v>
                </c:pt>
                <c:pt idx="33">
                  <c:v>74.25</c:v>
                </c:pt>
                <c:pt idx="34">
                  <c:v>74.25</c:v>
                </c:pt>
                <c:pt idx="35">
                  <c:v>74.25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4F1-45F2-946A-560AE8127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03312"/>
        <c:axId val="449303640"/>
      </c:scatterChart>
      <c:valAx>
        <c:axId val="44930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640"/>
        <c:crosses val="autoZero"/>
        <c:crossBetween val="midCat"/>
      </c:valAx>
      <c:valAx>
        <c:axId val="44930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Height (in)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303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Cell - Distance to Max Height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10 ft/s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Data'!$I$20:$I$27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Data'!$N$20:$N$27</c:f>
              <c:numCache>
                <c:formatCode>0.000</c:formatCode>
                <c:ptCount val="8"/>
                <c:pt idx="0">
                  <c:v>0.53123791386159191</c:v>
                </c:pt>
                <c:pt idx="1">
                  <c:v>0.99842462216381322</c:v>
                </c:pt>
                <c:pt idx="2">
                  <c:v>1.3452315551505016</c:v>
                </c:pt>
                <c:pt idx="3">
                  <c:v>1.5298442986495295</c:v>
                </c:pt>
                <c:pt idx="4">
                  <c:v>1.530004146205288</c:v>
                </c:pt>
                <c:pt idx="5">
                  <c:v>1.3456918250430283</c:v>
                </c:pt>
                <c:pt idx="6">
                  <c:v>0.99912981978188053</c:v>
                </c:pt>
                <c:pt idx="7">
                  <c:v>0.53210301372713031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7-4C78-A833-3B834B9994D5}"/>
            </c:ext>
          </c:extLst>
        </c:ser>
        <c:ser>
          <c:idx val="0"/>
          <c:order val="1"/>
          <c:tx>
            <c:v>20 ft/s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Data'!$I$32:$I$39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Data'!$N$32:$N$39</c:f>
              <c:numCache>
                <c:formatCode>0.000</c:formatCode>
                <c:ptCount val="8"/>
                <c:pt idx="0">
                  <c:v>2.1249516554463677</c:v>
                </c:pt>
                <c:pt idx="1">
                  <c:v>3.9936984886552529</c:v>
                </c:pt>
                <c:pt idx="2">
                  <c:v>5.3809262206020065</c:v>
                </c:pt>
                <c:pt idx="3">
                  <c:v>6.1193771945981181</c:v>
                </c:pt>
                <c:pt idx="4">
                  <c:v>6.1200165848211521</c:v>
                </c:pt>
                <c:pt idx="5">
                  <c:v>5.3827673001721132</c:v>
                </c:pt>
                <c:pt idx="6">
                  <c:v>3.9965192791275221</c:v>
                </c:pt>
                <c:pt idx="7">
                  <c:v>2.1284120549085213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37-4C78-A833-3B834B9994D5}"/>
            </c:ext>
          </c:extLst>
        </c:ser>
        <c:ser>
          <c:idx val="2"/>
          <c:order val="2"/>
          <c:tx>
            <c:v>30 ft/s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Data'!$I$44:$I$51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Data'!$N$44:$N$51</c:f>
              <c:numCache>
                <c:formatCode>0.000</c:formatCode>
                <c:ptCount val="8"/>
                <c:pt idx="0">
                  <c:v>4.7811412247543261</c:v>
                </c:pt>
                <c:pt idx="1">
                  <c:v>8.9858215994743187</c:v>
                </c:pt>
                <c:pt idx="2">
                  <c:v>12.107083996354513</c:v>
                </c:pt>
                <c:pt idx="3">
                  <c:v>13.768598687845767</c:v>
                </c:pt>
                <c:pt idx="4">
                  <c:v>13.770037315847594</c:v>
                </c:pt>
                <c:pt idx="5">
                  <c:v>12.111226425387253</c:v>
                </c:pt>
                <c:pt idx="6">
                  <c:v>8.9921683780369257</c:v>
                </c:pt>
                <c:pt idx="7">
                  <c:v>4.7889271235441724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B37-4C78-A833-3B834B9994D5}"/>
            </c:ext>
          </c:extLst>
        </c:ser>
        <c:ser>
          <c:idx val="3"/>
          <c:order val="3"/>
          <c:tx>
            <c:v>40 ft/s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'Plot Data'!$I$56:$I$63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Data'!$N$56:$N$63</c:f>
              <c:numCache>
                <c:formatCode>0.000</c:formatCode>
                <c:ptCount val="8"/>
                <c:pt idx="0">
                  <c:v>8.4998066217854706</c:v>
                </c:pt>
                <c:pt idx="1">
                  <c:v>15.974793954621012</c:v>
                </c:pt>
                <c:pt idx="2">
                  <c:v>21.523704882408026</c:v>
                </c:pt>
                <c:pt idx="3">
                  <c:v>24.477508778392473</c:v>
                </c:pt>
                <c:pt idx="4">
                  <c:v>24.480066339284608</c:v>
                </c:pt>
                <c:pt idx="5">
                  <c:v>21.531069200688453</c:v>
                </c:pt>
                <c:pt idx="6">
                  <c:v>15.986077116510089</c:v>
                </c:pt>
                <c:pt idx="7">
                  <c:v>8.513648219634085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B37-4C78-A833-3B834B9994D5}"/>
            </c:ext>
          </c:extLst>
        </c:ser>
        <c:ser>
          <c:idx val="4"/>
          <c:order val="4"/>
          <c:tx>
            <c:v>50 ft/s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'Plot Data'!$I$68:$I$75</c:f>
              <c:numCache>
                <c:formatCode>General</c:formatCode>
                <c:ptCount val="8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</c:numCache>
            </c:numRef>
          </c:xVal>
          <c:yVal>
            <c:numRef>
              <c:f>'Plot Data'!$N$68:$N$75</c:f>
              <c:numCache>
                <c:formatCode>0.000</c:formatCode>
                <c:ptCount val="8"/>
                <c:pt idx="0">
                  <c:v>13.280947846539796</c:v>
                </c:pt>
                <c:pt idx="1">
                  <c:v>24.96061555409533</c:v>
                </c:pt>
                <c:pt idx="2">
                  <c:v>33.630788878762537</c:v>
                </c:pt>
                <c:pt idx="3">
                  <c:v>38.246107466238236</c:v>
                </c:pt>
                <c:pt idx="4">
                  <c:v>38.2501036551322</c:v>
                </c:pt>
                <c:pt idx="5">
                  <c:v>33.6422956260757</c:v>
                </c:pt>
                <c:pt idx="6">
                  <c:v>24.978245494547014</c:v>
                </c:pt>
                <c:pt idx="7">
                  <c:v>13.30257534317826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B37-4C78-A833-3B834B999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6060736"/>
        <c:axId val="486063360"/>
      </c:scatterChart>
      <c:valAx>
        <c:axId val="486060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3360"/>
        <c:crosses val="autoZero"/>
        <c:crossBetween val="midCat"/>
      </c:valAx>
      <c:valAx>
        <c:axId val="48606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(ft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06073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</a:t>
            </a:r>
            <a:r>
              <a:rPr lang="en-US" baseline="0"/>
              <a:t> Distance to Prevent Power Cell Defense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Data'!$A$24:$A$36</c:f>
              <c:numCache>
                <c:formatCode>General</c:formatCode>
                <c:ptCount val="13"/>
                <c:pt idx="0">
                  <c:v>20</c:v>
                </c:pt>
                <c:pt idx="1">
                  <c:v>25</c:v>
                </c:pt>
                <c:pt idx="2">
                  <c:v>30</c:v>
                </c:pt>
                <c:pt idx="3">
                  <c:v>35</c:v>
                </c:pt>
                <c:pt idx="4">
                  <c:v>40</c:v>
                </c:pt>
                <c:pt idx="5">
                  <c:v>45</c:v>
                </c:pt>
                <c:pt idx="6">
                  <c:v>50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  <c:pt idx="10">
                  <c:v>70</c:v>
                </c:pt>
                <c:pt idx="11">
                  <c:v>75</c:v>
                </c:pt>
                <c:pt idx="12">
                  <c:v>80</c:v>
                </c:pt>
              </c:numCache>
            </c:numRef>
          </c:xVal>
          <c:yVal>
            <c:numRef>
              <c:f>'Plot Data'!$C$24:$C$36</c:f>
              <c:numCache>
                <c:formatCode>0.0</c:formatCode>
                <c:ptCount val="13"/>
                <c:pt idx="0">
                  <c:v>5.6105825898244035</c:v>
                </c:pt>
                <c:pt idx="1">
                  <c:v>4.3793093909236225</c:v>
                </c:pt>
                <c:pt idx="2">
                  <c:v>3.5370772042069745</c:v>
                </c:pt>
                <c:pt idx="3">
                  <c:v>2.9165174507065417</c:v>
                </c:pt>
                <c:pt idx="4">
                  <c:v>2.4338144731167453</c:v>
                </c:pt>
                <c:pt idx="5">
                  <c:v>2.0422717568628941</c:v>
                </c:pt>
                <c:pt idx="6">
                  <c:v>1.7137345896093861</c:v>
                </c:pt>
                <c:pt idx="7">
                  <c:v>1.4301414544347331</c:v>
                </c:pt>
                <c:pt idx="8">
                  <c:v>1.1792946392038492</c:v>
                </c:pt>
                <c:pt idx="9">
                  <c:v>0.95257681052336729</c:v>
                </c:pt>
                <c:pt idx="10">
                  <c:v>0.74363883223931726</c:v>
                </c:pt>
                <c:pt idx="11">
                  <c:v>0.54760333500126313</c:v>
                </c:pt>
                <c:pt idx="12">
                  <c:v>0.36055544314502419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94-46D4-AF55-00398E5DE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8343504"/>
        <c:axId val="458347768"/>
      </c:scatterChart>
      <c:valAx>
        <c:axId val="45834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Launch Angle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7768"/>
        <c:crosses val="autoZero"/>
        <c:crossBetween val="midCat"/>
      </c:valAx>
      <c:valAx>
        <c:axId val="45834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Safe Distance (ft)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43504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B71B03-CD02-43FF-943F-73E9D4B2D1A5}">
  <sheetPr/>
  <sheetViews>
    <sheetView zoomScale="6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5C72955-79A8-4AE8-923E-96E5EAD2813F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B62C60-775B-4601-97B5-D31A3B37AFDA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7750" cy="629840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719B4-BD5A-4D57-9E24-797D01F53A1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411954</xdr:colOff>
      <xdr:row>6</xdr:row>
      <xdr:rowOff>183356</xdr:rowOff>
    </xdr:from>
    <xdr:to>
      <xdr:col>23</xdr:col>
      <xdr:colOff>500062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C70963-76EE-46D7-9C9B-00FA9E4BCC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D98055-B25D-4CDE-B08D-2F642BCB55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8AC863-A2E3-437A-B1ED-B061B33EF05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071DE-853C-4645-838D-52D3EBDAE5F1}">
  <dimension ref="A1:L61"/>
  <sheetViews>
    <sheetView zoomScale="84" workbookViewId="0">
      <selection activeCell="J8" sqref="J8"/>
    </sheetView>
  </sheetViews>
  <sheetFormatPr defaultRowHeight="14.4" x14ac:dyDescent="0.3"/>
  <cols>
    <col min="1" max="1" width="21.5546875" customWidth="1"/>
    <col min="2" max="2" width="9.109375" customWidth="1"/>
    <col min="7" max="11" width="14.5546875" style="3" customWidth="1"/>
    <col min="12" max="12" width="10.21875" style="3" customWidth="1"/>
  </cols>
  <sheetData>
    <row r="1" spans="1:12" ht="18" x14ac:dyDescent="0.35">
      <c r="A1" s="1" t="s">
        <v>0</v>
      </c>
    </row>
    <row r="2" spans="1:12" ht="18" x14ac:dyDescent="0.35">
      <c r="A2" s="1" t="s">
        <v>1</v>
      </c>
    </row>
    <row r="5" spans="1:12" x14ac:dyDescent="0.3">
      <c r="A5" s="2" t="s">
        <v>10</v>
      </c>
      <c r="B5" s="12">
        <v>8</v>
      </c>
      <c r="C5" t="s">
        <v>3</v>
      </c>
      <c r="D5" s="12">
        <v>2.25</v>
      </c>
      <c r="E5" t="s">
        <v>4</v>
      </c>
      <c r="G5" s="4" t="s">
        <v>32</v>
      </c>
      <c r="H5" s="16">
        <v>45</v>
      </c>
    </row>
    <row r="6" spans="1:12" x14ac:dyDescent="0.3">
      <c r="B6" s="13">
        <f>B5*12+D5</f>
        <v>98.25</v>
      </c>
      <c r="C6" t="s">
        <v>4</v>
      </c>
    </row>
    <row r="7" spans="1:12" ht="15" thickBot="1" x14ac:dyDescent="0.35">
      <c r="G7" s="5" t="s">
        <v>30</v>
      </c>
      <c r="H7" s="5" t="s">
        <v>31</v>
      </c>
      <c r="I7" s="5" t="s">
        <v>34</v>
      </c>
      <c r="J7" s="5" t="s">
        <v>16</v>
      </c>
      <c r="K7" s="5" t="s">
        <v>18</v>
      </c>
    </row>
    <row r="8" spans="1:12" x14ac:dyDescent="0.3">
      <c r="A8" s="2" t="s">
        <v>7</v>
      </c>
      <c r="B8" s="12">
        <v>24</v>
      </c>
      <c r="C8" t="s">
        <v>4</v>
      </c>
      <c r="G8" s="3">
        <v>0</v>
      </c>
      <c r="H8" s="7">
        <f t="shared" ref="H8:H43" si="0">($B$18*12)*COS($H$5*0.01745)*G8</f>
        <v>0</v>
      </c>
      <c r="I8" s="7">
        <f>H8/12</f>
        <v>0</v>
      </c>
      <c r="J8" s="7">
        <f t="shared" ref="J8:J43" si="1">($B$18*12)*SIN($H$5*0.01745)*G8-0.5*$B$22*G8^2</f>
        <v>0</v>
      </c>
      <c r="K8" s="7">
        <f>J8/12</f>
        <v>0</v>
      </c>
      <c r="L8" s="3">
        <f>$B$10</f>
        <v>74.25</v>
      </c>
    </row>
    <row r="9" spans="1:12" x14ac:dyDescent="0.3">
      <c r="G9" s="3">
        <v>0.1</v>
      </c>
      <c r="H9" s="7">
        <f t="shared" si="0"/>
        <v>27.350462424058719</v>
      </c>
      <c r="I9" s="7">
        <f t="shared" ref="I9:I43" si="2">H9/12</f>
        <v>2.2792052020048934</v>
      </c>
      <c r="J9" s="7">
        <f t="shared" si="1"/>
        <v>25.412158949768642</v>
      </c>
      <c r="K9" s="7">
        <f t="shared" ref="K9:K43" si="3">J9/12</f>
        <v>2.1176799124807202</v>
      </c>
      <c r="L9" s="3">
        <f t="shared" ref="L9:L43" si="4">$B$10</f>
        <v>74.25</v>
      </c>
    </row>
    <row r="10" spans="1:12" x14ac:dyDescent="0.3">
      <c r="A10" s="14" t="s">
        <v>2</v>
      </c>
      <c r="B10">
        <f>B6-B8</f>
        <v>74.25</v>
      </c>
      <c r="C10" t="s">
        <v>4</v>
      </c>
      <c r="G10" s="3">
        <v>0.2</v>
      </c>
      <c r="H10" s="7">
        <f t="shared" si="0"/>
        <v>54.700924848117438</v>
      </c>
      <c r="I10" s="7">
        <f t="shared" si="2"/>
        <v>4.5584104040097868</v>
      </c>
      <c r="J10" s="7">
        <f t="shared" si="1"/>
        <v>46.963917899537279</v>
      </c>
      <c r="K10" s="7">
        <f t="shared" si="3"/>
        <v>3.91365982496144</v>
      </c>
      <c r="L10" s="3">
        <f t="shared" si="4"/>
        <v>74.25</v>
      </c>
    </row>
    <row r="11" spans="1:12" x14ac:dyDescent="0.3">
      <c r="G11" s="3">
        <v>0.3</v>
      </c>
      <c r="H11" s="7">
        <f t="shared" si="0"/>
        <v>82.051387272176157</v>
      </c>
      <c r="I11" s="7">
        <f t="shared" si="2"/>
        <v>6.8376156060146798</v>
      </c>
      <c r="J11" s="7">
        <f t="shared" si="1"/>
        <v>64.65527684930592</v>
      </c>
      <c r="K11" s="7">
        <f t="shared" si="3"/>
        <v>5.38793973744216</v>
      </c>
      <c r="L11" s="3">
        <f t="shared" si="4"/>
        <v>74.25</v>
      </c>
    </row>
    <row r="12" spans="1:12" x14ac:dyDescent="0.3">
      <c r="A12" s="2" t="s">
        <v>19</v>
      </c>
      <c r="B12" s="12">
        <v>6</v>
      </c>
      <c r="C12" t="s">
        <v>4</v>
      </c>
      <c r="G12" s="3">
        <v>0.4</v>
      </c>
      <c r="H12" s="7">
        <f t="shared" si="0"/>
        <v>109.40184969623488</v>
      </c>
      <c r="I12" s="7">
        <f t="shared" si="2"/>
        <v>9.1168208080195736</v>
      </c>
      <c r="J12" s="7">
        <f t="shared" si="1"/>
        <v>78.486235799074564</v>
      </c>
      <c r="K12" s="7">
        <f t="shared" si="3"/>
        <v>6.5405196499228806</v>
      </c>
      <c r="L12" s="3">
        <f t="shared" si="4"/>
        <v>74.25</v>
      </c>
    </row>
    <row r="13" spans="1:12" x14ac:dyDescent="0.3">
      <c r="A13" s="14" t="s">
        <v>23</v>
      </c>
      <c r="B13" s="12">
        <f>C13*D13</f>
        <v>5423</v>
      </c>
      <c r="C13">
        <v>0.85</v>
      </c>
      <c r="D13">
        <v>6380</v>
      </c>
      <c r="G13" s="3">
        <v>0.5</v>
      </c>
      <c r="H13" s="7">
        <f t="shared" si="0"/>
        <v>136.7523121202936</v>
      </c>
      <c r="I13" s="7">
        <f t="shared" si="2"/>
        <v>11.396026010024466</v>
      </c>
      <c r="J13" s="7">
        <f t="shared" si="1"/>
        <v>88.456794748843208</v>
      </c>
      <c r="K13" s="7">
        <f t="shared" si="3"/>
        <v>7.3713995624036004</v>
      </c>
      <c r="L13" s="3">
        <f t="shared" si="4"/>
        <v>74.25</v>
      </c>
    </row>
    <row r="14" spans="1:12" x14ac:dyDescent="0.3">
      <c r="A14" s="14" t="s">
        <v>22</v>
      </c>
      <c r="B14" s="13">
        <f>PI()*B12</f>
        <v>18.849555921538759</v>
      </c>
      <c r="C14" t="s">
        <v>4</v>
      </c>
      <c r="G14" s="3">
        <v>0.6</v>
      </c>
      <c r="H14" s="7">
        <f t="shared" si="0"/>
        <v>164.10277454435231</v>
      </c>
      <c r="I14" s="7">
        <f t="shared" si="2"/>
        <v>13.67523121202936</v>
      </c>
      <c r="J14" s="7">
        <f t="shared" si="1"/>
        <v>94.566953698611826</v>
      </c>
      <c r="K14" s="7">
        <f t="shared" si="3"/>
        <v>7.8805794748843185</v>
      </c>
      <c r="L14" s="3">
        <f t="shared" si="4"/>
        <v>74.25</v>
      </c>
    </row>
    <row r="15" spans="1:12" x14ac:dyDescent="0.3">
      <c r="A15" s="14" t="s">
        <v>33</v>
      </c>
      <c r="B15" s="12">
        <v>0.22700000000000001</v>
      </c>
      <c r="G15" s="3">
        <v>0.7</v>
      </c>
      <c r="H15" s="7">
        <f t="shared" si="0"/>
        <v>191.45323696841103</v>
      </c>
      <c r="I15" s="7">
        <f t="shared" si="2"/>
        <v>15.954436414034253</v>
      </c>
      <c r="J15" s="7">
        <f t="shared" si="1"/>
        <v>96.816712648380488</v>
      </c>
      <c r="K15" s="7">
        <f t="shared" si="3"/>
        <v>8.0680593873650412</v>
      </c>
      <c r="L15" s="3">
        <f t="shared" si="4"/>
        <v>74.25</v>
      </c>
    </row>
    <row r="16" spans="1:12" x14ac:dyDescent="0.3">
      <c r="G16" s="3">
        <v>0.8</v>
      </c>
      <c r="H16" s="7">
        <f t="shared" si="0"/>
        <v>218.80369939246975</v>
      </c>
      <c r="I16" s="7">
        <f t="shared" si="2"/>
        <v>18.233641616039147</v>
      </c>
      <c r="J16" s="7">
        <f t="shared" si="1"/>
        <v>95.206071598149094</v>
      </c>
      <c r="K16" s="7">
        <f t="shared" si="3"/>
        <v>7.9338392998457579</v>
      </c>
      <c r="L16" s="3">
        <f t="shared" si="4"/>
        <v>74.25</v>
      </c>
    </row>
    <row r="17" spans="1:12" x14ac:dyDescent="0.3">
      <c r="A17" s="2" t="s">
        <v>20</v>
      </c>
      <c r="B17" s="13">
        <f>B13*B14</f>
        <v>102221.14176250469</v>
      </c>
      <c r="C17" t="s">
        <v>24</v>
      </c>
      <c r="G17" s="3">
        <v>0.9</v>
      </c>
      <c r="H17" s="7">
        <f t="shared" si="0"/>
        <v>246.15416181652847</v>
      </c>
      <c r="I17" s="7">
        <f t="shared" si="2"/>
        <v>20.512846818044039</v>
      </c>
      <c r="J17" s="7">
        <f t="shared" si="1"/>
        <v>89.735030547917773</v>
      </c>
      <c r="K17" s="7">
        <f t="shared" si="3"/>
        <v>7.4779192123264808</v>
      </c>
      <c r="L17" s="3">
        <f t="shared" si="4"/>
        <v>74.25</v>
      </c>
    </row>
    <row r="18" spans="1:12" x14ac:dyDescent="0.3">
      <c r="A18" s="2" t="s">
        <v>20</v>
      </c>
      <c r="B18" s="15">
        <f>($B$15*B17)/(12*60)</f>
        <v>32.228054416789675</v>
      </c>
      <c r="C18" t="s">
        <v>21</v>
      </c>
      <c r="G18" s="3">
        <v>1</v>
      </c>
      <c r="H18" s="7">
        <f t="shared" si="0"/>
        <v>273.50462424058719</v>
      </c>
      <c r="I18" s="7">
        <f t="shared" si="2"/>
        <v>22.792052020048931</v>
      </c>
      <c r="J18" s="7">
        <f t="shared" si="1"/>
        <v>80.403589497686397</v>
      </c>
      <c r="K18" s="7">
        <f t="shared" si="3"/>
        <v>6.7002991248071995</v>
      </c>
      <c r="L18" s="3">
        <f t="shared" si="4"/>
        <v>74.25</v>
      </c>
    </row>
    <row r="19" spans="1:12" x14ac:dyDescent="0.3">
      <c r="G19" s="3">
        <v>1.1000000000000001</v>
      </c>
      <c r="H19" s="7">
        <f t="shared" si="0"/>
        <v>300.85508666464591</v>
      </c>
      <c r="I19" s="7">
        <f t="shared" si="2"/>
        <v>25.071257222053827</v>
      </c>
      <c r="J19" s="7">
        <f t="shared" si="1"/>
        <v>67.211748447455022</v>
      </c>
      <c r="K19" s="7">
        <f t="shared" si="3"/>
        <v>5.6009790372879182</v>
      </c>
      <c r="L19" s="3">
        <f t="shared" si="4"/>
        <v>74.25</v>
      </c>
    </row>
    <row r="20" spans="1:12" x14ac:dyDescent="0.3">
      <c r="G20" s="3">
        <v>1.2</v>
      </c>
      <c r="H20" s="7">
        <f t="shared" si="0"/>
        <v>328.20554908870463</v>
      </c>
      <c r="I20" s="7">
        <f t="shared" si="2"/>
        <v>27.350462424058719</v>
      </c>
      <c r="J20" s="7">
        <f t="shared" si="1"/>
        <v>50.159507397223649</v>
      </c>
      <c r="K20" s="7">
        <f t="shared" si="3"/>
        <v>4.1799589497686371</v>
      </c>
      <c r="L20" s="3">
        <f t="shared" si="4"/>
        <v>74.25</v>
      </c>
    </row>
    <row r="21" spans="1:12" x14ac:dyDescent="0.3">
      <c r="A21" s="2" t="s">
        <v>29</v>
      </c>
      <c r="B21">
        <v>32.17</v>
      </c>
      <c r="C21" t="s">
        <v>27</v>
      </c>
      <c r="G21" s="3">
        <v>1.3</v>
      </c>
      <c r="H21" s="7">
        <f t="shared" si="0"/>
        <v>355.55601151276335</v>
      </c>
      <c r="I21" s="7">
        <f t="shared" si="2"/>
        <v>29.629667626063611</v>
      </c>
      <c r="J21" s="7">
        <f t="shared" si="1"/>
        <v>29.246866346992306</v>
      </c>
      <c r="K21" s="7">
        <f t="shared" si="3"/>
        <v>2.4372388622493588</v>
      </c>
      <c r="L21" s="3">
        <f t="shared" si="4"/>
        <v>74.25</v>
      </c>
    </row>
    <row r="22" spans="1:12" x14ac:dyDescent="0.3">
      <c r="B22">
        <f>B21*12</f>
        <v>386.04</v>
      </c>
      <c r="C22" t="s">
        <v>28</v>
      </c>
      <c r="G22" s="3">
        <v>1.4</v>
      </c>
      <c r="H22" s="7">
        <f t="shared" si="0"/>
        <v>382.90647393682207</v>
      </c>
      <c r="I22" s="7">
        <f t="shared" si="2"/>
        <v>31.908872828068507</v>
      </c>
      <c r="J22" s="7">
        <f t="shared" si="1"/>
        <v>4.4738252967609924</v>
      </c>
      <c r="K22" s="7">
        <f t="shared" si="3"/>
        <v>0.37281877473008268</v>
      </c>
      <c r="L22" s="3">
        <f t="shared" si="4"/>
        <v>74.25</v>
      </c>
    </row>
    <row r="23" spans="1:12" x14ac:dyDescent="0.3">
      <c r="G23" s="3">
        <v>1.5</v>
      </c>
      <c r="H23" s="7">
        <f t="shared" si="0"/>
        <v>410.25693636088079</v>
      </c>
      <c r="I23" s="7">
        <f t="shared" si="2"/>
        <v>34.188078030073399</v>
      </c>
      <c r="J23" s="7">
        <f t="shared" si="1"/>
        <v>-24.159615753470405</v>
      </c>
      <c r="K23" s="7">
        <f t="shared" si="3"/>
        <v>-2.0133013127892005</v>
      </c>
      <c r="L23" s="3">
        <f t="shared" si="4"/>
        <v>74.25</v>
      </c>
    </row>
    <row r="24" spans="1:12" x14ac:dyDescent="0.3">
      <c r="G24" s="3">
        <v>1.6</v>
      </c>
      <c r="H24" s="7">
        <f t="shared" si="0"/>
        <v>437.60739878493951</v>
      </c>
      <c r="I24" s="7">
        <f t="shared" si="2"/>
        <v>36.467283232078294</v>
      </c>
      <c r="J24" s="7">
        <f t="shared" si="1"/>
        <v>-56.653456803701886</v>
      </c>
      <c r="K24" s="7">
        <f t="shared" si="3"/>
        <v>-4.7211214003084905</v>
      </c>
      <c r="L24" s="3">
        <f t="shared" si="4"/>
        <v>74.25</v>
      </c>
    </row>
    <row r="25" spans="1:12" x14ac:dyDescent="0.3">
      <c r="G25" s="3">
        <v>1.7</v>
      </c>
      <c r="H25" s="7">
        <f t="shared" si="0"/>
        <v>464.95786120899822</v>
      </c>
      <c r="I25" s="7">
        <f t="shared" si="2"/>
        <v>38.746488434083183</v>
      </c>
      <c r="J25" s="7">
        <f t="shared" si="1"/>
        <v>-93.007697853933053</v>
      </c>
      <c r="K25" s="7">
        <f t="shared" si="3"/>
        <v>-7.7506414878277541</v>
      </c>
      <c r="L25" s="3">
        <f t="shared" si="4"/>
        <v>74.25</v>
      </c>
    </row>
    <row r="26" spans="1:12" x14ac:dyDescent="0.3">
      <c r="G26" s="3">
        <v>1.8</v>
      </c>
      <c r="H26" s="7">
        <f t="shared" si="0"/>
        <v>492.30832363305694</v>
      </c>
      <c r="I26" s="7">
        <f t="shared" si="2"/>
        <v>41.025693636088079</v>
      </c>
      <c r="J26" s="7">
        <f t="shared" si="1"/>
        <v>-133.22233890416447</v>
      </c>
      <c r="K26" s="7">
        <f t="shared" si="3"/>
        <v>-11.101861575347039</v>
      </c>
      <c r="L26" s="3">
        <f t="shared" si="4"/>
        <v>74.25</v>
      </c>
    </row>
    <row r="27" spans="1:12" ht="15" thickBot="1" x14ac:dyDescent="0.35">
      <c r="G27" s="3">
        <v>1.9</v>
      </c>
      <c r="H27" s="7">
        <f t="shared" si="0"/>
        <v>519.65878605711566</v>
      </c>
      <c r="I27" s="7">
        <f t="shared" si="2"/>
        <v>43.304898838092974</v>
      </c>
      <c r="J27" s="7">
        <f t="shared" si="1"/>
        <v>-177.29737995439586</v>
      </c>
      <c r="K27" s="7">
        <f t="shared" si="3"/>
        <v>-14.774781662866323</v>
      </c>
      <c r="L27" s="3">
        <f t="shared" si="4"/>
        <v>74.25</v>
      </c>
    </row>
    <row r="28" spans="1:12" ht="16.8" thickTop="1" thickBot="1" x14ac:dyDescent="0.35">
      <c r="A28" s="28" t="s">
        <v>35</v>
      </c>
      <c r="B28" s="29"/>
      <c r="C28" s="30"/>
      <c r="G28" s="3">
        <v>2</v>
      </c>
      <c r="H28" s="7">
        <f t="shared" si="0"/>
        <v>547.00924848117438</v>
      </c>
      <c r="I28" s="7">
        <f t="shared" si="2"/>
        <v>45.584104040097863</v>
      </c>
      <c r="J28" s="7">
        <f t="shared" si="1"/>
        <v>-225.23282100462723</v>
      </c>
      <c r="K28" s="7">
        <f t="shared" si="3"/>
        <v>-18.769401750385601</v>
      </c>
      <c r="L28" s="3">
        <f t="shared" si="4"/>
        <v>74.25</v>
      </c>
    </row>
    <row r="29" spans="1:12" ht="15" thickTop="1" x14ac:dyDescent="0.3">
      <c r="A29" s="17"/>
      <c r="B29" s="18"/>
      <c r="C29" s="19"/>
      <c r="G29" s="3">
        <v>2.1</v>
      </c>
      <c r="H29" s="7">
        <f t="shared" si="0"/>
        <v>574.3597109052331</v>
      </c>
      <c r="I29" s="7">
        <f t="shared" si="2"/>
        <v>47.863309242102758</v>
      </c>
      <c r="J29" s="7">
        <f t="shared" si="1"/>
        <v>-277.0286620548585</v>
      </c>
      <c r="K29" s="7">
        <f t="shared" si="3"/>
        <v>-23.085721837904874</v>
      </c>
      <c r="L29" s="3">
        <f t="shared" si="4"/>
        <v>74.25</v>
      </c>
    </row>
    <row r="30" spans="1:12" x14ac:dyDescent="0.3">
      <c r="A30" s="20" t="s">
        <v>36</v>
      </c>
      <c r="B30" s="23">
        <v>220</v>
      </c>
      <c r="C30" s="19" t="s">
        <v>4</v>
      </c>
      <c r="G30" s="3">
        <v>2.2000000000000002</v>
      </c>
      <c r="H30" s="7">
        <f t="shared" si="0"/>
        <v>601.71017332929182</v>
      </c>
      <c r="I30" s="7">
        <f t="shared" si="2"/>
        <v>50.142514444107654</v>
      </c>
      <c r="J30" s="7">
        <f t="shared" si="1"/>
        <v>-332.68490310509003</v>
      </c>
      <c r="K30" s="7">
        <f t="shared" si="3"/>
        <v>-27.723741925424168</v>
      </c>
      <c r="L30" s="3">
        <f t="shared" si="4"/>
        <v>74.25</v>
      </c>
    </row>
    <row r="31" spans="1:12" x14ac:dyDescent="0.3">
      <c r="A31" s="17"/>
      <c r="B31" s="18"/>
      <c r="C31" s="19"/>
      <c r="G31" s="3">
        <v>2.2999999999999998</v>
      </c>
      <c r="H31" s="7">
        <f t="shared" si="0"/>
        <v>629.06063575335054</v>
      </c>
      <c r="I31" s="7">
        <f t="shared" si="2"/>
        <v>52.421719646112543</v>
      </c>
      <c r="J31" s="7">
        <f t="shared" si="1"/>
        <v>-392.20154415532113</v>
      </c>
      <c r="K31" s="7">
        <f t="shared" si="3"/>
        <v>-32.68346201294343</v>
      </c>
      <c r="L31" s="3">
        <f t="shared" si="4"/>
        <v>74.25</v>
      </c>
    </row>
    <row r="32" spans="1:12" x14ac:dyDescent="0.3">
      <c r="A32" s="20" t="s">
        <v>32</v>
      </c>
      <c r="B32" s="24">
        <f>ROUND(ATAN($B$10/B30)*57.2958,1)</f>
        <v>18.600000000000001</v>
      </c>
      <c r="C32" s="19" t="s">
        <v>42</v>
      </c>
      <c r="G32" s="3">
        <v>2.4</v>
      </c>
      <c r="H32" s="7">
        <f t="shared" si="0"/>
        <v>656.41109817740926</v>
      </c>
      <c r="I32" s="7">
        <f t="shared" si="2"/>
        <v>54.700924848117438</v>
      </c>
      <c r="J32" s="7">
        <f t="shared" si="1"/>
        <v>-455.57858520555271</v>
      </c>
      <c r="K32" s="7">
        <f t="shared" si="3"/>
        <v>-37.964882100462724</v>
      </c>
      <c r="L32" s="3">
        <f t="shared" si="4"/>
        <v>74.25</v>
      </c>
    </row>
    <row r="33" spans="1:12" x14ac:dyDescent="0.3">
      <c r="A33" s="17"/>
      <c r="B33" s="18"/>
      <c r="C33" s="19"/>
      <c r="G33" s="3">
        <v>2.5</v>
      </c>
      <c r="H33" s="7">
        <f t="shared" si="0"/>
        <v>683.76156060146798</v>
      </c>
      <c r="I33" s="7">
        <f t="shared" si="2"/>
        <v>56.980130050122334</v>
      </c>
      <c r="J33" s="7">
        <f t="shared" si="1"/>
        <v>-522.81602625578398</v>
      </c>
      <c r="K33" s="7">
        <f t="shared" si="3"/>
        <v>-43.568002187981996</v>
      </c>
      <c r="L33" s="3">
        <f t="shared" si="4"/>
        <v>74.25</v>
      </c>
    </row>
    <row r="34" spans="1:12" x14ac:dyDescent="0.3">
      <c r="A34" s="20" t="s">
        <v>37</v>
      </c>
      <c r="B34" s="24">
        <f>ROUND(SQRT((2*$B$22*$B$10)/(SIN(B32*0.01745)*SIN(B32*0.01745))),1)</f>
        <v>750.8</v>
      </c>
      <c r="C34" s="19" t="s">
        <v>38</v>
      </c>
      <c r="G34" s="3">
        <v>2.6</v>
      </c>
      <c r="H34" s="7">
        <f t="shared" si="0"/>
        <v>711.1120230255267</v>
      </c>
      <c r="I34" s="7">
        <f t="shared" si="2"/>
        <v>59.259335252127222</v>
      </c>
      <c r="J34" s="7">
        <f t="shared" si="1"/>
        <v>-593.9138673060155</v>
      </c>
      <c r="K34" s="7">
        <f t="shared" si="3"/>
        <v>-49.49282227550129</v>
      </c>
      <c r="L34" s="3">
        <f t="shared" si="4"/>
        <v>74.25</v>
      </c>
    </row>
    <row r="35" spans="1:12" x14ac:dyDescent="0.3">
      <c r="A35" s="17"/>
      <c r="B35" s="24">
        <f>ROUND(B34/12,1)</f>
        <v>62.6</v>
      </c>
      <c r="C35" s="19" t="s">
        <v>39</v>
      </c>
      <c r="G35" s="3">
        <v>2.7</v>
      </c>
      <c r="H35" s="7">
        <f t="shared" si="0"/>
        <v>738.46248544958542</v>
      </c>
      <c r="I35" s="7">
        <f t="shared" si="2"/>
        <v>61.538540454132118</v>
      </c>
      <c r="J35" s="7">
        <f t="shared" si="1"/>
        <v>-668.87210835624694</v>
      </c>
      <c r="K35" s="7">
        <f t="shared" si="3"/>
        <v>-55.739342363020576</v>
      </c>
      <c r="L35" s="3">
        <f t="shared" si="4"/>
        <v>74.25</v>
      </c>
    </row>
    <row r="36" spans="1:12" x14ac:dyDescent="0.3">
      <c r="A36" s="17"/>
      <c r="B36" s="18"/>
      <c r="C36" s="19"/>
      <c r="G36" s="3">
        <v>2.8</v>
      </c>
      <c r="H36" s="7">
        <f t="shared" si="0"/>
        <v>765.81294787364413</v>
      </c>
      <c r="I36" s="7">
        <f t="shared" si="2"/>
        <v>63.817745656137014</v>
      </c>
      <c r="J36" s="7">
        <f t="shared" si="1"/>
        <v>-747.69074940647795</v>
      </c>
      <c r="K36" s="7">
        <f t="shared" si="3"/>
        <v>-62.307562450539827</v>
      </c>
      <c r="L36" s="3">
        <f t="shared" si="4"/>
        <v>74.25</v>
      </c>
    </row>
    <row r="37" spans="1:12" ht="15" thickBot="1" x14ac:dyDescent="0.35">
      <c r="A37" s="21" t="s">
        <v>40</v>
      </c>
      <c r="B37" s="25">
        <f>ROUND((720*B35)/(B15*B14),0)</f>
        <v>10534</v>
      </c>
      <c r="C37" s="22" t="s">
        <v>41</v>
      </c>
      <c r="G37" s="3">
        <v>2.9</v>
      </c>
      <c r="H37" s="7">
        <f t="shared" si="0"/>
        <v>793.16341029770285</v>
      </c>
      <c r="I37" s="7">
        <f t="shared" si="2"/>
        <v>66.096950858141909</v>
      </c>
      <c r="J37" s="7">
        <f t="shared" si="1"/>
        <v>-830.36979045670967</v>
      </c>
      <c r="K37" s="7">
        <f t="shared" si="3"/>
        <v>-69.197482538059134</v>
      </c>
      <c r="L37" s="3">
        <f t="shared" si="4"/>
        <v>74.25</v>
      </c>
    </row>
    <row r="38" spans="1:12" ht="15" thickTop="1" x14ac:dyDescent="0.3">
      <c r="G38" s="3">
        <v>3</v>
      </c>
      <c r="H38" s="7">
        <f t="shared" si="0"/>
        <v>820.51387272176157</v>
      </c>
      <c r="I38" s="7">
        <f t="shared" si="2"/>
        <v>68.376156060146798</v>
      </c>
      <c r="J38" s="7">
        <f t="shared" si="1"/>
        <v>-916.90923150694084</v>
      </c>
      <c r="K38" s="7">
        <f t="shared" si="3"/>
        <v>-76.409102625578399</v>
      </c>
      <c r="L38" s="3">
        <f t="shared" si="4"/>
        <v>74.25</v>
      </c>
    </row>
    <row r="39" spans="1:12" x14ac:dyDescent="0.3">
      <c r="G39" s="3">
        <v>3.1</v>
      </c>
      <c r="H39" s="7">
        <f t="shared" si="0"/>
        <v>847.86433514582029</v>
      </c>
      <c r="I39" s="7">
        <f t="shared" si="2"/>
        <v>70.655361262151686</v>
      </c>
      <c r="J39" s="7">
        <f t="shared" si="1"/>
        <v>-1007.3090725571725</v>
      </c>
      <c r="K39" s="7">
        <f t="shared" si="3"/>
        <v>-83.942422713097713</v>
      </c>
      <c r="L39" s="3">
        <f t="shared" si="4"/>
        <v>74.25</v>
      </c>
    </row>
    <row r="40" spans="1:12" x14ac:dyDescent="0.3">
      <c r="G40" s="3">
        <v>3.2</v>
      </c>
      <c r="H40" s="7">
        <f t="shared" si="0"/>
        <v>875.21479756987901</v>
      </c>
      <c r="I40" s="7">
        <f t="shared" si="2"/>
        <v>72.934566464156589</v>
      </c>
      <c r="J40" s="7">
        <f t="shared" si="1"/>
        <v>-1101.5693136074042</v>
      </c>
      <c r="K40" s="7">
        <f t="shared" si="3"/>
        <v>-91.79744280061702</v>
      </c>
      <c r="L40" s="3">
        <f t="shared" si="4"/>
        <v>74.25</v>
      </c>
    </row>
    <row r="41" spans="1:12" x14ac:dyDescent="0.3">
      <c r="G41" s="3">
        <v>3.3</v>
      </c>
      <c r="H41" s="7">
        <f t="shared" si="0"/>
        <v>902.56525999393773</v>
      </c>
      <c r="I41" s="7">
        <f t="shared" si="2"/>
        <v>75.213771666161477</v>
      </c>
      <c r="J41" s="7">
        <f t="shared" si="1"/>
        <v>-1199.6899546576346</v>
      </c>
      <c r="K41" s="7">
        <f t="shared" si="3"/>
        <v>-99.97416288813622</v>
      </c>
      <c r="L41" s="3">
        <f t="shared" si="4"/>
        <v>74.25</v>
      </c>
    </row>
    <row r="42" spans="1:12" x14ac:dyDescent="0.3">
      <c r="G42" s="3">
        <v>3.4</v>
      </c>
      <c r="H42" s="7">
        <f t="shared" si="0"/>
        <v>929.91572241799645</v>
      </c>
      <c r="I42" s="7">
        <f t="shared" si="2"/>
        <v>77.492976868166366</v>
      </c>
      <c r="J42" s="7">
        <f t="shared" si="1"/>
        <v>-1301.670995707866</v>
      </c>
      <c r="K42" s="7">
        <f t="shared" si="3"/>
        <v>-108.4725829756555</v>
      </c>
      <c r="L42" s="3">
        <f t="shared" si="4"/>
        <v>74.25</v>
      </c>
    </row>
    <row r="43" spans="1:12" x14ac:dyDescent="0.3">
      <c r="G43" s="3">
        <v>3.5</v>
      </c>
      <c r="H43" s="7">
        <f t="shared" si="0"/>
        <v>957.26618484205517</v>
      </c>
      <c r="I43" s="7">
        <f t="shared" si="2"/>
        <v>79.772182070171269</v>
      </c>
      <c r="J43" s="7">
        <f t="shared" si="1"/>
        <v>-1407.5124367580979</v>
      </c>
      <c r="K43" s="7">
        <f t="shared" si="3"/>
        <v>-117.29270306317483</v>
      </c>
      <c r="L43" s="3">
        <f t="shared" si="4"/>
        <v>74.25</v>
      </c>
    </row>
    <row r="47" spans="1:12" x14ac:dyDescent="0.3">
      <c r="G47" s="4"/>
      <c r="H47" s="4"/>
      <c r="I47" s="4"/>
    </row>
    <row r="48" spans="1:12" x14ac:dyDescent="0.3">
      <c r="G48"/>
      <c r="H48"/>
      <c r="I48"/>
    </row>
    <row r="49" spans="7:8" x14ac:dyDescent="0.3">
      <c r="G49"/>
      <c r="H49"/>
    </row>
    <row r="50" spans="7:8" x14ac:dyDescent="0.3">
      <c r="G50"/>
      <c r="H50"/>
    </row>
    <row r="51" spans="7:8" x14ac:dyDescent="0.3">
      <c r="G51"/>
      <c r="H51"/>
    </row>
    <row r="52" spans="7:8" x14ac:dyDescent="0.3">
      <c r="G52"/>
      <c r="H52"/>
    </row>
    <row r="53" spans="7:8" x14ac:dyDescent="0.3">
      <c r="G53"/>
      <c r="H53"/>
    </row>
    <row r="54" spans="7:8" x14ac:dyDescent="0.3">
      <c r="G54"/>
      <c r="H54"/>
    </row>
    <row r="55" spans="7:8" x14ac:dyDescent="0.3">
      <c r="G55"/>
      <c r="H55"/>
    </row>
    <row r="56" spans="7:8" x14ac:dyDescent="0.3">
      <c r="G56"/>
      <c r="H56"/>
    </row>
    <row r="57" spans="7:8" x14ac:dyDescent="0.3">
      <c r="G57"/>
      <c r="H57"/>
    </row>
    <row r="58" spans="7:8" x14ac:dyDescent="0.3">
      <c r="G58"/>
      <c r="H58"/>
    </row>
    <row r="59" spans="7:8" x14ac:dyDescent="0.3">
      <c r="G59"/>
      <c r="H59"/>
    </row>
    <row r="60" spans="7:8" x14ac:dyDescent="0.3">
      <c r="G60"/>
      <c r="H60"/>
    </row>
    <row r="61" spans="7:8" x14ac:dyDescent="0.3">
      <c r="G61"/>
      <c r="H61"/>
    </row>
  </sheetData>
  <mergeCells count="1">
    <mergeCell ref="A28:C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59CD4-8DEB-4F2A-87C8-9FF228A68946}">
  <dimension ref="A1:W46"/>
  <sheetViews>
    <sheetView tabSelected="1" zoomScale="71" workbookViewId="0">
      <selection activeCell="C16" sqref="C16"/>
    </sheetView>
  </sheetViews>
  <sheetFormatPr defaultRowHeight="14.4" x14ac:dyDescent="0.3"/>
  <cols>
    <col min="1" max="1" width="19.109375" customWidth="1"/>
    <col min="2" max="4" width="9" bestFit="1" customWidth="1"/>
    <col min="6" max="6" width="10.88671875" bestFit="1" customWidth="1"/>
    <col min="7" max="7" width="9" bestFit="1" customWidth="1"/>
    <col min="8" max="8" width="10.77734375" hidden="1" customWidth="1"/>
    <col min="9" max="9" width="0" hidden="1" customWidth="1"/>
    <col min="10" max="10" width="11.33203125" bestFit="1" customWidth="1"/>
    <col min="11" max="22" width="9" bestFit="1" customWidth="1"/>
    <col min="23" max="23" width="9.77734375" bestFit="1" customWidth="1"/>
  </cols>
  <sheetData>
    <row r="1" spans="1:23" ht="18" x14ac:dyDescent="0.35">
      <c r="A1" s="1" t="s">
        <v>0</v>
      </c>
    </row>
    <row r="2" spans="1:23" ht="18" x14ac:dyDescent="0.35">
      <c r="A2" s="1" t="s">
        <v>1</v>
      </c>
      <c r="F2" t="s">
        <v>73</v>
      </c>
      <c r="J2" t="s">
        <v>69</v>
      </c>
    </row>
    <row r="3" spans="1:23" x14ac:dyDescent="0.3">
      <c r="J3" s="31">
        <v>20</v>
      </c>
      <c r="K3" s="31">
        <v>25</v>
      </c>
      <c r="L3" s="31">
        <v>30</v>
      </c>
      <c r="M3" s="31">
        <v>35</v>
      </c>
      <c r="N3" s="31">
        <v>40</v>
      </c>
      <c r="O3" s="31">
        <v>45</v>
      </c>
      <c r="P3" s="31">
        <v>50</v>
      </c>
      <c r="Q3" s="31">
        <v>55</v>
      </c>
      <c r="R3" s="31">
        <v>60</v>
      </c>
      <c r="S3" s="31">
        <v>65</v>
      </c>
      <c r="T3" s="31">
        <v>70</v>
      </c>
      <c r="U3" s="31">
        <v>75</v>
      </c>
      <c r="V3" s="31">
        <v>80</v>
      </c>
      <c r="W3" s="31">
        <v>85</v>
      </c>
    </row>
    <row r="4" spans="1:23" hidden="1" x14ac:dyDescent="0.3">
      <c r="J4" s="31" t="s">
        <v>71</v>
      </c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</row>
    <row r="5" spans="1:23" hidden="1" x14ac:dyDescent="0.3">
      <c r="J5" s="31">
        <f>RADIANS(J3)</f>
        <v>0.3490658503988659</v>
      </c>
      <c r="K5" s="31">
        <f t="shared" ref="K5:W5" si="0">RADIANS(K3)</f>
        <v>0.43633231299858238</v>
      </c>
      <c r="L5" s="31">
        <f t="shared" si="0"/>
        <v>0.52359877559829882</v>
      </c>
      <c r="M5" s="31">
        <f t="shared" si="0"/>
        <v>0.6108652381980153</v>
      </c>
      <c r="N5" s="31">
        <f t="shared" si="0"/>
        <v>0.69813170079773179</v>
      </c>
      <c r="O5" s="31">
        <f t="shared" si="0"/>
        <v>0.78539816339744828</v>
      </c>
      <c r="P5" s="31">
        <f t="shared" si="0"/>
        <v>0.87266462599716477</v>
      </c>
      <c r="Q5" s="31">
        <f t="shared" si="0"/>
        <v>0.95993108859688125</v>
      </c>
      <c r="R5" s="31">
        <f t="shared" si="0"/>
        <v>1.0471975511965976</v>
      </c>
      <c r="S5" s="31">
        <f t="shared" si="0"/>
        <v>1.1344640137963142</v>
      </c>
      <c r="T5" s="31">
        <f t="shared" si="0"/>
        <v>1.2217304763960306</v>
      </c>
      <c r="U5" s="31">
        <f t="shared" si="0"/>
        <v>1.3089969389957472</v>
      </c>
      <c r="V5" s="31">
        <f t="shared" si="0"/>
        <v>1.3962634015954636</v>
      </c>
      <c r="W5" s="31">
        <f t="shared" si="0"/>
        <v>1.4835298641951802</v>
      </c>
    </row>
    <row r="6" spans="1:23" x14ac:dyDescent="0.3">
      <c r="F6" s="3" t="s">
        <v>34</v>
      </c>
      <c r="G6" s="31">
        <v>0</v>
      </c>
      <c r="H6" s="31" t="s">
        <v>70</v>
      </c>
      <c r="I6" s="31">
        <f>G6*12</f>
        <v>0</v>
      </c>
      <c r="J6" s="9">
        <f>TAN(J$5)*$I6-(0.5*$B$24)*POWER($I6/($B$21*COS(J$5)), 2)</f>
        <v>0</v>
      </c>
      <c r="K6" s="9">
        <f t="shared" ref="K6:W7" si="1">TAN(K$5)*$I6-(0.5*$B$24)*POWER($I6/($B$21*COS(K$5)), 2)</f>
        <v>0</v>
      </c>
      <c r="L6" s="9">
        <f t="shared" si="1"/>
        <v>0</v>
      </c>
      <c r="M6" s="9">
        <f t="shared" si="1"/>
        <v>0</v>
      </c>
      <c r="N6" s="9">
        <f t="shared" si="1"/>
        <v>0</v>
      </c>
      <c r="O6" s="9">
        <f t="shared" si="1"/>
        <v>0</v>
      </c>
      <c r="P6" s="9">
        <f t="shared" si="1"/>
        <v>0</v>
      </c>
      <c r="Q6" s="9">
        <f t="shared" si="1"/>
        <v>0</v>
      </c>
      <c r="R6" s="9">
        <f t="shared" si="1"/>
        <v>0</v>
      </c>
      <c r="S6" s="9">
        <f t="shared" si="1"/>
        <v>0</v>
      </c>
      <c r="T6" s="9">
        <f t="shared" si="1"/>
        <v>0</v>
      </c>
      <c r="U6" s="9">
        <f t="shared" si="1"/>
        <v>0</v>
      </c>
      <c r="V6" s="9">
        <f t="shared" si="1"/>
        <v>0</v>
      </c>
      <c r="W6" s="9">
        <f t="shared" si="1"/>
        <v>0</v>
      </c>
    </row>
    <row r="7" spans="1:23" x14ac:dyDescent="0.3">
      <c r="A7" s="2" t="s">
        <v>10</v>
      </c>
      <c r="B7" s="12">
        <v>8</v>
      </c>
      <c r="C7" t="s">
        <v>3</v>
      </c>
      <c r="D7" s="12">
        <v>2.25</v>
      </c>
      <c r="E7" t="s">
        <v>4</v>
      </c>
      <c r="G7">
        <v>1</v>
      </c>
      <c r="I7" s="31">
        <f t="shared" ref="I7:I46" si="2">G7*12</f>
        <v>12</v>
      </c>
      <c r="J7" s="9">
        <f>TAN(J$5)*$I7-(0.5*$B$24)*POWER($I7/($B$21*COS(J$5)), 2)</f>
        <v>4.2155879345317322</v>
      </c>
      <c r="K7" s="9">
        <f t="shared" si="1"/>
        <v>5.4322284845764273</v>
      </c>
      <c r="L7" s="9">
        <f t="shared" si="1"/>
        <v>6.7491794502893114</v>
      </c>
      <c r="M7" s="9">
        <f t="shared" si="1"/>
        <v>8.2023923666102103</v>
      </c>
      <c r="N7" s="9">
        <f t="shared" si="1"/>
        <v>9.8403913420847449</v>
      </c>
      <c r="O7" s="9">
        <f t="shared" si="1"/>
        <v>11.731464330020703</v>
      </c>
      <c r="P7" s="9">
        <f t="shared" si="1"/>
        <v>13.976077808553793</v>
      </c>
      <c r="Q7" s="9">
        <f t="shared" si="1"/>
        <v>16.729654666160897</v>
      </c>
      <c r="R7" s="9">
        <f t="shared" si="1"/>
        <v>20.247538350867931</v>
      </c>
      <c r="S7" s="9">
        <f t="shared" si="1"/>
        <v>24.982329531227805</v>
      </c>
      <c r="T7" s="9">
        <f t="shared" si="1"/>
        <v>31.821922699811246</v>
      </c>
      <c r="U7" s="9">
        <f t="shared" si="1"/>
        <v>42.78023216281197</v>
      </c>
      <c r="V7" s="9">
        <f t="shared" si="1"/>
        <v>63.602598884490462</v>
      </c>
      <c r="W7" s="9">
        <f t="shared" si="1"/>
        <v>119.48479138619498</v>
      </c>
    </row>
    <row r="8" spans="1:23" x14ac:dyDescent="0.3">
      <c r="B8" s="13">
        <f>B7*12+D7</f>
        <v>98.25</v>
      </c>
      <c r="C8" t="s">
        <v>4</v>
      </c>
      <c r="G8">
        <v>2</v>
      </c>
      <c r="I8" s="31">
        <f t="shared" si="2"/>
        <v>24</v>
      </c>
      <c r="J8" s="9">
        <f t="shared" ref="J8:W23" si="3">TAN(J$5)*$I8-(0.5*$B$24)*POWER($I8/($B$21*COS(J$5)), 2)</f>
        <v>8.1270661157380726</v>
      </c>
      <c r="K8" s="9">
        <f t="shared" si="3"/>
        <v>10.537530142585743</v>
      </c>
      <c r="L8" s="9">
        <f t="shared" si="3"/>
        <v>13.140311340606228</v>
      </c>
      <c r="M8" s="9">
        <f t="shared" si="3"/>
        <v>16.004588549407806</v>
      </c>
      <c r="N8" s="9">
        <f t="shared" si="3"/>
        <v>19.22317422008426</v>
      </c>
      <c r="O8" s="9">
        <f t="shared" si="3"/>
        <v>22.925857320082812</v>
      </c>
      <c r="P8" s="9">
        <f t="shared" si="3"/>
        <v>27.302225011954132</v>
      </c>
      <c r="Q8" s="9">
        <f t="shared" si="3"/>
        <v>32.643066502832838</v>
      </c>
      <c r="R8" s="9">
        <f t="shared" si="3"/>
        <v>39.420934021818674</v>
      </c>
      <c r="S8" s="9">
        <f t="shared" si="3"/>
        <v>48.461152032681802</v>
      </c>
      <c r="T8" s="9">
        <f t="shared" si="3"/>
        <v>61.348232732334068</v>
      </c>
      <c r="U8" s="9">
        <f t="shared" si="3"/>
        <v>81.551709269594809</v>
      </c>
      <c r="V8" s="9">
        <f t="shared" si="3"/>
        <v>118.29963186713691</v>
      </c>
      <c r="W8" s="9">
        <f t="shared" si="3"/>
        <v>203.61791027850757</v>
      </c>
    </row>
    <row r="9" spans="1:23" x14ac:dyDescent="0.3">
      <c r="G9">
        <v>3</v>
      </c>
      <c r="I9" s="31">
        <f t="shared" si="2"/>
        <v>36</v>
      </c>
      <c r="J9" s="9">
        <f t="shared" si="3"/>
        <v>11.73443454361902</v>
      </c>
      <c r="K9" s="9">
        <f t="shared" si="3"/>
        <v>15.315904974027946</v>
      </c>
      <c r="L9" s="9">
        <f t="shared" si="3"/>
        <v>19.173395670950754</v>
      </c>
      <c r="M9" s="9">
        <f t="shared" si="3"/>
        <v>23.406588548392779</v>
      </c>
      <c r="N9" s="9">
        <f t="shared" si="3"/>
        <v>28.148348633998552</v>
      </c>
      <c r="O9" s="9">
        <f t="shared" si="3"/>
        <v>33.583178970186331</v>
      </c>
      <c r="P9" s="9">
        <f t="shared" si="3"/>
        <v>39.978441610201017</v>
      </c>
      <c r="Q9" s="9">
        <f t="shared" si="3"/>
        <v>47.740235510015836</v>
      </c>
      <c r="R9" s="9">
        <f t="shared" si="3"/>
        <v>57.52018701285224</v>
      </c>
      <c r="S9" s="9">
        <f t="shared" si="3"/>
        <v>70.436467504362</v>
      </c>
      <c r="T9" s="9">
        <f t="shared" si="3"/>
        <v>88.578930097568474</v>
      </c>
      <c r="U9" s="9">
        <f t="shared" si="3"/>
        <v>116.31443132034855</v>
      </c>
      <c r="V9" s="9">
        <f t="shared" si="3"/>
        <v>164.09109894793934</v>
      </c>
      <c r="W9" s="9">
        <f t="shared" si="3"/>
        <v>252.3993566769378</v>
      </c>
    </row>
    <row r="10" spans="1:23" x14ac:dyDescent="0.3">
      <c r="A10" s="2" t="s">
        <v>7</v>
      </c>
      <c r="B10" s="12">
        <v>24</v>
      </c>
      <c r="C10" t="s">
        <v>4</v>
      </c>
      <c r="G10">
        <v>4</v>
      </c>
      <c r="I10" s="31">
        <f t="shared" si="2"/>
        <v>48</v>
      </c>
      <c r="J10" s="9">
        <f t="shared" si="3"/>
        <v>15.037693218174578</v>
      </c>
      <c r="K10" s="9">
        <f t="shared" si="3"/>
        <v>19.767352978903038</v>
      </c>
      <c r="L10" s="9">
        <f t="shared" si="3"/>
        <v>24.848432441322881</v>
      </c>
      <c r="M10" s="9">
        <f t="shared" si="3"/>
        <v>30.408392363565149</v>
      </c>
      <c r="N10" s="9">
        <f t="shared" si="3"/>
        <v>36.61591458382761</v>
      </c>
      <c r="O10" s="9">
        <f t="shared" si="3"/>
        <v>43.703429280331264</v>
      </c>
      <c r="P10" s="9">
        <f t="shared" si="3"/>
        <v>52.004727603294448</v>
      </c>
      <c r="Q10" s="9">
        <f t="shared" si="3"/>
        <v>62.021161687709871</v>
      </c>
      <c r="R10" s="9">
        <f t="shared" si="3"/>
        <v>74.545297323968626</v>
      </c>
      <c r="S10" s="9">
        <f t="shared" si="3"/>
        <v>90.908275946268404</v>
      </c>
      <c r="T10" s="9">
        <f t="shared" si="3"/>
        <v>113.51401479551446</v>
      </c>
      <c r="U10" s="9">
        <f t="shared" si="3"/>
        <v>147.06839831507313</v>
      </c>
      <c r="V10" s="9">
        <f t="shared" si="3"/>
        <v>200.97700012689774</v>
      </c>
      <c r="W10" s="9">
        <f t="shared" si="3"/>
        <v>265.82913058148557</v>
      </c>
    </row>
    <row r="11" spans="1:23" x14ac:dyDescent="0.3">
      <c r="G11" s="31">
        <v>5</v>
      </c>
      <c r="H11" s="31"/>
      <c r="I11" s="31">
        <f t="shared" si="2"/>
        <v>60</v>
      </c>
      <c r="J11" s="9">
        <f t="shared" si="3"/>
        <v>18.03684213940474</v>
      </c>
      <c r="K11" s="9">
        <f t="shared" si="3"/>
        <v>23.891874157211017</v>
      </c>
      <c r="L11" s="9">
        <f t="shared" si="3"/>
        <v>30.16542165172261</v>
      </c>
      <c r="M11" s="9">
        <f t="shared" si="3"/>
        <v>37.00999999492489</v>
      </c>
      <c r="N11" s="9">
        <f t="shared" si="3"/>
        <v>44.625872069571436</v>
      </c>
      <c r="O11" s="9">
        <f t="shared" si="3"/>
        <v>53.286608250517602</v>
      </c>
      <c r="P11" s="9">
        <f t="shared" si="3"/>
        <v>63.381082991234422</v>
      </c>
      <c r="Q11" s="9">
        <f t="shared" si="3"/>
        <v>75.485845035914963</v>
      </c>
      <c r="R11" s="9">
        <f t="shared" si="3"/>
        <v>90.496264955167831</v>
      </c>
      <c r="S11" s="9">
        <f t="shared" si="3"/>
        <v>109.87657735840099</v>
      </c>
      <c r="T11" s="9">
        <f t="shared" si="3"/>
        <v>136.15348682617201</v>
      </c>
      <c r="U11" s="9">
        <f t="shared" si="3"/>
        <v>173.81361025376864</v>
      </c>
      <c r="V11" s="9">
        <f t="shared" si="3"/>
        <v>228.95733540401216</v>
      </c>
      <c r="W11" s="9">
        <f t="shared" si="3"/>
        <v>243.90723199215091</v>
      </c>
    </row>
    <row r="12" spans="1:23" x14ac:dyDescent="0.3">
      <c r="A12" s="14" t="s">
        <v>2</v>
      </c>
      <c r="B12">
        <f>B8-B10</f>
        <v>74.25</v>
      </c>
      <c r="C12" t="s">
        <v>4</v>
      </c>
      <c r="G12">
        <v>6</v>
      </c>
      <c r="I12" s="31">
        <f t="shared" si="2"/>
        <v>72</v>
      </c>
      <c r="J12" s="9">
        <f t="shared" si="3"/>
        <v>20.731881307309514</v>
      </c>
      <c r="K12" s="9">
        <f t="shared" si="3"/>
        <v>27.689468508951887</v>
      </c>
      <c r="L12" s="9">
        <f t="shared" si="3"/>
        <v>35.124363302149959</v>
      </c>
      <c r="M12" s="9">
        <f t="shared" si="3"/>
        <v>43.211411442472027</v>
      </c>
      <c r="N12" s="9">
        <f t="shared" si="3"/>
        <v>52.178221091230043</v>
      </c>
      <c r="O12" s="9">
        <f t="shared" si="3"/>
        <v>62.33271588074534</v>
      </c>
      <c r="P12" s="9">
        <f t="shared" si="3"/>
        <v>74.107507774020945</v>
      </c>
      <c r="Q12" s="9">
        <f t="shared" si="3"/>
        <v>88.134285554631091</v>
      </c>
      <c r="R12" s="9">
        <f t="shared" si="3"/>
        <v>105.37308990644985</v>
      </c>
      <c r="S12" s="9">
        <f t="shared" si="3"/>
        <v>127.34137174075978</v>
      </c>
      <c r="T12" s="9">
        <f t="shared" si="3"/>
        <v>156.49734618954113</v>
      </c>
      <c r="U12" s="9">
        <f t="shared" si="3"/>
        <v>196.55006713643499</v>
      </c>
      <c r="V12" s="9">
        <f t="shared" si="3"/>
        <v>248.03210477928249</v>
      </c>
      <c r="W12" s="9">
        <f t="shared" si="3"/>
        <v>186.63366090893408</v>
      </c>
    </row>
    <row r="13" spans="1:23" x14ac:dyDescent="0.3">
      <c r="G13">
        <v>7</v>
      </c>
      <c r="I13" s="31">
        <f t="shared" si="2"/>
        <v>84</v>
      </c>
      <c r="J13" s="9">
        <f t="shared" si="3"/>
        <v>23.122810721888893</v>
      </c>
      <c r="K13" s="9">
        <f t="shared" si="3"/>
        <v>31.160136034125635</v>
      </c>
      <c r="L13" s="9">
        <f t="shared" si="3"/>
        <v>39.725257392604902</v>
      </c>
      <c r="M13" s="9">
        <f t="shared" si="3"/>
        <v>49.012626706206547</v>
      </c>
      <c r="N13" s="9">
        <f t="shared" si="3"/>
        <v>59.27296164880341</v>
      </c>
      <c r="O13" s="9">
        <f t="shared" si="3"/>
        <v>70.841752171014491</v>
      </c>
      <c r="P13" s="9">
        <f t="shared" si="3"/>
        <v>84.184001951654011</v>
      </c>
      <c r="Q13" s="9">
        <f t="shared" si="3"/>
        <v>99.966483243858278</v>
      </c>
      <c r="R13" s="9">
        <f t="shared" si="3"/>
        <v>119.17577217781466</v>
      </c>
      <c r="S13" s="9">
        <f t="shared" si="3"/>
        <v>143.30265909334477</v>
      </c>
      <c r="T13" s="9">
        <f t="shared" si="3"/>
        <v>174.54559288562186</v>
      </c>
      <c r="U13" s="9">
        <f t="shared" si="3"/>
        <v>215.27776896307222</v>
      </c>
      <c r="V13" s="9">
        <f t="shared" si="3"/>
        <v>258.20130825270883</v>
      </c>
      <c r="W13" s="9">
        <f t="shared" si="3"/>
        <v>94.008417331834607</v>
      </c>
    </row>
    <row r="14" spans="1:23" x14ac:dyDescent="0.3">
      <c r="A14" s="2" t="s">
        <v>19</v>
      </c>
      <c r="B14" s="12">
        <v>6</v>
      </c>
      <c r="C14" t="s">
        <v>4</v>
      </c>
      <c r="G14">
        <v>8</v>
      </c>
      <c r="I14" s="31">
        <f t="shared" si="2"/>
        <v>96</v>
      </c>
      <c r="J14" s="9">
        <f t="shared" si="3"/>
        <v>25.209630383142883</v>
      </c>
      <c r="K14" s="9">
        <f t="shared" si="3"/>
        <v>34.303876732732284</v>
      </c>
      <c r="L14" s="9">
        <f t="shared" si="3"/>
        <v>43.968103923087455</v>
      </c>
      <c r="M14" s="9">
        <f t="shared" si="3"/>
        <v>54.413645786128455</v>
      </c>
      <c r="N14" s="9">
        <f t="shared" si="3"/>
        <v>65.910093742291565</v>
      </c>
      <c r="O14" s="9">
        <f t="shared" si="3"/>
        <v>78.813717121325055</v>
      </c>
      <c r="P14" s="9">
        <f t="shared" si="3"/>
        <v>93.610565524133634</v>
      </c>
      <c r="Q14" s="9">
        <f t="shared" si="3"/>
        <v>110.98243810359651</v>
      </c>
      <c r="R14" s="9">
        <f t="shared" si="3"/>
        <v>131.90431176926234</v>
      </c>
      <c r="S14" s="9">
        <f t="shared" si="3"/>
        <v>157.76043941615595</v>
      </c>
      <c r="T14" s="9">
        <f t="shared" si="3"/>
        <v>190.29822691441416</v>
      </c>
      <c r="U14" s="9">
        <f t="shared" si="3"/>
        <v>229.99671573368033</v>
      </c>
      <c r="V14" s="9">
        <f t="shared" si="3"/>
        <v>259.46494582429108</v>
      </c>
      <c r="W14" s="9">
        <f t="shared" si="3"/>
        <v>-33.968498739147208</v>
      </c>
    </row>
    <row r="15" spans="1:23" x14ac:dyDescent="0.3">
      <c r="A15" s="14" t="s">
        <v>23</v>
      </c>
      <c r="B15" s="12">
        <f>C15*D15</f>
        <v>6380</v>
      </c>
      <c r="C15">
        <v>1</v>
      </c>
      <c r="D15">
        <v>6380</v>
      </c>
      <c r="G15">
        <v>9</v>
      </c>
      <c r="I15" s="31">
        <f t="shared" si="2"/>
        <v>108</v>
      </c>
      <c r="J15" s="9">
        <f t="shared" si="3"/>
        <v>26.992340291071486</v>
      </c>
      <c r="K15" s="9">
        <f t="shared" si="3"/>
        <v>37.120690604771809</v>
      </c>
      <c r="L15" s="9">
        <f t="shared" si="3"/>
        <v>47.852902893597609</v>
      </c>
      <c r="M15" s="9">
        <f t="shared" si="3"/>
        <v>59.414468682237739</v>
      </c>
      <c r="N15" s="9">
        <f t="shared" si="3"/>
        <v>72.089617371694459</v>
      </c>
      <c r="O15" s="9">
        <f t="shared" si="3"/>
        <v>86.248610731677033</v>
      </c>
      <c r="P15" s="9">
        <f t="shared" si="3"/>
        <v>102.38719849145978</v>
      </c>
      <c r="Q15" s="9">
        <f t="shared" si="3"/>
        <v>121.18215013384579</v>
      </c>
      <c r="R15" s="9">
        <f t="shared" si="3"/>
        <v>143.55870868079279</v>
      </c>
      <c r="S15" s="9">
        <f t="shared" si="3"/>
        <v>170.71471270919329</v>
      </c>
      <c r="T15" s="9">
        <f t="shared" si="3"/>
        <v>203.75524827591795</v>
      </c>
      <c r="U15" s="9">
        <f t="shared" si="3"/>
        <v>240.70690744825939</v>
      </c>
      <c r="V15" s="9">
        <f t="shared" si="3"/>
        <v>251.82301749402939</v>
      </c>
      <c r="W15" s="9">
        <f t="shared" si="3"/>
        <v>-197.29708730401148</v>
      </c>
    </row>
    <row r="16" spans="1:23" x14ac:dyDescent="0.3">
      <c r="A16" s="14" t="s">
        <v>22</v>
      </c>
      <c r="B16" s="13">
        <f>PI()*B14</f>
        <v>18.849555921538759</v>
      </c>
      <c r="C16" t="s">
        <v>4</v>
      </c>
      <c r="G16" s="31">
        <v>10</v>
      </c>
      <c r="H16" s="31"/>
      <c r="I16" s="31">
        <f t="shared" si="2"/>
        <v>120</v>
      </c>
      <c r="J16" s="9">
        <f t="shared" si="3"/>
        <v>28.470940445674685</v>
      </c>
      <c r="K16" s="9">
        <f t="shared" si="3"/>
        <v>39.610577650244238</v>
      </c>
      <c r="L16" s="9">
        <f t="shared" si="3"/>
        <v>51.379654304135364</v>
      </c>
      <c r="M16" s="9">
        <f t="shared" si="3"/>
        <v>64.015095394534399</v>
      </c>
      <c r="N16" s="9">
        <f t="shared" si="3"/>
        <v>77.811532537012155</v>
      </c>
      <c r="O16" s="9">
        <f t="shared" si="3"/>
        <v>93.14643300207041</v>
      </c>
      <c r="P16" s="9">
        <f t="shared" si="3"/>
        <v>110.51390085363249</v>
      </c>
      <c r="Q16" s="9">
        <f t="shared" si="3"/>
        <v>130.56561933460614</v>
      </c>
      <c r="R16" s="9">
        <f t="shared" si="3"/>
        <v>154.1389629124061</v>
      </c>
      <c r="S16" s="9">
        <f t="shared" si="3"/>
        <v>182.16547897245692</v>
      </c>
      <c r="T16" s="9">
        <f t="shared" si="3"/>
        <v>214.91665697013346</v>
      </c>
      <c r="U16" s="9">
        <f t="shared" si="3"/>
        <v>247.40834410680921</v>
      </c>
      <c r="V16" s="9">
        <f t="shared" si="3"/>
        <v>235.27552326192375</v>
      </c>
      <c r="W16" s="9">
        <f t="shared" si="3"/>
        <v>-395.97734836275822</v>
      </c>
    </row>
    <row r="17" spans="1:23" x14ac:dyDescent="0.3">
      <c r="A17" s="14" t="s">
        <v>33</v>
      </c>
      <c r="B17" s="12">
        <v>0.22700000000000001</v>
      </c>
      <c r="G17">
        <v>11</v>
      </c>
      <c r="I17" s="31">
        <f t="shared" si="2"/>
        <v>132</v>
      </c>
      <c r="J17" s="9">
        <f t="shared" si="3"/>
        <v>29.6454308469525</v>
      </c>
      <c r="K17" s="9">
        <f t="shared" si="3"/>
        <v>41.773537869149543</v>
      </c>
      <c r="L17" s="9">
        <f t="shared" si="3"/>
        <v>54.548358154700743</v>
      </c>
      <c r="M17" s="9">
        <f t="shared" si="3"/>
        <v>68.215525923018475</v>
      </c>
      <c r="N17" s="9">
        <f t="shared" si="3"/>
        <v>83.075839238244612</v>
      </c>
      <c r="O17" s="9">
        <f t="shared" si="3"/>
        <v>99.507183932505171</v>
      </c>
      <c r="P17" s="9">
        <f t="shared" si="3"/>
        <v>117.99067261065176</v>
      </c>
      <c r="Q17" s="9">
        <f t="shared" si="3"/>
        <v>139.13284570587749</v>
      </c>
      <c r="R17" s="9">
        <f t="shared" si="3"/>
        <v>163.64507446410218</v>
      </c>
      <c r="S17" s="9">
        <f t="shared" si="3"/>
        <v>192.11273820594667</v>
      </c>
      <c r="T17" s="9">
        <f t="shared" si="3"/>
        <v>223.78245299706049</v>
      </c>
      <c r="U17" s="9">
        <f t="shared" si="3"/>
        <v>250.10102570933003</v>
      </c>
      <c r="V17" s="9">
        <f t="shared" si="3"/>
        <v>209.82246312797406</v>
      </c>
      <c r="W17" s="9">
        <f t="shared" si="3"/>
        <v>-630.00928191538742</v>
      </c>
    </row>
    <row r="18" spans="1:23" x14ac:dyDescent="0.3">
      <c r="G18">
        <v>12</v>
      </c>
      <c r="I18" s="31">
        <f t="shared" si="2"/>
        <v>144</v>
      </c>
      <c r="J18" s="9">
        <f t="shared" si="3"/>
        <v>30.515811494904916</v>
      </c>
      <c r="K18" s="9">
        <f t="shared" si="3"/>
        <v>43.609571261487744</v>
      </c>
      <c r="L18" s="9">
        <f t="shared" si="3"/>
        <v>57.359014445293724</v>
      </c>
      <c r="M18" s="9">
        <f t="shared" si="3"/>
        <v>72.015760267689899</v>
      </c>
      <c r="N18" s="9">
        <f t="shared" si="3"/>
        <v>87.882537475391857</v>
      </c>
      <c r="O18" s="9">
        <f t="shared" si="3"/>
        <v>105.33086352298139</v>
      </c>
      <c r="P18" s="9">
        <f t="shared" si="3"/>
        <v>124.81751376251756</v>
      </c>
      <c r="Q18" s="9">
        <f t="shared" si="3"/>
        <v>146.88382924765989</v>
      </c>
      <c r="R18" s="9">
        <f t="shared" si="3"/>
        <v>172.07704333588111</v>
      </c>
      <c r="S18" s="9">
        <f t="shared" si="3"/>
        <v>200.55649040966267</v>
      </c>
      <c r="T18" s="9">
        <f t="shared" si="3"/>
        <v>230.35263635669907</v>
      </c>
      <c r="U18" s="9">
        <f t="shared" si="3"/>
        <v>248.78495225582162</v>
      </c>
      <c r="V18" s="9">
        <f t="shared" si="3"/>
        <v>175.46383709218026</v>
      </c>
      <c r="W18" s="9">
        <f t="shared" si="3"/>
        <v>-899.39288796189794</v>
      </c>
    </row>
    <row r="19" spans="1:23" x14ac:dyDescent="0.3">
      <c r="A19" s="2" t="s">
        <v>20</v>
      </c>
      <c r="B19" s="13">
        <f>B15*B16</f>
        <v>120260.16677941728</v>
      </c>
      <c r="C19" t="s">
        <v>24</v>
      </c>
      <c r="G19">
        <v>13</v>
      </c>
      <c r="I19" s="31">
        <f t="shared" si="2"/>
        <v>156</v>
      </c>
      <c r="J19" s="9">
        <f t="shared" si="3"/>
        <v>31.082082389531948</v>
      </c>
      <c r="K19" s="9">
        <f t="shared" si="3"/>
        <v>45.118677827258821</v>
      </c>
      <c r="L19" s="9">
        <f t="shared" si="3"/>
        <v>59.811623175914292</v>
      </c>
      <c r="M19" s="9">
        <f t="shared" si="3"/>
        <v>75.41579842854874</v>
      </c>
      <c r="N19" s="9">
        <f t="shared" si="3"/>
        <v>92.231627248453862</v>
      </c>
      <c r="O19" s="9">
        <f t="shared" si="3"/>
        <v>110.61747177349899</v>
      </c>
      <c r="P19" s="9">
        <f t="shared" si="3"/>
        <v>130.99442430922994</v>
      </c>
      <c r="Q19" s="9">
        <f t="shared" si="3"/>
        <v>153.81856995995338</v>
      </c>
      <c r="R19" s="9">
        <f t="shared" si="3"/>
        <v>179.43486952774282</v>
      </c>
      <c r="S19" s="9">
        <f t="shared" si="3"/>
        <v>207.49673558360479</v>
      </c>
      <c r="T19" s="9">
        <f t="shared" si="3"/>
        <v>234.62720704904925</v>
      </c>
      <c r="U19" s="9">
        <f t="shared" si="3"/>
        <v>243.46012374628401</v>
      </c>
      <c r="V19" s="9">
        <f t="shared" si="3"/>
        <v>132.19964515454251</v>
      </c>
      <c r="W19" s="9">
        <f t="shared" si="3"/>
        <v>-1204.1281665022918</v>
      </c>
    </row>
    <row r="20" spans="1:23" x14ac:dyDescent="0.3">
      <c r="A20" s="2" t="s">
        <v>20</v>
      </c>
      <c r="B20" s="15">
        <f>($B$17*B19)/(12*60)</f>
        <v>37.915358137399615</v>
      </c>
      <c r="C20" t="s">
        <v>21</v>
      </c>
      <c r="G20">
        <v>14</v>
      </c>
      <c r="I20" s="31">
        <f t="shared" si="2"/>
        <v>168</v>
      </c>
      <c r="J20" s="9">
        <f t="shared" si="3"/>
        <v>31.34424353083358</v>
      </c>
      <c r="K20" s="9">
        <f t="shared" si="3"/>
        <v>46.300857566462788</v>
      </c>
      <c r="L20" s="9">
        <f t="shared" si="3"/>
        <v>61.906184346562476</v>
      </c>
      <c r="M20" s="9">
        <f t="shared" si="3"/>
        <v>78.415640405594942</v>
      </c>
      <c r="N20" s="9">
        <f t="shared" si="3"/>
        <v>96.123108557430612</v>
      </c>
      <c r="O20" s="9">
        <f t="shared" si="3"/>
        <v>115.36700868405802</v>
      </c>
      <c r="P20" s="9">
        <f t="shared" si="3"/>
        <v>136.52140425078878</v>
      </c>
      <c r="Q20" s="9">
        <f t="shared" si="3"/>
        <v>159.93706784275787</v>
      </c>
      <c r="R20" s="9">
        <f t="shared" si="3"/>
        <v>185.71855303968738</v>
      </c>
      <c r="S20" s="9">
        <f t="shared" si="3"/>
        <v>212.93347372777322</v>
      </c>
      <c r="T20" s="9">
        <f t="shared" si="3"/>
        <v>236.60616507411098</v>
      </c>
      <c r="U20" s="9">
        <f t="shared" si="3"/>
        <v>234.12654018071748</v>
      </c>
      <c r="V20" s="9">
        <f t="shared" si="3"/>
        <v>80.029887315060478</v>
      </c>
      <c r="W20" s="9">
        <f t="shared" si="3"/>
        <v>-1544.2151175365682</v>
      </c>
    </row>
    <row r="21" spans="1:23" x14ac:dyDescent="0.3">
      <c r="B21">
        <f>B20*12</f>
        <v>454.9842976487954</v>
      </c>
      <c r="C21" t="s">
        <v>72</v>
      </c>
      <c r="G21" s="31">
        <v>15</v>
      </c>
      <c r="H21" s="31"/>
      <c r="I21" s="31">
        <f t="shared" si="2"/>
        <v>180</v>
      </c>
      <c r="J21" s="9">
        <f t="shared" si="3"/>
        <v>31.302294918809828</v>
      </c>
      <c r="K21" s="9">
        <f t="shared" si="3"/>
        <v>47.156110479099645</v>
      </c>
      <c r="L21" s="9">
        <f t="shared" si="3"/>
        <v>63.642697957238255</v>
      </c>
      <c r="M21" s="9">
        <f t="shared" si="3"/>
        <v>81.015286198828548</v>
      </c>
      <c r="N21" s="9">
        <f t="shared" si="3"/>
        <v>99.556981402322165</v>
      </c>
      <c r="O21" s="9">
        <f t="shared" si="3"/>
        <v>119.57947425465845</v>
      </c>
      <c r="P21" s="9">
        <f t="shared" si="3"/>
        <v>141.39845358719424</v>
      </c>
      <c r="Q21" s="9">
        <f t="shared" si="3"/>
        <v>165.23932289607342</v>
      </c>
      <c r="R21" s="9">
        <f t="shared" si="3"/>
        <v>190.92809387171476</v>
      </c>
      <c r="S21" s="9">
        <f t="shared" si="3"/>
        <v>216.86670484216774</v>
      </c>
      <c r="T21" s="9">
        <f t="shared" si="3"/>
        <v>236.2895104318842</v>
      </c>
      <c r="U21" s="9">
        <f t="shared" si="3"/>
        <v>220.78420155912175</v>
      </c>
      <c r="V21" s="9">
        <f t="shared" si="3"/>
        <v>18.954563573734617</v>
      </c>
      <c r="W21" s="9">
        <f t="shared" si="3"/>
        <v>-1919.653741064727</v>
      </c>
    </row>
    <row r="22" spans="1:23" x14ac:dyDescent="0.3">
      <c r="G22">
        <v>16</v>
      </c>
      <c r="I22" s="31">
        <f t="shared" si="2"/>
        <v>192</v>
      </c>
      <c r="J22" s="9">
        <f t="shared" si="3"/>
        <v>30.956236553460684</v>
      </c>
      <c r="K22" s="9">
        <f t="shared" si="3"/>
        <v>47.684436565169399</v>
      </c>
      <c r="L22" s="9">
        <f t="shared" si="3"/>
        <v>65.021164007941678</v>
      </c>
      <c r="M22" s="9">
        <f t="shared" si="3"/>
        <v>83.214735808249543</v>
      </c>
      <c r="N22" s="9">
        <f t="shared" si="3"/>
        <v>102.53324578312851</v>
      </c>
      <c r="O22" s="9">
        <f t="shared" si="3"/>
        <v>123.25486848530025</v>
      </c>
      <c r="P22" s="9">
        <f t="shared" si="3"/>
        <v>145.62557231844622</v>
      </c>
      <c r="Q22" s="9">
        <f t="shared" si="3"/>
        <v>169.72533511990008</v>
      </c>
      <c r="R22" s="9">
        <f t="shared" si="3"/>
        <v>195.06349202382495</v>
      </c>
      <c r="S22" s="9">
        <f t="shared" si="3"/>
        <v>219.29642892678854</v>
      </c>
      <c r="T22" s="9">
        <f t="shared" si="3"/>
        <v>233.67724312236925</v>
      </c>
      <c r="U22" s="9">
        <f t="shared" si="3"/>
        <v>203.43310788149688</v>
      </c>
      <c r="V22" s="9">
        <f t="shared" si="3"/>
        <v>-51.026326069435299</v>
      </c>
      <c r="W22" s="9">
        <f t="shared" si="3"/>
        <v>-2330.4440370867678</v>
      </c>
    </row>
    <row r="23" spans="1:23" x14ac:dyDescent="0.3">
      <c r="A23" s="2" t="s">
        <v>29</v>
      </c>
      <c r="B23">
        <v>32.17</v>
      </c>
      <c r="C23" t="s">
        <v>27</v>
      </c>
      <c r="G23">
        <v>17</v>
      </c>
      <c r="I23" s="31">
        <f t="shared" si="2"/>
        <v>204</v>
      </c>
      <c r="J23" s="9">
        <f>TAN(J$5)*$I23-(0.5*$B$24)*POWER($I23/($B$21*COS(J$5)), 2)</f>
        <v>30.306068434786148</v>
      </c>
      <c r="K23" s="9">
        <f t="shared" si="3"/>
        <v>47.885835824672029</v>
      </c>
      <c r="L23" s="9">
        <f t="shared" si="3"/>
        <v>66.041582498672653</v>
      </c>
      <c r="M23" s="9">
        <f t="shared" si="3"/>
        <v>85.013989233857899</v>
      </c>
      <c r="N23" s="9">
        <f t="shared" si="3"/>
        <v>105.05190169984957</v>
      </c>
      <c r="O23" s="9">
        <f t="shared" si="3"/>
        <v>126.39319137598351</v>
      </c>
      <c r="P23" s="9">
        <f t="shared" si="3"/>
        <v>149.20276044454474</v>
      </c>
      <c r="Q23" s="9">
        <f t="shared" si="3"/>
        <v>173.39510451423774</v>
      </c>
      <c r="R23" s="9">
        <f t="shared" si="3"/>
        <v>198.12474749601802</v>
      </c>
      <c r="S23" s="9">
        <f t="shared" si="3"/>
        <v>220.22264598163545</v>
      </c>
      <c r="T23" s="9">
        <f t="shared" si="3"/>
        <v>228.76936314556565</v>
      </c>
      <c r="U23" s="9">
        <f t="shared" si="3"/>
        <v>182.07325914784303</v>
      </c>
      <c r="V23" s="9">
        <f t="shared" si="3"/>
        <v>-129.91278161444893</v>
      </c>
      <c r="W23" s="9">
        <f t="shared" si="3"/>
        <v>-2776.5860056026913</v>
      </c>
    </row>
    <row r="24" spans="1:23" x14ac:dyDescent="0.3">
      <c r="B24">
        <f>B23*12</f>
        <v>386.04</v>
      </c>
      <c r="C24" t="s">
        <v>28</v>
      </c>
      <c r="G24">
        <v>18</v>
      </c>
      <c r="I24" s="31">
        <f t="shared" si="2"/>
        <v>216</v>
      </c>
      <c r="J24" s="9">
        <f>TAN(J$5)*$I24-(0.5*$B$24)*POWER($I24/($B$21*COS(J$5)), 2)</f>
        <v>29.351790562786228</v>
      </c>
      <c r="K24" s="9">
        <f t="shared" ref="K24:W24" si="4">TAN(K$5)*$I24-(0.5*$B$24)*POWER($I24/($B$21*COS(K$5)), 2)</f>
        <v>47.760308257607555</v>
      </c>
      <c r="L24" s="9">
        <f t="shared" si="4"/>
        <v>66.703953429431266</v>
      </c>
      <c r="M24" s="9">
        <f t="shared" si="4"/>
        <v>86.413046475653644</v>
      </c>
      <c r="N24" s="9">
        <f t="shared" si="4"/>
        <v>107.11294915248541</v>
      </c>
      <c r="O24" s="9">
        <f t="shared" si="4"/>
        <v>128.99444292670816</v>
      </c>
      <c r="P24" s="9">
        <f t="shared" si="4"/>
        <v>152.1300179654898</v>
      </c>
      <c r="Q24" s="9">
        <f t="shared" si="4"/>
        <v>176.24863107908644</v>
      </c>
      <c r="R24" s="9">
        <f t="shared" si="4"/>
        <v>200.11186028829383</v>
      </c>
      <c r="S24" s="9">
        <f t="shared" si="4"/>
        <v>219.6453560067086</v>
      </c>
      <c r="T24" s="9">
        <f t="shared" si="4"/>
        <v>221.56587050147363</v>
      </c>
      <c r="U24" s="9">
        <f t="shared" si="4"/>
        <v>156.70465535815993</v>
      </c>
      <c r="V24" s="9">
        <f t="shared" si="4"/>
        <v>-217.70480306130708</v>
      </c>
      <c r="W24" s="9">
        <f t="shared" si="4"/>
        <v>-3258.0796466124971</v>
      </c>
    </row>
    <row r="25" spans="1:23" x14ac:dyDescent="0.3">
      <c r="G25">
        <v>19</v>
      </c>
      <c r="I25" s="31">
        <f t="shared" si="2"/>
        <v>228</v>
      </c>
      <c r="J25" s="9">
        <f t="shared" ref="J25:W40" si="5">TAN(J$5)*$I25-(0.5*$B$24)*POWER($I25/($B$21*COS(J$5)), 2)</f>
        <v>28.093402937460894</v>
      </c>
      <c r="K25" s="9">
        <f t="shared" si="5"/>
        <v>47.307853863975964</v>
      </c>
      <c r="L25" s="9">
        <f t="shared" si="5"/>
        <v>67.008276800217487</v>
      </c>
      <c r="M25" s="9">
        <f t="shared" si="5"/>
        <v>87.411907533636793</v>
      </c>
      <c r="N25" s="9">
        <f t="shared" si="5"/>
        <v>108.71638814103606</v>
      </c>
      <c r="O25" s="9">
        <f t="shared" si="5"/>
        <v>131.05862313747423</v>
      </c>
      <c r="P25" s="9">
        <f t="shared" si="5"/>
        <v>154.4073448812814</v>
      </c>
      <c r="Q25" s="9">
        <f t="shared" si="5"/>
        <v>178.28591481444619</v>
      </c>
      <c r="R25" s="9">
        <f t="shared" si="5"/>
        <v>201.02483040065243</v>
      </c>
      <c r="S25" s="9">
        <f t="shared" si="5"/>
        <v>217.56455900200797</v>
      </c>
      <c r="T25" s="9">
        <f t="shared" si="5"/>
        <v>212.06676519009335</v>
      </c>
      <c r="U25" s="9">
        <f t="shared" si="5"/>
        <v>127.32729651244767</v>
      </c>
      <c r="V25" s="9">
        <f t="shared" si="5"/>
        <v>-314.40239041000882</v>
      </c>
      <c r="W25" s="9">
        <f t="shared" si="5"/>
        <v>-3774.9249601161855</v>
      </c>
    </row>
    <row r="26" spans="1:23" x14ac:dyDescent="0.3">
      <c r="G26" s="31">
        <v>20</v>
      </c>
      <c r="H26" s="31"/>
      <c r="I26" s="31">
        <f t="shared" si="2"/>
        <v>240</v>
      </c>
      <c r="J26" s="9">
        <f t="shared" si="5"/>
        <v>26.530905558810169</v>
      </c>
      <c r="K26" s="9">
        <f t="shared" si="5"/>
        <v>46.528472643777278</v>
      </c>
      <c r="L26" s="9">
        <f t="shared" si="5"/>
        <v>66.954552611031289</v>
      </c>
      <c r="M26" s="9">
        <f t="shared" si="5"/>
        <v>88.010572407807288</v>
      </c>
      <c r="N26" s="9">
        <f t="shared" si="5"/>
        <v>109.86221866550144</v>
      </c>
      <c r="O26" s="9">
        <f t="shared" si="5"/>
        <v>132.58573200828167</v>
      </c>
      <c r="P26" s="9">
        <f t="shared" si="5"/>
        <v>156.03474119191961</v>
      </c>
      <c r="Q26" s="9">
        <f t="shared" si="5"/>
        <v>179.50695572031702</v>
      </c>
      <c r="R26" s="9">
        <f t="shared" si="5"/>
        <v>200.8636578330939</v>
      </c>
      <c r="S26" s="9">
        <f t="shared" si="5"/>
        <v>213.98025496753354</v>
      </c>
      <c r="T26" s="9">
        <f t="shared" si="5"/>
        <v>200.27204721142459</v>
      </c>
      <c r="U26" s="9">
        <f t="shared" si="5"/>
        <v>93.941182610706164</v>
      </c>
      <c r="V26" s="9">
        <f t="shared" si="5"/>
        <v>-420.00554366055462</v>
      </c>
      <c r="W26" s="9">
        <f t="shared" si="5"/>
        <v>-4327.1219461137571</v>
      </c>
    </row>
    <row r="27" spans="1:23" x14ac:dyDescent="0.3">
      <c r="G27">
        <v>21</v>
      </c>
      <c r="I27" s="31">
        <f t="shared" si="2"/>
        <v>252</v>
      </c>
      <c r="J27" s="9">
        <f t="shared" si="5"/>
        <v>24.66429842683408</v>
      </c>
      <c r="K27" s="9">
        <f t="shared" si="5"/>
        <v>45.422164597011474</v>
      </c>
      <c r="L27" s="9">
        <f t="shared" si="5"/>
        <v>66.542780861872743</v>
      </c>
      <c r="M27" s="9">
        <f t="shared" si="5"/>
        <v>88.209041098165216</v>
      </c>
      <c r="N27" s="9">
        <f t="shared" si="5"/>
        <v>110.55044072588163</v>
      </c>
      <c r="O27" s="9">
        <f t="shared" si="5"/>
        <v>133.57576953913056</v>
      </c>
      <c r="P27" s="9">
        <f t="shared" si="5"/>
        <v>157.01220689740435</v>
      </c>
      <c r="Q27" s="9">
        <f t="shared" si="5"/>
        <v>179.9117537966988</v>
      </c>
      <c r="R27" s="9">
        <f t="shared" si="5"/>
        <v>199.62834258561819</v>
      </c>
      <c r="S27" s="9">
        <f t="shared" si="5"/>
        <v>208.8924439032852</v>
      </c>
      <c r="T27" s="9">
        <f t="shared" si="5"/>
        <v>186.1817165654673</v>
      </c>
      <c r="U27" s="9">
        <f t="shared" si="5"/>
        <v>56.546313652935964</v>
      </c>
      <c r="V27" s="9">
        <f t="shared" si="5"/>
        <v>-534.51426281294448</v>
      </c>
      <c r="W27" s="9">
        <f t="shared" si="5"/>
        <v>-4914.6706046052095</v>
      </c>
    </row>
    <row r="28" spans="1:23" x14ac:dyDescent="0.3">
      <c r="G28">
        <v>22</v>
      </c>
      <c r="I28" s="31">
        <f t="shared" si="2"/>
        <v>264</v>
      </c>
      <c r="J28" s="9">
        <f t="shared" si="5"/>
        <v>22.493581541532578</v>
      </c>
      <c r="K28" s="9">
        <f t="shared" si="5"/>
        <v>43.988929723678538</v>
      </c>
      <c r="L28" s="9">
        <f t="shared" si="5"/>
        <v>65.772961552741776</v>
      </c>
      <c r="M28" s="9">
        <f t="shared" si="5"/>
        <v>88.007313604710504</v>
      </c>
      <c r="N28" s="9">
        <f t="shared" si="5"/>
        <v>110.78105432217656</v>
      </c>
      <c r="O28" s="9">
        <f t="shared" si="5"/>
        <v>134.02873573002077</v>
      </c>
      <c r="P28" s="9">
        <f t="shared" si="5"/>
        <v>157.33974199773559</v>
      </c>
      <c r="Q28" s="9">
        <f t="shared" si="5"/>
        <v>179.50030904359173</v>
      </c>
      <c r="R28" s="9">
        <f t="shared" si="5"/>
        <v>197.31888465822527</v>
      </c>
      <c r="S28" s="9">
        <f t="shared" si="5"/>
        <v>202.30112580926323</v>
      </c>
      <c r="T28" s="9">
        <f t="shared" si="5"/>
        <v>169.79577325222181</v>
      </c>
      <c r="U28" s="9">
        <f t="shared" si="5"/>
        <v>15.142689639136393</v>
      </c>
      <c r="V28" s="9">
        <f t="shared" si="5"/>
        <v>-657.92854786717839</v>
      </c>
      <c r="W28" s="9">
        <f t="shared" si="5"/>
        <v>-5537.5709355905456</v>
      </c>
    </row>
    <row r="29" spans="1:23" x14ac:dyDescent="0.3">
      <c r="G29">
        <v>23</v>
      </c>
      <c r="I29" s="31">
        <f t="shared" si="2"/>
        <v>276</v>
      </c>
      <c r="J29" s="9">
        <f t="shared" si="5"/>
        <v>20.018754902905698</v>
      </c>
      <c r="K29" s="9">
        <f t="shared" si="5"/>
        <v>42.2287680237785</v>
      </c>
      <c r="L29" s="9">
        <f t="shared" si="5"/>
        <v>64.645094683638376</v>
      </c>
      <c r="M29" s="9">
        <f t="shared" si="5"/>
        <v>87.405389927443196</v>
      </c>
      <c r="N29" s="9">
        <f t="shared" si="5"/>
        <v>110.55405945438626</v>
      </c>
      <c r="O29" s="9">
        <f t="shared" si="5"/>
        <v>133.94463058095249</v>
      </c>
      <c r="P29" s="9">
        <f t="shared" si="5"/>
        <v>157.01734649291342</v>
      </c>
      <c r="Q29" s="9">
        <f t="shared" si="5"/>
        <v>178.27262146099571</v>
      </c>
      <c r="R29" s="9">
        <f t="shared" si="5"/>
        <v>193.93528405091524</v>
      </c>
      <c r="S29" s="9">
        <f t="shared" si="5"/>
        <v>194.20630068546734</v>
      </c>
      <c r="T29" s="9">
        <f t="shared" si="5"/>
        <v>151.11421727168761</v>
      </c>
      <c r="U29" s="9">
        <f t="shared" si="5"/>
        <v>-30.269689430692551</v>
      </c>
      <c r="V29" s="9">
        <f t="shared" si="5"/>
        <v>-790.24839882325637</v>
      </c>
      <c r="W29" s="9">
        <f t="shared" si="5"/>
        <v>-6195.8229390697616</v>
      </c>
    </row>
    <row r="30" spans="1:23" x14ac:dyDescent="0.3">
      <c r="G30">
        <v>24</v>
      </c>
      <c r="I30" s="31">
        <f t="shared" si="2"/>
        <v>288</v>
      </c>
      <c r="J30" s="9">
        <f t="shared" si="5"/>
        <v>17.239818510953398</v>
      </c>
      <c r="K30" s="9">
        <f t="shared" si="5"/>
        <v>40.141679497311358</v>
      </c>
      <c r="L30" s="9">
        <f t="shared" si="5"/>
        <v>63.159180254562656</v>
      </c>
      <c r="M30" s="9">
        <f t="shared" si="5"/>
        <v>86.40327006636322</v>
      </c>
      <c r="N30" s="9">
        <f t="shared" si="5"/>
        <v>109.8694561225108</v>
      </c>
      <c r="O30" s="9">
        <f t="shared" si="5"/>
        <v>133.32345409192561</v>
      </c>
      <c r="P30" s="9">
        <f t="shared" si="5"/>
        <v>156.04502038293776</v>
      </c>
      <c r="Q30" s="9">
        <f t="shared" si="5"/>
        <v>176.22869104891066</v>
      </c>
      <c r="R30" s="9">
        <f t="shared" si="5"/>
        <v>189.47754076368795</v>
      </c>
      <c r="S30" s="9">
        <f t="shared" si="5"/>
        <v>184.60796853189777</v>
      </c>
      <c r="T30" s="9">
        <f t="shared" si="5"/>
        <v>130.13704862386521</v>
      </c>
      <c r="U30" s="9">
        <f t="shared" si="5"/>
        <v>-79.690823556550185</v>
      </c>
      <c r="V30" s="9">
        <f t="shared" si="5"/>
        <v>-931.47381568117839</v>
      </c>
      <c r="W30" s="9">
        <f t="shared" si="5"/>
        <v>-6889.4266150428602</v>
      </c>
    </row>
    <row r="31" spans="1:23" x14ac:dyDescent="0.3">
      <c r="G31" s="31">
        <v>25</v>
      </c>
      <c r="H31" s="31"/>
      <c r="I31" s="31">
        <f t="shared" si="2"/>
        <v>300</v>
      </c>
      <c r="J31" s="9">
        <f t="shared" si="5"/>
        <v>14.156772365675707</v>
      </c>
      <c r="K31" s="9">
        <f t="shared" si="5"/>
        <v>37.727664144277114</v>
      </c>
      <c r="L31" s="9">
        <f t="shared" si="5"/>
        <v>61.315218265514474</v>
      </c>
      <c r="M31" s="9">
        <f t="shared" si="5"/>
        <v>85.00095402147069</v>
      </c>
      <c r="N31" s="9">
        <f t="shared" si="5"/>
        <v>108.72724432655002</v>
      </c>
      <c r="O31" s="9">
        <f t="shared" si="5"/>
        <v>132.16520626294013</v>
      </c>
      <c r="P31" s="9">
        <f t="shared" si="5"/>
        <v>154.42276366780865</v>
      </c>
      <c r="Q31" s="9">
        <f t="shared" si="5"/>
        <v>173.36851780733676</v>
      </c>
      <c r="R31" s="9">
        <f t="shared" si="5"/>
        <v>183.94565479654341</v>
      </c>
      <c r="S31" s="9">
        <f t="shared" si="5"/>
        <v>173.50612934855417</v>
      </c>
      <c r="T31" s="9">
        <f t="shared" si="5"/>
        <v>106.86426730875428</v>
      </c>
      <c r="U31" s="9">
        <f t="shared" si="5"/>
        <v>-133.12071273843708</v>
      </c>
      <c r="V31" s="9">
        <f t="shared" si="5"/>
        <v>-1081.6047984409443</v>
      </c>
      <c r="W31" s="9">
        <f t="shared" si="5"/>
        <v>-7618.3819635098425</v>
      </c>
    </row>
    <row r="32" spans="1:23" x14ac:dyDescent="0.3">
      <c r="G32">
        <v>26</v>
      </c>
      <c r="I32" s="31">
        <f t="shared" si="2"/>
        <v>312</v>
      </c>
      <c r="J32" s="9">
        <f t="shared" si="5"/>
        <v>10.769616467072666</v>
      </c>
      <c r="K32" s="9">
        <f t="shared" si="5"/>
        <v>34.986721964675738</v>
      </c>
      <c r="L32" s="9">
        <f t="shared" si="5"/>
        <v>59.113208716493929</v>
      </c>
      <c r="M32" s="9">
        <f t="shared" si="5"/>
        <v>83.198441792765522</v>
      </c>
      <c r="N32" s="9">
        <f t="shared" si="5"/>
        <v>107.12742406650409</v>
      </c>
      <c r="O32" s="9">
        <f t="shared" si="5"/>
        <v>130.46988709399602</v>
      </c>
      <c r="P32" s="9">
        <f t="shared" si="5"/>
        <v>152.15057634752617</v>
      </c>
      <c r="Q32" s="9">
        <f t="shared" si="5"/>
        <v>169.69210173627386</v>
      </c>
      <c r="R32" s="9">
        <f t="shared" si="5"/>
        <v>177.33962614948183</v>
      </c>
      <c r="S32" s="9">
        <f t="shared" si="5"/>
        <v>160.90078313543694</v>
      </c>
      <c r="T32" s="9">
        <f t="shared" si="5"/>
        <v>81.295873326355036</v>
      </c>
      <c r="U32" s="9">
        <f t="shared" si="5"/>
        <v>-190.55935697635368</v>
      </c>
      <c r="V32" s="9">
        <f t="shared" si="5"/>
        <v>-1240.6413471025544</v>
      </c>
      <c r="W32" s="9">
        <f t="shared" si="5"/>
        <v>-8382.6889844707075</v>
      </c>
    </row>
    <row r="33" spans="7:23" x14ac:dyDescent="0.3">
      <c r="G33">
        <v>27</v>
      </c>
      <c r="I33" s="31">
        <f t="shared" si="2"/>
        <v>324</v>
      </c>
      <c r="J33" s="9">
        <f t="shared" si="5"/>
        <v>7.0783508151442049</v>
      </c>
      <c r="K33" s="9">
        <f t="shared" si="5"/>
        <v>31.91885295850723</v>
      </c>
      <c r="L33" s="9">
        <f t="shared" si="5"/>
        <v>56.553151607501007</v>
      </c>
      <c r="M33" s="9">
        <f t="shared" si="5"/>
        <v>80.995733380247714</v>
      </c>
      <c r="N33" s="9">
        <f t="shared" si="5"/>
        <v>105.06999534237283</v>
      </c>
      <c r="O33" s="9">
        <f t="shared" si="5"/>
        <v>128.23749658509334</v>
      </c>
      <c r="P33" s="9">
        <f t="shared" si="5"/>
        <v>149.22845842209003</v>
      </c>
      <c r="Q33" s="9">
        <f t="shared" si="5"/>
        <v>165.19944283572192</v>
      </c>
      <c r="R33" s="9">
        <f t="shared" si="5"/>
        <v>169.65945482250299</v>
      </c>
      <c r="S33" s="9">
        <f t="shared" si="5"/>
        <v>146.79192989254591</v>
      </c>
      <c r="T33" s="9">
        <f t="shared" si="5"/>
        <v>53.431866676667028</v>
      </c>
      <c r="U33" s="9">
        <f t="shared" si="5"/>
        <v>-252.00675627029864</v>
      </c>
      <c r="V33" s="9">
        <f t="shared" si="5"/>
        <v>-1408.5834616660084</v>
      </c>
      <c r="W33" s="9">
        <f t="shared" si="5"/>
        <v>-9182.3476779254597</v>
      </c>
    </row>
    <row r="34" spans="7:23" x14ac:dyDescent="0.3">
      <c r="G34">
        <v>28</v>
      </c>
      <c r="I34" s="31">
        <f t="shared" si="2"/>
        <v>336</v>
      </c>
      <c r="J34" s="9">
        <f t="shared" si="5"/>
        <v>3.0829754098903379</v>
      </c>
      <c r="K34" s="9">
        <f t="shared" si="5"/>
        <v>28.524057125771634</v>
      </c>
      <c r="L34" s="9">
        <f t="shared" si="5"/>
        <v>53.635046938535652</v>
      </c>
      <c r="M34" s="9">
        <f t="shared" si="5"/>
        <v>78.392828783917309</v>
      </c>
      <c r="N34" s="9">
        <f t="shared" si="5"/>
        <v>102.55495815415642</v>
      </c>
      <c r="O34" s="9">
        <f t="shared" si="5"/>
        <v>125.46803473623211</v>
      </c>
      <c r="P34" s="9">
        <f t="shared" si="5"/>
        <v>145.6564098915006</v>
      </c>
      <c r="Q34" s="9">
        <f t="shared" si="5"/>
        <v>159.89054110568111</v>
      </c>
      <c r="R34" s="9">
        <f t="shared" si="5"/>
        <v>160.90514081560696</v>
      </c>
      <c r="S34" s="9">
        <f t="shared" si="5"/>
        <v>131.17956961988114</v>
      </c>
      <c r="T34" s="9">
        <f t="shared" si="5"/>
        <v>23.27224735969105</v>
      </c>
      <c r="U34" s="9">
        <f t="shared" si="5"/>
        <v>-317.46291062027285</v>
      </c>
      <c r="V34" s="9">
        <f t="shared" si="5"/>
        <v>-1585.4311421313075</v>
      </c>
      <c r="W34" s="9">
        <f t="shared" si="5"/>
        <v>-10017.358043874086</v>
      </c>
    </row>
    <row r="35" spans="7:23" x14ac:dyDescent="0.3">
      <c r="G35">
        <v>29</v>
      </c>
      <c r="I35" s="31">
        <f t="shared" si="2"/>
        <v>348</v>
      </c>
      <c r="J35" s="9">
        <f t="shared" si="5"/>
        <v>-1.2165097486888783</v>
      </c>
      <c r="K35" s="9">
        <f t="shared" si="5"/>
        <v>24.80233446646892</v>
      </c>
      <c r="L35" s="9">
        <f t="shared" si="5"/>
        <v>50.358894709597934</v>
      </c>
      <c r="M35" s="9">
        <f t="shared" si="5"/>
        <v>75.389728003774309</v>
      </c>
      <c r="N35" s="9">
        <f t="shared" si="5"/>
        <v>99.582312501854773</v>
      </c>
      <c r="O35" s="9">
        <f t="shared" si="5"/>
        <v>122.16150154741226</v>
      </c>
      <c r="P35" s="9">
        <f t="shared" si="5"/>
        <v>141.43443075575766</v>
      </c>
      <c r="Q35" s="9">
        <f t="shared" si="5"/>
        <v>153.76539654615141</v>
      </c>
      <c r="R35" s="9">
        <f t="shared" si="5"/>
        <v>151.07668412879377</v>
      </c>
      <c r="S35" s="9">
        <f t="shared" si="5"/>
        <v>114.06370231744222</v>
      </c>
      <c r="T35" s="9">
        <f t="shared" si="5"/>
        <v>-9.182984624573578</v>
      </c>
      <c r="U35" s="9">
        <f t="shared" si="5"/>
        <v>-386.92782002627632</v>
      </c>
      <c r="V35" s="9">
        <f t="shared" si="5"/>
        <v>-1771.1843884984489</v>
      </c>
      <c r="W35" s="9">
        <f t="shared" si="5"/>
        <v>-10887.720082316602</v>
      </c>
    </row>
    <row r="36" spans="7:23" x14ac:dyDescent="0.3">
      <c r="G36" s="31">
        <v>30</v>
      </c>
      <c r="H36" s="31"/>
      <c r="I36" s="31">
        <f t="shared" si="2"/>
        <v>360</v>
      </c>
      <c r="J36" s="9">
        <f t="shared" si="5"/>
        <v>-5.8201046605935289</v>
      </c>
      <c r="K36" s="9">
        <f t="shared" si="5"/>
        <v>20.753684980599104</v>
      </c>
      <c r="L36" s="9">
        <f t="shared" si="5"/>
        <v>46.724694920687767</v>
      </c>
      <c r="M36" s="9">
        <f t="shared" si="5"/>
        <v>71.986431039818683</v>
      </c>
      <c r="N36" s="9">
        <f t="shared" si="5"/>
        <v>96.15205838546791</v>
      </c>
      <c r="O36" s="9">
        <f t="shared" si="5"/>
        <v>118.31789701863386</v>
      </c>
      <c r="P36" s="9">
        <f t="shared" si="5"/>
        <v>136.56252101486132</v>
      </c>
      <c r="Q36" s="9">
        <f t="shared" si="5"/>
        <v>146.82400915713259</v>
      </c>
      <c r="R36" s="9">
        <f t="shared" si="5"/>
        <v>140.17408476206344</v>
      </c>
      <c r="S36" s="9">
        <f t="shared" si="5"/>
        <v>95.444327985229847</v>
      </c>
      <c r="T36" s="9">
        <f t="shared" si="5"/>
        <v>-43.933829276126971</v>
      </c>
      <c r="U36" s="9">
        <f t="shared" si="5"/>
        <v>-460.40148448830882</v>
      </c>
      <c r="V36" s="9">
        <f t="shared" si="5"/>
        <v>-1965.843200767436</v>
      </c>
      <c r="W36" s="9">
        <f t="shared" si="5"/>
        <v>-11793.433793252992</v>
      </c>
    </row>
    <row r="37" spans="7:23" x14ac:dyDescent="0.3">
      <c r="G37">
        <v>31</v>
      </c>
      <c r="I37" s="31">
        <f t="shared" si="2"/>
        <v>372</v>
      </c>
      <c r="J37" s="9">
        <f t="shared" si="5"/>
        <v>-10.727809325823529</v>
      </c>
      <c r="K37" s="9">
        <f t="shared" si="5"/>
        <v>16.378108668162213</v>
      </c>
      <c r="L37" s="9">
        <f t="shared" si="5"/>
        <v>42.732447571805295</v>
      </c>
      <c r="M37" s="9">
        <f t="shared" si="5"/>
        <v>68.182937892050461</v>
      </c>
      <c r="N37" s="9">
        <f t="shared" si="5"/>
        <v>92.264195804995779</v>
      </c>
      <c r="O37" s="9">
        <f t="shared" si="5"/>
        <v>113.93722114989669</v>
      </c>
      <c r="P37" s="9">
        <f t="shared" si="5"/>
        <v>131.04068066881155</v>
      </c>
      <c r="Q37" s="9">
        <f t="shared" si="5"/>
        <v>139.06637893862495</v>
      </c>
      <c r="R37" s="9">
        <f t="shared" si="5"/>
        <v>128.19734271541597</v>
      </c>
      <c r="S37" s="9">
        <f t="shared" si="5"/>
        <v>75.321446623243673</v>
      </c>
      <c r="T37" s="9">
        <f t="shared" si="5"/>
        <v>-80.98028659496822</v>
      </c>
      <c r="U37" s="9">
        <f t="shared" si="5"/>
        <v>-537.88390400637036</v>
      </c>
      <c r="V37" s="9">
        <f t="shared" si="5"/>
        <v>-2169.4075789382655</v>
      </c>
      <c r="W37" s="9">
        <f t="shared" si="5"/>
        <v>-12734.499176683265</v>
      </c>
    </row>
    <row r="38" spans="7:23" x14ac:dyDescent="0.3">
      <c r="G38">
        <v>32</v>
      </c>
      <c r="I38" s="31">
        <f t="shared" si="2"/>
        <v>384</v>
      </c>
      <c r="J38" s="9">
        <f t="shared" si="5"/>
        <v>-15.939623744378963</v>
      </c>
      <c r="K38" s="9">
        <f t="shared" si="5"/>
        <v>11.675605529158133</v>
      </c>
      <c r="L38" s="9">
        <f t="shared" si="5"/>
        <v>38.382152662950404</v>
      </c>
      <c r="M38" s="9">
        <f t="shared" si="5"/>
        <v>63.979248560469614</v>
      </c>
      <c r="N38" s="9">
        <f t="shared" si="5"/>
        <v>87.918724760438494</v>
      </c>
      <c r="O38" s="9">
        <f t="shared" si="5"/>
        <v>109.01947394120106</v>
      </c>
      <c r="P38" s="9">
        <f t="shared" si="5"/>
        <v>124.86890971760823</v>
      </c>
      <c r="Q38" s="9">
        <f t="shared" si="5"/>
        <v>130.49250589062842</v>
      </c>
      <c r="R38" s="9">
        <f t="shared" si="5"/>
        <v>115.14645798885113</v>
      </c>
      <c r="S38" s="9">
        <f t="shared" si="5"/>
        <v>53.695058231483586</v>
      </c>
      <c r="T38" s="9">
        <f t="shared" si="5"/>
        <v>-120.32235658109767</v>
      </c>
      <c r="U38" s="9">
        <f t="shared" si="5"/>
        <v>-619.37507858046138</v>
      </c>
      <c r="V38" s="9">
        <f t="shared" si="5"/>
        <v>-2381.8775230109404</v>
      </c>
      <c r="W38" s="9">
        <f t="shared" si="5"/>
        <v>-13710.916232607429</v>
      </c>
    </row>
    <row r="39" spans="7:23" x14ac:dyDescent="0.3">
      <c r="G39">
        <v>33</v>
      </c>
      <c r="I39" s="31">
        <f t="shared" si="2"/>
        <v>396</v>
      </c>
      <c r="J39" s="9">
        <f t="shared" si="5"/>
        <v>-21.455547916259775</v>
      </c>
      <c r="K39" s="9">
        <f t="shared" si="5"/>
        <v>6.6461755635870077</v>
      </c>
      <c r="L39" s="9">
        <f t="shared" si="5"/>
        <v>33.673810194123092</v>
      </c>
      <c r="M39" s="9">
        <f t="shared" si="5"/>
        <v>59.375363045076028</v>
      </c>
      <c r="N39" s="9">
        <f t="shared" si="5"/>
        <v>83.115645251795854</v>
      </c>
      <c r="O39" s="9">
        <f t="shared" si="5"/>
        <v>103.56465539254685</v>
      </c>
      <c r="P39" s="9">
        <f t="shared" si="5"/>
        <v>118.04720816125155</v>
      </c>
      <c r="Q39" s="9">
        <f t="shared" si="5"/>
        <v>121.10239001314278</v>
      </c>
      <c r="R39" s="9">
        <f t="shared" si="5"/>
        <v>101.02143058236925</v>
      </c>
      <c r="S39" s="9">
        <f t="shared" si="5"/>
        <v>30.56516280994947</v>
      </c>
      <c r="T39" s="9">
        <f t="shared" si="5"/>
        <v>-161.96003923451644</v>
      </c>
      <c r="U39" s="9">
        <f t="shared" si="5"/>
        <v>-704.87500821058097</v>
      </c>
      <c r="V39" s="9">
        <f t="shared" si="5"/>
        <v>-2603.2530329854576</v>
      </c>
      <c r="W39" s="9">
        <f t="shared" si="5"/>
        <v>-14722.684961025469</v>
      </c>
    </row>
    <row r="40" spans="7:23" x14ac:dyDescent="0.3">
      <c r="G40">
        <v>34</v>
      </c>
      <c r="I40" s="31">
        <f t="shared" si="2"/>
        <v>408</v>
      </c>
      <c r="J40" s="9">
        <f t="shared" si="5"/>
        <v>-27.275581841465964</v>
      </c>
      <c r="K40" s="9">
        <f t="shared" si="5"/>
        <v>1.2898187714486937</v>
      </c>
      <c r="L40" s="9">
        <f t="shared" si="5"/>
        <v>28.607420165323333</v>
      </c>
      <c r="M40" s="9">
        <f t="shared" si="5"/>
        <v>54.371281345870017</v>
      </c>
      <c r="N40" s="9">
        <f t="shared" si="5"/>
        <v>77.85495727906806</v>
      </c>
      <c r="O40" s="9">
        <f t="shared" si="5"/>
        <v>97.572765503934079</v>
      </c>
      <c r="P40" s="9">
        <f t="shared" si="5"/>
        <v>110.57557599974126</v>
      </c>
      <c r="Q40" s="9">
        <f t="shared" si="5"/>
        <v>110.89603130616831</v>
      </c>
      <c r="R40" s="9">
        <f t="shared" si="5"/>
        <v>85.82226049597034</v>
      </c>
      <c r="S40" s="9">
        <f t="shared" si="5"/>
        <v>5.9317603586418954</v>
      </c>
      <c r="T40" s="9">
        <f t="shared" si="5"/>
        <v>-205.89333455522296</v>
      </c>
      <c r="U40" s="9">
        <f t="shared" si="5"/>
        <v>-794.38369289673005</v>
      </c>
      <c r="V40" s="9">
        <f t="shared" si="5"/>
        <v>-2833.5341088618202</v>
      </c>
      <c r="W40" s="9">
        <f t="shared" si="5"/>
        <v>-15769.805361937395</v>
      </c>
    </row>
    <row r="41" spans="7:23" x14ac:dyDescent="0.3">
      <c r="G41">
        <v>35</v>
      </c>
      <c r="I41" s="31">
        <f t="shared" si="2"/>
        <v>420</v>
      </c>
      <c r="J41" s="9">
        <f t="shared" ref="J41:W46" si="6">TAN(J$5)*$I41-(0.5*$B$24)*POWER($I41/($B$21*COS(J$5)), 2)</f>
        <v>-33.39972551999756</v>
      </c>
      <c r="K41" s="9">
        <f t="shared" si="6"/>
        <v>-4.3934648472566948</v>
      </c>
      <c r="L41" s="9">
        <f t="shared" si="6"/>
        <v>23.18298257655124</v>
      </c>
      <c r="M41" s="9">
        <f t="shared" si="6"/>
        <v>48.967003462851238</v>
      </c>
      <c r="N41" s="9">
        <f t="shared" si="6"/>
        <v>72.136660842255026</v>
      </c>
      <c r="O41" s="9">
        <f t="shared" si="6"/>
        <v>91.043804275362675</v>
      </c>
      <c r="P41" s="9">
        <f t="shared" si="6"/>
        <v>102.45401323307766</v>
      </c>
      <c r="Q41" s="9">
        <f t="shared" si="6"/>
        <v>99.873429769704671</v>
      </c>
      <c r="R41" s="9">
        <f t="shared" si="6"/>
        <v>69.548947729653946</v>
      </c>
      <c r="S41" s="9">
        <f t="shared" si="6"/>
        <v>-20.205149122439593</v>
      </c>
      <c r="T41" s="9">
        <f t="shared" si="6"/>
        <v>-252.12224254321791</v>
      </c>
      <c r="U41" s="9">
        <f t="shared" si="6"/>
        <v>-887.90113263890839</v>
      </c>
      <c r="V41" s="9">
        <f t="shared" si="6"/>
        <v>-3072.7207506400264</v>
      </c>
      <c r="W41" s="9">
        <f t="shared" si="6"/>
        <v>-16852.277435343196</v>
      </c>
    </row>
    <row r="42" spans="7:23" x14ac:dyDescent="0.3">
      <c r="G42">
        <v>36</v>
      </c>
      <c r="I42" s="31">
        <f t="shared" si="2"/>
        <v>432</v>
      </c>
      <c r="J42" s="9">
        <f t="shared" si="6"/>
        <v>-39.827978951854504</v>
      </c>
      <c r="K42" s="9">
        <f t="shared" si="6"/>
        <v>-10.403675292529158</v>
      </c>
      <c r="L42" s="9">
        <f t="shared" si="6"/>
        <v>17.400497427806783</v>
      </c>
      <c r="M42" s="9">
        <f t="shared" si="6"/>
        <v>43.162529396019977</v>
      </c>
      <c r="N42" s="9">
        <f t="shared" si="6"/>
        <v>65.960755941356751</v>
      </c>
      <c r="O42" s="9">
        <f t="shared" si="6"/>
        <v>83.977771706832698</v>
      </c>
      <c r="P42" s="9">
        <f t="shared" si="6"/>
        <v>93.682519861260459</v>
      </c>
      <c r="Q42" s="9">
        <f t="shared" si="6"/>
        <v>88.034585403752317</v>
      </c>
      <c r="R42" s="9">
        <f t="shared" si="6"/>
        <v>52.201492283420521</v>
      </c>
      <c r="S42" s="9">
        <f t="shared" si="6"/>
        <v>-47.845565633294882</v>
      </c>
      <c r="T42" s="9">
        <f t="shared" si="6"/>
        <v>-300.64676319850196</v>
      </c>
      <c r="U42" s="9">
        <f t="shared" si="6"/>
        <v>-985.42732743711554</v>
      </c>
      <c r="V42" s="9">
        <f t="shared" si="6"/>
        <v>-3320.8129583200775</v>
      </c>
      <c r="W42" s="9">
        <f t="shared" si="6"/>
        <v>-17970.101181242891</v>
      </c>
    </row>
    <row r="43" spans="7:23" x14ac:dyDescent="0.3">
      <c r="G43">
        <v>37</v>
      </c>
      <c r="I43" s="31">
        <f t="shared" si="2"/>
        <v>444</v>
      </c>
      <c r="J43" s="9">
        <f t="shared" si="6"/>
        <v>-46.56034213703694</v>
      </c>
      <c r="K43" s="9">
        <f t="shared" si="6"/>
        <v>-16.740812564368753</v>
      </c>
      <c r="L43" s="9">
        <f t="shared" si="6"/>
        <v>11.259964719089879</v>
      </c>
      <c r="M43" s="9">
        <f t="shared" si="6"/>
        <v>36.957859145376005</v>
      </c>
      <c r="N43" s="9">
        <f t="shared" si="6"/>
        <v>59.327242576373294</v>
      </c>
      <c r="O43" s="9">
        <f t="shared" si="6"/>
        <v>76.374667798344149</v>
      </c>
      <c r="P43" s="9">
        <f t="shared" si="6"/>
        <v>84.26109588429</v>
      </c>
      <c r="Q43" s="9">
        <f t="shared" si="6"/>
        <v>75.379498208310906</v>
      </c>
      <c r="R43" s="9">
        <f t="shared" si="6"/>
        <v>33.779894157269837</v>
      </c>
      <c r="S43" s="9">
        <f t="shared" si="6"/>
        <v>-76.989489173923971</v>
      </c>
      <c r="T43" s="9">
        <f t="shared" si="6"/>
        <v>-351.46689652107375</v>
      </c>
      <c r="U43" s="9">
        <f t="shared" si="6"/>
        <v>-1086.9622772913515</v>
      </c>
      <c r="V43" s="9">
        <f t="shared" si="6"/>
        <v>-3577.81073190197</v>
      </c>
      <c r="W43" s="9">
        <f t="shared" si="6"/>
        <v>-19123.276599636458</v>
      </c>
    </row>
    <row r="44" spans="7:23" x14ac:dyDescent="0.3">
      <c r="G44">
        <v>38</v>
      </c>
      <c r="I44" s="31">
        <f t="shared" si="2"/>
        <v>456</v>
      </c>
      <c r="J44" s="9">
        <f t="shared" si="6"/>
        <v>-53.596815075544697</v>
      </c>
      <c r="K44" s="9">
        <f t="shared" si="6"/>
        <v>-23.404876662775507</v>
      </c>
      <c r="L44" s="9">
        <f t="shared" si="6"/>
        <v>4.7613844504006124</v>
      </c>
      <c r="M44" s="9">
        <f t="shared" si="6"/>
        <v>30.352992710919523</v>
      </c>
      <c r="N44" s="9">
        <f t="shared" si="6"/>
        <v>52.236120747304597</v>
      </c>
      <c r="O44" s="9">
        <f t="shared" si="6"/>
        <v>68.234492549896913</v>
      </c>
      <c r="P44" s="9">
        <f t="shared" si="6"/>
        <v>74.189741302165942</v>
      </c>
      <c r="Q44" s="9">
        <f t="shared" si="6"/>
        <v>61.908168183380553</v>
      </c>
      <c r="R44" s="9">
        <f t="shared" si="6"/>
        <v>14.284153351201894</v>
      </c>
      <c r="S44" s="9">
        <f t="shared" si="6"/>
        <v>-107.63691974432686</v>
      </c>
      <c r="T44" s="9">
        <f t="shared" si="6"/>
        <v>-404.58264251093397</v>
      </c>
      <c r="U44" s="9">
        <f t="shared" si="6"/>
        <v>-1192.5059822016176</v>
      </c>
      <c r="V44" s="9">
        <f t="shared" si="6"/>
        <v>-3843.7140713857093</v>
      </c>
      <c r="W44" s="9">
        <f t="shared" si="6"/>
        <v>-20311.803690523917</v>
      </c>
    </row>
    <row r="45" spans="7:23" x14ac:dyDescent="0.3">
      <c r="G45">
        <v>39</v>
      </c>
      <c r="I45" s="31">
        <f t="shared" si="2"/>
        <v>468</v>
      </c>
      <c r="J45" s="9">
        <f t="shared" si="6"/>
        <v>-60.937397767377803</v>
      </c>
      <c r="K45" s="9">
        <f t="shared" si="6"/>
        <v>-30.395867587749251</v>
      </c>
      <c r="L45" s="9">
        <f t="shared" si="6"/>
        <v>-2.0952433782609887</v>
      </c>
      <c r="M45" s="9">
        <f t="shared" si="6"/>
        <v>23.347930092650302</v>
      </c>
      <c r="N45" s="9">
        <f t="shared" si="6"/>
        <v>44.687390454150659</v>
      </c>
      <c r="O45" s="9">
        <f t="shared" si="6"/>
        <v>59.557245961491105</v>
      </c>
      <c r="P45" s="9">
        <f t="shared" si="6"/>
        <v>63.468456114888511</v>
      </c>
      <c r="Q45" s="9">
        <f t="shared" si="6"/>
        <v>47.620595328961258</v>
      </c>
      <c r="R45" s="9">
        <f t="shared" si="6"/>
        <v>-6.2857301347830798</v>
      </c>
      <c r="S45" s="9">
        <f t="shared" si="6"/>
        <v>-139.78785734450355</v>
      </c>
      <c r="T45" s="9">
        <f t="shared" si="6"/>
        <v>-459.99400116808306</v>
      </c>
      <c r="U45" s="9">
        <f t="shared" si="6"/>
        <v>-1302.0584421679121</v>
      </c>
      <c r="V45" s="9">
        <f t="shared" si="6"/>
        <v>-4118.5229767712917</v>
      </c>
      <c r="W45" s="9">
        <f t="shared" si="6"/>
        <v>-21535.68245390525</v>
      </c>
    </row>
    <row r="46" spans="7:23" x14ac:dyDescent="0.3">
      <c r="G46">
        <v>40</v>
      </c>
      <c r="I46" s="31">
        <f t="shared" si="2"/>
        <v>480</v>
      </c>
      <c r="J46" s="9">
        <f t="shared" si="6"/>
        <v>-68.582090212536457</v>
      </c>
      <c r="K46" s="9">
        <f t="shared" si="6"/>
        <v>-37.713785339290212</v>
      </c>
      <c r="L46" s="9">
        <f t="shared" si="6"/>
        <v>-9.3099187668951799</v>
      </c>
      <c r="M46" s="9">
        <f t="shared" si="6"/>
        <v>15.942671290568512</v>
      </c>
      <c r="N46" s="9">
        <f t="shared" si="6"/>
        <v>36.681051696911425</v>
      </c>
      <c r="O46" s="9">
        <f t="shared" si="6"/>
        <v>50.342928033126725</v>
      </c>
      <c r="P46" s="9">
        <f t="shared" si="6"/>
        <v>52.097240322457651</v>
      </c>
      <c r="Q46" s="9">
        <f t="shared" si="6"/>
        <v>32.516779645053134</v>
      </c>
      <c r="R46" s="9">
        <f t="shared" si="6"/>
        <v>-27.929756300685312</v>
      </c>
      <c r="S46" s="9">
        <f t="shared" si="6"/>
        <v>-173.44230197445404</v>
      </c>
      <c r="T46" s="9">
        <f t="shared" si="6"/>
        <v>-517.70097249252012</v>
      </c>
      <c r="U46" s="9">
        <f t="shared" si="6"/>
        <v>-1415.6196571902367</v>
      </c>
      <c r="V46" s="9">
        <f t="shared" si="6"/>
        <v>-4402.2374480587177</v>
      </c>
      <c r="W46" s="9">
        <f t="shared" si="6"/>
        <v>-22794.912889780473</v>
      </c>
    </row>
  </sheetData>
  <conditionalFormatting sqref="J6:W46">
    <cfRule type="cellIs" dxfId="0" priority="1" operator="between">
      <formula>68</formula>
      <formula>80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2D1B9-AB1F-4E81-B4BB-AF8902B9204F}">
  <dimension ref="A1:E7"/>
  <sheetViews>
    <sheetView workbookViewId="0">
      <selection activeCell="C7" sqref="C7"/>
    </sheetView>
  </sheetViews>
  <sheetFormatPr defaultRowHeight="14.4" x14ac:dyDescent="0.3"/>
  <sheetData>
    <row r="1" spans="1:5" x14ac:dyDescent="0.3">
      <c r="A1" t="s">
        <v>62</v>
      </c>
    </row>
    <row r="2" spans="1:5" x14ac:dyDescent="0.3">
      <c r="A2" t="s">
        <v>44</v>
      </c>
      <c r="B2" t="s">
        <v>61</v>
      </c>
    </row>
    <row r="3" spans="1:5" x14ac:dyDescent="0.3">
      <c r="A3">
        <v>33</v>
      </c>
      <c r="B3">
        <v>0.95</v>
      </c>
      <c r="C3" t="s">
        <v>63</v>
      </c>
      <c r="E3" t="s">
        <v>64</v>
      </c>
    </row>
    <row r="4" spans="1:5" x14ac:dyDescent="0.3">
      <c r="A4">
        <v>28</v>
      </c>
      <c r="B4">
        <v>0.83</v>
      </c>
      <c r="C4" t="s">
        <v>66</v>
      </c>
      <c r="E4" t="s">
        <v>65</v>
      </c>
    </row>
    <row r="5" spans="1:5" x14ac:dyDescent="0.3">
      <c r="A5">
        <v>28</v>
      </c>
      <c r="B5">
        <v>0.9</v>
      </c>
      <c r="C5" t="s">
        <v>67</v>
      </c>
    </row>
    <row r="6" spans="1:5" x14ac:dyDescent="0.3">
      <c r="A6">
        <v>28</v>
      </c>
      <c r="B6">
        <v>0.92</v>
      </c>
      <c r="C6" t="s">
        <v>68</v>
      </c>
    </row>
    <row r="7" spans="1:5" x14ac:dyDescent="0.3">
      <c r="A7">
        <v>28</v>
      </c>
      <c r="B7">
        <v>0.91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D84D8-D7E0-465A-92B3-61F1DC1412F6}">
  <dimension ref="A1:J15"/>
  <sheetViews>
    <sheetView workbookViewId="0">
      <selection activeCell="I13" sqref="I13"/>
    </sheetView>
  </sheetViews>
  <sheetFormatPr defaultRowHeight="14.4" x14ac:dyDescent="0.3"/>
  <cols>
    <col min="3" max="3" width="14.5546875" customWidth="1"/>
  </cols>
  <sheetData>
    <row r="1" spans="1:10" x14ac:dyDescent="0.3">
      <c r="A1" t="s">
        <v>48</v>
      </c>
    </row>
    <row r="3" spans="1:10" ht="18" x14ac:dyDescent="0.35">
      <c r="A3" s="1" t="s">
        <v>52</v>
      </c>
      <c r="G3" s="1" t="s">
        <v>56</v>
      </c>
    </row>
    <row r="5" spans="1:10" ht="15.6" x14ac:dyDescent="0.3">
      <c r="A5" s="2" t="s">
        <v>53</v>
      </c>
      <c r="B5" s="12">
        <v>30</v>
      </c>
      <c r="C5" t="s">
        <v>4</v>
      </c>
      <c r="H5" s="27" t="s">
        <v>60</v>
      </c>
    </row>
    <row r="6" spans="1:10" x14ac:dyDescent="0.3">
      <c r="A6" s="2" t="s">
        <v>54</v>
      </c>
      <c r="B6" s="12">
        <v>30</v>
      </c>
      <c r="C6" t="s">
        <v>4</v>
      </c>
      <c r="H6" t="s">
        <v>5</v>
      </c>
      <c r="I6" s="10">
        <f>ATAN((D11-B5/2)/D13)*57.2958</f>
        <v>21.088242348926485</v>
      </c>
      <c r="J6" t="s">
        <v>42</v>
      </c>
    </row>
    <row r="7" spans="1:10" x14ac:dyDescent="0.3">
      <c r="H7" t="s">
        <v>44</v>
      </c>
      <c r="I7" s="10">
        <f>SQRT((D11-B5/2)^2+D13^2)</f>
        <v>221.39756209136542</v>
      </c>
      <c r="J7" t="s">
        <v>4</v>
      </c>
    </row>
    <row r="8" spans="1:10" x14ac:dyDescent="0.3">
      <c r="I8" s="10">
        <f>ROUND(I7/12,1)</f>
        <v>18.399999999999999</v>
      </c>
      <c r="J8" t="s">
        <v>3</v>
      </c>
    </row>
    <row r="9" spans="1:10" ht="18" x14ac:dyDescent="0.35">
      <c r="A9" s="1" t="s">
        <v>55</v>
      </c>
    </row>
    <row r="10" spans="1:10" x14ac:dyDescent="0.3">
      <c r="H10" s="2" t="s">
        <v>59</v>
      </c>
    </row>
    <row r="11" spans="1:10" x14ac:dyDescent="0.3">
      <c r="A11" s="2" t="s">
        <v>49</v>
      </c>
      <c r="D11" s="12">
        <v>94.66</v>
      </c>
      <c r="E11" t="s">
        <v>4</v>
      </c>
      <c r="H11" t="s">
        <v>5</v>
      </c>
      <c r="I11" s="10">
        <f>ATAN((D11-B5/2)/(D13+D14-D15-B6))*57.2958</f>
        <v>8.6904758463773213</v>
      </c>
      <c r="J11" t="s">
        <v>42</v>
      </c>
    </row>
    <row r="12" spans="1:10" x14ac:dyDescent="0.3">
      <c r="A12" s="2" t="s">
        <v>50</v>
      </c>
      <c r="D12" s="12">
        <v>120</v>
      </c>
      <c r="E12" t="s">
        <v>4</v>
      </c>
      <c r="H12" t="s">
        <v>44</v>
      </c>
      <c r="I12" s="10">
        <f>SQRT((D11-B5/2)^2+(D13+D14-D15-B6)^2)</f>
        <v>527.21291827875382</v>
      </c>
      <c r="J12" t="s">
        <v>4</v>
      </c>
    </row>
    <row r="13" spans="1:10" x14ac:dyDescent="0.3">
      <c r="A13" s="2" t="s">
        <v>51</v>
      </c>
      <c r="D13" s="12">
        <v>206.57</v>
      </c>
      <c r="E13" t="s">
        <v>4</v>
      </c>
      <c r="I13" s="10">
        <f>I12/12</f>
        <v>43.934409856562816</v>
      </c>
      <c r="J13" t="s">
        <v>3</v>
      </c>
    </row>
    <row r="14" spans="1:10" x14ac:dyDescent="0.3">
      <c r="A14" s="2" t="s">
        <v>57</v>
      </c>
      <c r="D14" s="12">
        <v>374.59</v>
      </c>
      <c r="E14" t="s">
        <v>4</v>
      </c>
    </row>
    <row r="15" spans="1:10" x14ac:dyDescent="0.3">
      <c r="A15" s="2" t="s">
        <v>58</v>
      </c>
      <c r="D15" s="12">
        <v>30</v>
      </c>
      <c r="E15" t="s">
        <v>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7A684-C6B9-48D0-BA62-41E5059F4BE2}">
  <dimension ref="A1:P75"/>
  <sheetViews>
    <sheetView topLeftCell="A4" workbookViewId="0">
      <selection activeCell="D28" sqref="D28:D30"/>
    </sheetView>
  </sheetViews>
  <sheetFormatPr defaultRowHeight="14.4" x14ac:dyDescent="0.3"/>
  <cols>
    <col min="1" max="1" width="10.21875" customWidth="1"/>
    <col min="2" max="2" width="11.88671875" customWidth="1"/>
    <col min="3" max="3" width="12.88671875" customWidth="1"/>
    <col min="8" max="12" width="14.5546875" style="3" customWidth="1"/>
    <col min="13" max="13" width="17.6640625" style="3" customWidth="1"/>
    <col min="14" max="14" width="14.5546875" customWidth="1"/>
  </cols>
  <sheetData>
    <row r="1" spans="1:16" ht="18" x14ac:dyDescent="0.35">
      <c r="A1" s="1" t="s">
        <v>0</v>
      </c>
    </row>
    <row r="2" spans="1:16" ht="18" x14ac:dyDescent="0.35">
      <c r="A2" s="1" t="s">
        <v>1</v>
      </c>
    </row>
    <row r="4" spans="1:16" x14ac:dyDescent="0.3">
      <c r="A4" s="2" t="s">
        <v>10</v>
      </c>
      <c r="C4">
        <v>8</v>
      </c>
      <c r="D4" t="s">
        <v>3</v>
      </c>
      <c r="E4">
        <f>C4*12+C5</f>
        <v>98.25</v>
      </c>
      <c r="F4" t="s">
        <v>4</v>
      </c>
      <c r="H4" s="4" t="s">
        <v>2</v>
      </c>
      <c r="I4" s="3">
        <f>E5-E7</f>
        <v>188.595</v>
      </c>
      <c r="J4" s="3" t="s">
        <v>9</v>
      </c>
      <c r="K4" s="3">
        <f>E4-C7</f>
        <v>74.25</v>
      </c>
      <c r="L4" s="3" t="s">
        <v>4</v>
      </c>
    </row>
    <row r="5" spans="1:16" x14ac:dyDescent="0.3">
      <c r="C5">
        <v>2.25</v>
      </c>
      <c r="D5" t="s">
        <v>4</v>
      </c>
      <c r="E5">
        <f>E4*2.54</f>
        <v>249.55500000000001</v>
      </c>
      <c r="F5" t="s">
        <v>9</v>
      </c>
    </row>
    <row r="6" spans="1:16" x14ac:dyDescent="0.3">
      <c r="H6" s="4" t="s">
        <v>6</v>
      </c>
      <c r="I6" s="4" t="s">
        <v>6</v>
      </c>
      <c r="J6" s="4" t="s">
        <v>8</v>
      </c>
      <c r="K6" s="4" t="s">
        <v>8</v>
      </c>
      <c r="L6" s="4" t="s">
        <v>15</v>
      </c>
      <c r="M6" s="4" t="s">
        <v>15</v>
      </c>
      <c r="N6" s="4" t="s">
        <v>15</v>
      </c>
    </row>
    <row r="7" spans="1:16" ht="15" thickBot="1" x14ac:dyDescent="0.35">
      <c r="A7" s="2" t="s">
        <v>7</v>
      </c>
      <c r="C7">
        <v>24</v>
      </c>
      <c r="D7" t="s">
        <v>4</v>
      </c>
      <c r="E7">
        <f>C7*2.54</f>
        <v>60.96</v>
      </c>
      <c r="F7" t="s">
        <v>9</v>
      </c>
      <c r="H7" s="5" t="s">
        <v>17</v>
      </c>
      <c r="I7" s="5" t="s">
        <v>5</v>
      </c>
      <c r="J7" s="5" t="s">
        <v>14</v>
      </c>
      <c r="K7" s="5" t="s">
        <v>16</v>
      </c>
      <c r="L7" s="5" t="s">
        <v>14</v>
      </c>
      <c r="M7" s="5" t="s">
        <v>16</v>
      </c>
      <c r="N7" s="5" t="s">
        <v>18</v>
      </c>
    </row>
    <row r="8" spans="1:16" x14ac:dyDescent="0.3">
      <c r="H8" s="3">
        <v>5</v>
      </c>
      <c r="I8" s="3">
        <v>10</v>
      </c>
      <c r="J8" s="6">
        <f t="shared" ref="J8:J15" si="0">((H8*12*2.54)^2*SIN(I8*0.01745)^2)/(2*$C$10)</f>
        <v>0.35681999715249701</v>
      </c>
      <c r="K8" s="7">
        <f>J8/2.54</f>
        <v>0.14048031383956575</v>
      </c>
      <c r="L8" s="7">
        <f t="shared" ref="L8:L15" si="1">(((H8*12*2.54)^2)/$C$10)*SIN(2*I8*0.01745)/2</f>
        <v>4.0480329036253302</v>
      </c>
      <c r="M8" s="7">
        <f>L8/2.54</f>
        <v>1.5937137415847757</v>
      </c>
      <c r="N8" s="8">
        <f>M8/12</f>
        <v>0.13280947846539798</v>
      </c>
      <c r="P8">
        <f>$K$4</f>
        <v>74.25</v>
      </c>
    </row>
    <row r="9" spans="1:16" x14ac:dyDescent="0.3">
      <c r="A9" s="2" t="s">
        <v>11</v>
      </c>
      <c r="C9">
        <v>9.81</v>
      </c>
      <c r="D9" t="s">
        <v>12</v>
      </c>
      <c r="H9" s="3">
        <v>5</v>
      </c>
      <c r="I9" s="3">
        <v>20</v>
      </c>
      <c r="J9" s="6">
        <f t="shared" si="0"/>
        <v>1.3842583021132988</v>
      </c>
      <c r="K9" s="7">
        <f t="shared" ref="K9:K15" si="2">J9/2.54</f>
        <v>0.54498358350917275</v>
      </c>
      <c r="L9" s="7">
        <f t="shared" si="1"/>
        <v>7.6079956208882571</v>
      </c>
      <c r="M9" s="7">
        <f t="shared" ref="M9:M15" si="3">L9/2.54</f>
        <v>2.9952738664914396</v>
      </c>
      <c r="N9" s="8">
        <f t="shared" ref="N9:N15" si="4">M9/12</f>
        <v>0.24960615554095331</v>
      </c>
      <c r="P9">
        <f t="shared" ref="P9:P15" si="5">$K$4</f>
        <v>74.25</v>
      </c>
    </row>
    <row r="10" spans="1:16" x14ac:dyDescent="0.3">
      <c r="C10">
        <f>C9*100</f>
        <v>981</v>
      </c>
      <c r="D10" t="s">
        <v>13</v>
      </c>
      <c r="H10" s="3">
        <v>5</v>
      </c>
      <c r="I10" s="3">
        <v>30</v>
      </c>
      <c r="J10" s="6">
        <f t="shared" si="0"/>
        <v>2.9584369680087543</v>
      </c>
      <c r="K10" s="7">
        <f t="shared" si="2"/>
        <v>1.1647389637829741</v>
      </c>
      <c r="L10" s="7">
        <f t="shared" si="1"/>
        <v>10.250664450246822</v>
      </c>
      <c r="M10" s="7">
        <f t="shared" si="3"/>
        <v>4.0356946654515049</v>
      </c>
      <c r="N10" s="8">
        <f t="shared" si="4"/>
        <v>0.33630788878762541</v>
      </c>
      <c r="P10">
        <f t="shared" si="5"/>
        <v>74.25</v>
      </c>
    </row>
    <row r="11" spans="1:16" x14ac:dyDescent="0.3">
      <c r="H11" s="3">
        <v>5</v>
      </c>
      <c r="I11" s="3">
        <v>40</v>
      </c>
      <c r="J11" s="6">
        <f t="shared" si="0"/>
        <v>4.8895577167311863</v>
      </c>
      <c r="K11" s="7">
        <f t="shared" si="2"/>
        <v>1.9250227231225143</v>
      </c>
      <c r="L11" s="7">
        <f t="shared" si="1"/>
        <v>11.657413555709415</v>
      </c>
      <c r="M11" s="7">
        <f t="shared" si="3"/>
        <v>4.5895328959485884</v>
      </c>
      <c r="N11" s="8">
        <f t="shared" si="4"/>
        <v>0.38246107466238238</v>
      </c>
      <c r="P11">
        <f t="shared" si="5"/>
        <v>74.25</v>
      </c>
    </row>
    <row r="12" spans="1:16" x14ac:dyDescent="0.3">
      <c r="H12" s="3">
        <v>5</v>
      </c>
      <c r="I12" s="3">
        <v>50</v>
      </c>
      <c r="J12" s="6">
        <f t="shared" si="0"/>
        <v>6.9447858638408624</v>
      </c>
      <c r="K12" s="7">
        <f t="shared" si="2"/>
        <v>2.7341676629294733</v>
      </c>
      <c r="L12" s="7">
        <f t="shared" si="1"/>
        <v>11.658631594084296</v>
      </c>
      <c r="M12" s="7">
        <f t="shared" si="3"/>
        <v>4.5900124386158643</v>
      </c>
      <c r="N12" s="8">
        <f t="shared" si="4"/>
        <v>0.382501036551322</v>
      </c>
      <c r="P12">
        <f t="shared" si="5"/>
        <v>74.25</v>
      </c>
    </row>
    <row r="13" spans="1:16" x14ac:dyDescent="0.3">
      <c r="H13" s="3">
        <v>5</v>
      </c>
      <c r="I13" s="3">
        <v>60</v>
      </c>
      <c r="J13" s="6">
        <f t="shared" si="0"/>
        <v>8.876323130850782</v>
      </c>
      <c r="K13" s="7">
        <f t="shared" si="2"/>
        <v>3.4946154058467647</v>
      </c>
      <c r="L13" s="7">
        <f t="shared" si="1"/>
        <v>10.254171706827876</v>
      </c>
      <c r="M13" s="7">
        <f t="shared" si="3"/>
        <v>4.0370754751290852</v>
      </c>
      <c r="N13" s="8">
        <f t="shared" si="4"/>
        <v>0.33642295626075708</v>
      </c>
      <c r="P13">
        <f t="shared" si="5"/>
        <v>74.25</v>
      </c>
    </row>
    <row r="14" spans="1:16" x14ac:dyDescent="0.3">
      <c r="H14" s="3">
        <v>5</v>
      </c>
      <c r="I14" s="3">
        <v>70</v>
      </c>
      <c r="J14" s="6">
        <f t="shared" si="0"/>
        <v>10.45128461382868</v>
      </c>
      <c r="K14" s="7">
        <f t="shared" si="2"/>
        <v>4.1146789818223146</v>
      </c>
      <c r="L14" s="7">
        <f t="shared" si="1"/>
        <v>7.6133692267379294</v>
      </c>
      <c r="M14" s="7">
        <f t="shared" si="3"/>
        <v>2.9973894593456416</v>
      </c>
      <c r="N14" s="8">
        <f t="shared" si="4"/>
        <v>0.24978245494547013</v>
      </c>
      <c r="P14">
        <f t="shared" si="5"/>
        <v>74.25</v>
      </c>
    </row>
    <row r="15" spans="1:16" x14ac:dyDescent="0.3">
      <c r="H15" s="3">
        <v>5</v>
      </c>
      <c r="I15" s="3">
        <v>80</v>
      </c>
      <c r="J15" s="6">
        <f t="shared" si="0"/>
        <v>11.479777650631862</v>
      </c>
      <c r="K15" s="7">
        <f t="shared" si="2"/>
        <v>4.5195975002487643</v>
      </c>
      <c r="L15" s="7">
        <f t="shared" si="1"/>
        <v>4.0546249646007331</v>
      </c>
      <c r="M15" s="7">
        <f t="shared" si="3"/>
        <v>1.5963090411813909</v>
      </c>
      <c r="N15" s="8">
        <f t="shared" si="4"/>
        <v>0.13302575343178258</v>
      </c>
      <c r="P15">
        <f t="shared" si="5"/>
        <v>74.25</v>
      </c>
    </row>
    <row r="17" spans="1:14" ht="18" x14ac:dyDescent="0.35">
      <c r="A17" s="1" t="s">
        <v>43</v>
      </c>
    </row>
    <row r="18" spans="1:14" x14ac:dyDescent="0.3">
      <c r="H18" s="4" t="s">
        <v>6</v>
      </c>
      <c r="I18" s="4" t="s">
        <v>6</v>
      </c>
      <c r="J18" s="4" t="s">
        <v>8</v>
      </c>
      <c r="K18" s="4" t="s">
        <v>8</v>
      </c>
      <c r="L18" s="4" t="s">
        <v>15</v>
      </c>
      <c r="M18" s="4" t="s">
        <v>15</v>
      </c>
      <c r="N18" s="4" t="s">
        <v>15</v>
      </c>
    </row>
    <row r="19" spans="1:14" ht="15" thickBot="1" x14ac:dyDescent="0.35">
      <c r="A19" s="2" t="s">
        <v>46</v>
      </c>
      <c r="C19" s="12">
        <v>45</v>
      </c>
      <c r="D19" t="s">
        <v>4</v>
      </c>
      <c r="H19" s="5" t="s">
        <v>17</v>
      </c>
      <c r="I19" s="5" t="s">
        <v>5</v>
      </c>
      <c r="J19" s="5" t="s">
        <v>14</v>
      </c>
      <c r="K19" s="5" t="s">
        <v>16</v>
      </c>
      <c r="L19" s="5" t="s">
        <v>14</v>
      </c>
      <c r="M19" s="5" t="s">
        <v>16</v>
      </c>
      <c r="N19" s="5" t="s">
        <v>18</v>
      </c>
    </row>
    <row r="20" spans="1:14" x14ac:dyDescent="0.3">
      <c r="A20" s="2" t="s">
        <v>47</v>
      </c>
      <c r="C20" s="12">
        <v>7</v>
      </c>
      <c r="D20" t="s">
        <v>4</v>
      </c>
      <c r="H20" s="3">
        <v>10</v>
      </c>
      <c r="I20" s="3">
        <v>10</v>
      </c>
      <c r="J20" s="6">
        <f t="shared" ref="J20:J27" si="6">((H20*12*2.54)^2*SIN(I20*0.01745)^2)/(2*$C$10)</f>
        <v>1.4272799886099881</v>
      </c>
      <c r="K20" s="7">
        <f>J20/2.54</f>
        <v>0.56192125535826298</v>
      </c>
      <c r="L20" s="7">
        <f t="shared" ref="L20:L27" si="7">(((H20*12*2.54)^2)/$C$10)*SIN(2*I20*0.01745)/2</f>
        <v>16.192131614501321</v>
      </c>
      <c r="M20" s="7">
        <f>L20/2.54</f>
        <v>6.374854966339103</v>
      </c>
      <c r="N20" s="8">
        <f>M20/12</f>
        <v>0.53123791386159191</v>
      </c>
    </row>
    <row r="21" spans="1:14" x14ac:dyDescent="0.3">
      <c r="H21" s="3">
        <v>10</v>
      </c>
      <c r="I21" s="3">
        <v>20</v>
      </c>
      <c r="J21" s="6">
        <f t="shared" si="6"/>
        <v>5.5370332084531952</v>
      </c>
      <c r="K21" s="7">
        <f t="shared" ref="K21:K27" si="8">J21/2.54</f>
        <v>2.179934334036691</v>
      </c>
      <c r="L21" s="7">
        <f t="shared" si="7"/>
        <v>30.431982483553028</v>
      </c>
      <c r="M21" s="7">
        <f t="shared" ref="M21:M27" si="9">L21/2.54</f>
        <v>11.981095465965758</v>
      </c>
      <c r="N21" s="8">
        <f t="shared" ref="N21:N27" si="10">M21/12</f>
        <v>0.99842462216381322</v>
      </c>
    </row>
    <row r="22" spans="1:14" x14ac:dyDescent="0.3">
      <c r="A22" s="4" t="s">
        <v>6</v>
      </c>
      <c r="B22" s="4" t="s">
        <v>45</v>
      </c>
      <c r="C22" s="4" t="s">
        <v>45</v>
      </c>
      <c r="H22" s="3">
        <v>10</v>
      </c>
      <c r="I22" s="3">
        <v>30</v>
      </c>
      <c r="J22" s="6">
        <f t="shared" si="6"/>
        <v>11.833747872035017</v>
      </c>
      <c r="K22" s="7">
        <f t="shared" si="8"/>
        <v>4.6589558551318966</v>
      </c>
      <c r="L22" s="7">
        <f t="shared" si="7"/>
        <v>41.002657800987286</v>
      </c>
      <c r="M22" s="7">
        <f t="shared" si="9"/>
        <v>16.14277866180602</v>
      </c>
      <c r="N22" s="8">
        <f t="shared" si="10"/>
        <v>1.3452315551505016</v>
      </c>
    </row>
    <row r="23" spans="1:14" ht="15" thickBot="1" x14ac:dyDescent="0.35">
      <c r="A23" s="5" t="s">
        <v>5</v>
      </c>
      <c r="B23" s="5" t="s">
        <v>31</v>
      </c>
      <c r="C23" s="5" t="s">
        <v>34</v>
      </c>
      <c r="H23" s="3">
        <v>10</v>
      </c>
      <c r="I23" s="3">
        <v>40</v>
      </c>
      <c r="J23" s="6">
        <f t="shared" si="6"/>
        <v>19.558230866924745</v>
      </c>
      <c r="K23" s="7">
        <f t="shared" si="8"/>
        <v>7.7000908924900573</v>
      </c>
      <c r="L23" s="7">
        <f t="shared" si="7"/>
        <v>46.629654222837658</v>
      </c>
      <c r="M23" s="7">
        <f t="shared" si="9"/>
        <v>18.358131583794354</v>
      </c>
      <c r="N23" s="8">
        <f t="shared" si="10"/>
        <v>1.5298442986495295</v>
      </c>
    </row>
    <row r="24" spans="1:14" x14ac:dyDescent="0.3">
      <c r="A24" s="3">
        <v>20</v>
      </c>
      <c r="B24" s="26">
        <f>($C$19-$C$7+$C$20/2)/TAN(A24*0.01745)</f>
        <v>67.326991077892842</v>
      </c>
      <c r="C24" s="26">
        <f>B24/12</f>
        <v>5.6105825898244035</v>
      </c>
      <c r="H24" s="3">
        <v>10</v>
      </c>
      <c r="I24" s="3">
        <v>50</v>
      </c>
      <c r="J24" s="6">
        <f t="shared" si="6"/>
        <v>27.77914345536345</v>
      </c>
      <c r="K24" s="7">
        <f t="shared" si="8"/>
        <v>10.936670651717893</v>
      </c>
      <c r="L24" s="7">
        <f t="shared" si="7"/>
        <v>46.634526376337185</v>
      </c>
      <c r="M24" s="7">
        <f t="shared" si="9"/>
        <v>18.360049754463457</v>
      </c>
      <c r="N24" s="8">
        <f t="shared" si="10"/>
        <v>1.530004146205288</v>
      </c>
    </row>
    <row r="25" spans="1:14" x14ac:dyDescent="0.3">
      <c r="A25" s="3">
        <v>25</v>
      </c>
      <c r="B25" s="26">
        <f t="shared" ref="B25:B36" si="11">($C$19-$C$7+$C$20/2)/TAN(A25*0.01745)</f>
        <v>52.551712691083466</v>
      </c>
      <c r="C25" s="26">
        <f t="shared" ref="C25:C36" si="12">B25/12</f>
        <v>4.3793093909236225</v>
      </c>
      <c r="H25" s="3">
        <v>10</v>
      </c>
      <c r="I25" s="3">
        <v>60</v>
      </c>
      <c r="J25" s="6">
        <f t="shared" si="6"/>
        <v>35.505292523403128</v>
      </c>
      <c r="K25" s="7">
        <f t="shared" si="8"/>
        <v>13.978461623387059</v>
      </c>
      <c r="L25" s="7">
        <f t="shared" si="7"/>
        <v>41.016686827311503</v>
      </c>
      <c r="M25" s="7">
        <f t="shared" si="9"/>
        <v>16.148301900516341</v>
      </c>
      <c r="N25" s="8">
        <f t="shared" si="10"/>
        <v>1.3456918250430283</v>
      </c>
    </row>
    <row r="26" spans="1:14" x14ac:dyDescent="0.3">
      <c r="A26" s="3">
        <v>30</v>
      </c>
      <c r="B26" s="26">
        <f t="shared" si="11"/>
        <v>42.444926450483692</v>
      </c>
      <c r="C26" s="26">
        <f t="shared" si="12"/>
        <v>3.5370772042069745</v>
      </c>
      <c r="H26" s="3">
        <v>10</v>
      </c>
      <c r="I26" s="3">
        <v>70</v>
      </c>
      <c r="J26" s="6">
        <f t="shared" si="6"/>
        <v>41.805138455314719</v>
      </c>
      <c r="K26" s="7">
        <f t="shared" si="8"/>
        <v>16.458715927289258</v>
      </c>
      <c r="L26" s="7">
        <f t="shared" si="7"/>
        <v>30.453476906951717</v>
      </c>
      <c r="M26" s="7">
        <f t="shared" si="9"/>
        <v>11.989557837382566</v>
      </c>
      <c r="N26" s="8">
        <f t="shared" si="10"/>
        <v>0.99912981978188053</v>
      </c>
    </row>
    <row r="27" spans="1:14" x14ac:dyDescent="0.3">
      <c r="A27" s="3">
        <v>35</v>
      </c>
      <c r="B27" s="26">
        <f t="shared" si="11"/>
        <v>34.998209408478502</v>
      </c>
      <c r="C27" s="26">
        <f t="shared" si="12"/>
        <v>2.9165174507065417</v>
      </c>
      <c r="H27" s="3">
        <v>10</v>
      </c>
      <c r="I27" s="3">
        <v>80</v>
      </c>
      <c r="J27" s="6">
        <f t="shared" si="6"/>
        <v>45.919110602527446</v>
      </c>
      <c r="K27" s="7">
        <f t="shared" si="8"/>
        <v>18.078390000995057</v>
      </c>
      <c r="L27" s="7">
        <f t="shared" si="7"/>
        <v>16.218499858402932</v>
      </c>
      <c r="M27" s="7">
        <f t="shared" si="9"/>
        <v>6.3852361647255638</v>
      </c>
      <c r="N27" s="8">
        <f t="shared" si="10"/>
        <v>0.53210301372713031</v>
      </c>
    </row>
    <row r="28" spans="1:14" x14ac:dyDescent="0.3">
      <c r="A28" s="3">
        <v>40</v>
      </c>
      <c r="B28" s="26">
        <f t="shared" si="11"/>
        <v>29.205773677400945</v>
      </c>
      <c r="C28" s="26">
        <f t="shared" si="12"/>
        <v>2.4338144731167453</v>
      </c>
    </row>
    <row r="29" spans="1:14" x14ac:dyDescent="0.3">
      <c r="A29" s="3">
        <v>45</v>
      </c>
      <c r="B29" s="26">
        <f t="shared" si="11"/>
        <v>24.507261082354731</v>
      </c>
      <c r="C29" s="26">
        <f t="shared" si="12"/>
        <v>2.0422717568628941</v>
      </c>
    </row>
    <row r="30" spans="1:14" x14ac:dyDescent="0.3">
      <c r="A30" s="3">
        <v>50</v>
      </c>
      <c r="B30" s="26">
        <f t="shared" si="11"/>
        <v>20.564815075312634</v>
      </c>
      <c r="C30" s="26">
        <f t="shared" si="12"/>
        <v>1.7137345896093861</v>
      </c>
      <c r="H30" s="4" t="s">
        <v>6</v>
      </c>
      <c r="I30" s="4" t="s">
        <v>6</v>
      </c>
      <c r="J30" s="4" t="s">
        <v>8</v>
      </c>
      <c r="K30" s="4" t="s">
        <v>8</v>
      </c>
      <c r="L30" s="4" t="s">
        <v>15</v>
      </c>
      <c r="M30" s="4" t="s">
        <v>15</v>
      </c>
      <c r="N30" s="4" t="s">
        <v>15</v>
      </c>
    </row>
    <row r="31" spans="1:14" ht="15" thickBot="1" x14ac:dyDescent="0.35">
      <c r="A31" s="3">
        <v>55</v>
      </c>
      <c r="B31" s="26">
        <f t="shared" si="11"/>
        <v>17.161697453216796</v>
      </c>
      <c r="C31" s="26">
        <f t="shared" si="12"/>
        <v>1.4301414544347331</v>
      </c>
      <c r="H31" s="5" t="s">
        <v>17</v>
      </c>
      <c r="I31" s="5" t="s">
        <v>5</v>
      </c>
      <c r="J31" s="5" t="s">
        <v>14</v>
      </c>
      <c r="K31" s="5" t="s">
        <v>16</v>
      </c>
      <c r="L31" s="5" t="s">
        <v>14</v>
      </c>
      <c r="M31" s="5" t="s">
        <v>16</v>
      </c>
      <c r="N31" s="5" t="s">
        <v>18</v>
      </c>
    </row>
    <row r="32" spans="1:14" x14ac:dyDescent="0.3">
      <c r="A32" s="3">
        <v>60</v>
      </c>
      <c r="B32" s="26">
        <f t="shared" si="11"/>
        <v>14.151535670446192</v>
      </c>
      <c r="C32" s="26">
        <f t="shared" si="12"/>
        <v>1.1792946392038492</v>
      </c>
      <c r="H32" s="3">
        <v>20</v>
      </c>
      <c r="I32" s="3">
        <v>10</v>
      </c>
      <c r="J32" s="6">
        <f t="shared" ref="J32:J39" si="13">((H32*12*2.54)^2*SIN(I32*0.01745)^2)/(2*$C$10)</f>
        <v>5.7091199544399522</v>
      </c>
      <c r="K32" s="7">
        <f>J32/2.54</f>
        <v>2.2476850214330519</v>
      </c>
      <c r="L32" s="7">
        <f t="shared" ref="L32:L39" si="14">(((H32*12*2.54)^2)/$C$10)*SIN(2*I32*0.01745)/2</f>
        <v>64.768526458005283</v>
      </c>
      <c r="M32" s="7">
        <f>L32/2.54</f>
        <v>25.499419865356412</v>
      </c>
      <c r="N32" s="8">
        <f>M32/12</f>
        <v>2.1249516554463677</v>
      </c>
    </row>
    <row r="33" spans="1:14" x14ac:dyDescent="0.3">
      <c r="A33" s="3">
        <v>65</v>
      </c>
      <c r="B33" s="26">
        <f t="shared" si="11"/>
        <v>11.430921726280408</v>
      </c>
      <c r="C33" s="26">
        <f t="shared" si="12"/>
        <v>0.95257681052336729</v>
      </c>
      <c r="H33" s="3">
        <v>20</v>
      </c>
      <c r="I33" s="3">
        <v>20</v>
      </c>
      <c r="J33" s="6">
        <f t="shared" si="13"/>
        <v>22.148132833812781</v>
      </c>
      <c r="K33" s="7">
        <f t="shared" ref="K33:K39" si="15">J33/2.54</f>
        <v>8.7197373361467641</v>
      </c>
      <c r="L33" s="7">
        <f t="shared" si="14"/>
        <v>121.72792993421211</v>
      </c>
      <c r="M33" s="7">
        <f t="shared" ref="M33:M39" si="16">L33/2.54</f>
        <v>47.924381863863033</v>
      </c>
      <c r="N33" s="8">
        <f t="shared" ref="N33:N39" si="17">M33/12</f>
        <v>3.9936984886552529</v>
      </c>
    </row>
    <row r="34" spans="1:14" x14ac:dyDescent="0.3">
      <c r="A34" s="3">
        <v>70</v>
      </c>
      <c r="B34" s="26">
        <f t="shared" si="11"/>
        <v>8.9236659868718071</v>
      </c>
      <c r="C34" s="26">
        <f t="shared" si="12"/>
        <v>0.74363883223931726</v>
      </c>
      <c r="H34" s="3">
        <v>20</v>
      </c>
      <c r="I34" s="3">
        <v>30</v>
      </c>
      <c r="J34" s="6">
        <f t="shared" si="13"/>
        <v>47.334991488140069</v>
      </c>
      <c r="K34" s="7">
        <f t="shared" si="15"/>
        <v>18.635823420527586</v>
      </c>
      <c r="L34" s="7">
        <f t="shared" si="14"/>
        <v>164.01063120394915</v>
      </c>
      <c r="M34" s="7">
        <f t="shared" si="16"/>
        <v>64.571114647224078</v>
      </c>
      <c r="N34" s="8">
        <f t="shared" si="17"/>
        <v>5.3809262206020065</v>
      </c>
    </row>
    <row r="35" spans="1:14" x14ac:dyDescent="0.3">
      <c r="A35" s="3">
        <v>75</v>
      </c>
      <c r="B35" s="26">
        <f t="shared" si="11"/>
        <v>6.5712400200151571</v>
      </c>
      <c r="C35" s="26">
        <f t="shared" si="12"/>
        <v>0.54760333500126313</v>
      </c>
      <c r="H35" s="3">
        <v>20</v>
      </c>
      <c r="I35" s="3">
        <v>40</v>
      </c>
      <c r="J35" s="6">
        <f t="shared" si="13"/>
        <v>78.232923467698981</v>
      </c>
      <c r="K35" s="7">
        <f t="shared" si="15"/>
        <v>30.800363569960229</v>
      </c>
      <c r="L35" s="7">
        <f t="shared" si="14"/>
        <v>186.51861689135063</v>
      </c>
      <c r="M35" s="7">
        <f t="shared" si="16"/>
        <v>73.432526335177414</v>
      </c>
      <c r="N35" s="8">
        <f t="shared" si="17"/>
        <v>6.1193771945981181</v>
      </c>
    </row>
    <row r="36" spans="1:14" x14ac:dyDescent="0.3">
      <c r="A36" s="3">
        <v>80</v>
      </c>
      <c r="B36" s="26">
        <f t="shared" si="11"/>
        <v>4.3266653177402903</v>
      </c>
      <c r="C36" s="26">
        <f t="shared" si="12"/>
        <v>0.36055544314502419</v>
      </c>
      <c r="H36" s="3">
        <v>20</v>
      </c>
      <c r="I36" s="3">
        <v>50</v>
      </c>
      <c r="J36" s="6">
        <f t="shared" si="13"/>
        <v>111.1165738214538</v>
      </c>
      <c r="K36" s="7">
        <f t="shared" si="15"/>
        <v>43.746682606871573</v>
      </c>
      <c r="L36" s="7">
        <f t="shared" si="14"/>
        <v>186.53810550534874</v>
      </c>
      <c r="M36" s="7">
        <f t="shared" si="16"/>
        <v>73.440199017853828</v>
      </c>
      <c r="N36" s="8">
        <f t="shared" si="17"/>
        <v>6.1200165848211521</v>
      </c>
    </row>
    <row r="37" spans="1:14" x14ac:dyDescent="0.3">
      <c r="A37" s="3"/>
      <c r="B37" s="3"/>
      <c r="H37" s="3">
        <v>20</v>
      </c>
      <c r="I37" s="3">
        <v>60</v>
      </c>
      <c r="J37" s="6">
        <f t="shared" si="13"/>
        <v>142.02117009361251</v>
      </c>
      <c r="K37" s="7">
        <f t="shared" si="15"/>
        <v>55.913846493548235</v>
      </c>
      <c r="L37" s="7">
        <f t="shared" si="14"/>
        <v>164.06674730924601</v>
      </c>
      <c r="M37" s="7">
        <f t="shared" si="16"/>
        <v>64.593207602065362</v>
      </c>
      <c r="N37" s="8">
        <f t="shared" si="17"/>
        <v>5.3827673001721132</v>
      </c>
    </row>
    <row r="38" spans="1:14" x14ac:dyDescent="0.3">
      <c r="A38" s="3"/>
      <c r="B38" s="3"/>
      <c r="H38" s="3">
        <v>20</v>
      </c>
      <c r="I38" s="3">
        <v>70</v>
      </c>
      <c r="J38" s="6">
        <f t="shared" si="13"/>
        <v>167.22055382125887</v>
      </c>
      <c r="K38" s="7">
        <f t="shared" si="15"/>
        <v>65.834863709157034</v>
      </c>
      <c r="L38" s="7">
        <f t="shared" si="14"/>
        <v>121.81390762780687</v>
      </c>
      <c r="M38" s="7">
        <f t="shared" si="16"/>
        <v>47.958231349530266</v>
      </c>
      <c r="N38" s="8">
        <f t="shared" si="17"/>
        <v>3.9965192791275221</v>
      </c>
    </row>
    <row r="39" spans="1:14" x14ac:dyDescent="0.3">
      <c r="A39" s="3"/>
      <c r="B39" s="3"/>
      <c r="H39" s="3">
        <v>20</v>
      </c>
      <c r="I39" s="3">
        <v>80</v>
      </c>
      <c r="J39" s="6">
        <f t="shared" si="13"/>
        <v>183.67644241010979</v>
      </c>
      <c r="K39" s="7">
        <f t="shared" si="15"/>
        <v>72.313560003980228</v>
      </c>
      <c r="L39" s="7">
        <f t="shared" si="14"/>
        <v>64.873999433611729</v>
      </c>
      <c r="M39" s="7">
        <f t="shared" si="16"/>
        <v>25.540944658902255</v>
      </c>
      <c r="N39" s="8">
        <f t="shared" si="17"/>
        <v>2.1284120549085213</v>
      </c>
    </row>
    <row r="40" spans="1:14" x14ac:dyDescent="0.3">
      <c r="A40" s="3"/>
      <c r="B40" s="3"/>
    </row>
    <row r="41" spans="1:14" x14ac:dyDescent="0.3">
      <c r="A41" s="3"/>
      <c r="B41" s="3"/>
    </row>
    <row r="42" spans="1:14" x14ac:dyDescent="0.3">
      <c r="A42" s="3"/>
      <c r="B42" s="3"/>
      <c r="H42" s="4" t="s">
        <v>6</v>
      </c>
      <c r="I42" s="4" t="s">
        <v>6</v>
      </c>
      <c r="J42" s="4" t="s">
        <v>8</v>
      </c>
      <c r="K42" s="4" t="s">
        <v>8</v>
      </c>
      <c r="L42" s="4" t="s">
        <v>15</v>
      </c>
      <c r="M42" s="4" t="s">
        <v>15</v>
      </c>
      <c r="N42" s="4" t="s">
        <v>15</v>
      </c>
    </row>
    <row r="43" spans="1:14" ht="15" thickBot="1" x14ac:dyDescent="0.35">
      <c r="A43" s="3"/>
      <c r="B43" s="3"/>
      <c r="H43" s="5" t="s">
        <v>17</v>
      </c>
      <c r="I43" s="5" t="s">
        <v>5</v>
      </c>
      <c r="J43" s="5" t="s">
        <v>14</v>
      </c>
      <c r="K43" s="5" t="s">
        <v>16</v>
      </c>
      <c r="L43" s="5" t="s">
        <v>14</v>
      </c>
      <c r="M43" s="5" t="s">
        <v>16</v>
      </c>
      <c r="N43" s="5" t="s">
        <v>18</v>
      </c>
    </row>
    <row r="44" spans="1:14" x14ac:dyDescent="0.3">
      <c r="A44" s="3"/>
      <c r="B44" s="3"/>
      <c r="H44" s="3">
        <v>30</v>
      </c>
      <c r="I44" s="3">
        <v>10</v>
      </c>
      <c r="J44" s="6">
        <f t="shared" ref="J44:J51" si="18">((H44*12*2.54)^2*SIN(I44*0.01745)^2)/(2*$C$10)</f>
        <v>12.84551989748989</v>
      </c>
      <c r="K44" s="7">
        <f>J44/2.54</f>
        <v>5.0572912982243663</v>
      </c>
      <c r="L44" s="7">
        <f t="shared" ref="L44:L51" si="19">(((H44*12*2.54)^2)/$C$10)*SIN(2*I44*0.01745)/2</f>
        <v>145.72918453051187</v>
      </c>
      <c r="M44" s="7">
        <f>L44/2.54</f>
        <v>57.373694697051917</v>
      </c>
      <c r="N44" s="8">
        <f>M44/12</f>
        <v>4.7811412247543261</v>
      </c>
    </row>
    <row r="45" spans="1:14" x14ac:dyDescent="0.3">
      <c r="A45" s="3"/>
      <c r="B45" s="3"/>
      <c r="H45" s="3">
        <v>30</v>
      </c>
      <c r="I45" s="3">
        <v>20</v>
      </c>
      <c r="J45" s="6">
        <f t="shared" si="18"/>
        <v>49.83329887607875</v>
      </c>
      <c r="K45" s="7">
        <f t="shared" ref="K45:K51" si="20">J45/2.54</f>
        <v>19.619409006330216</v>
      </c>
      <c r="L45" s="7">
        <f t="shared" si="19"/>
        <v>273.88784235197727</v>
      </c>
      <c r="M45" s="7">
        <f t="shared" ref="M45:M51" si="21">L45/2.54</f>
        <v>107.82985919369183</v>
      </c>
      <c r="N45" s="8">
        <f t="shared" ref="N45:N51" si="22">M45/12</f>
        <v>8.9858215994743187</v>
      </c>
    </row>
    <row r="46" spans="1:14" x14ac:dyDescent="0.3">
      <c r="A46" s="3"/>
      <c r="B46" s="3"/>
      <c r="H46" s="3">
        <v>30</v>
      </c>
      <c r="I46" s="3">
        <v>30</v>
      </c>
      <c r="J46" s="6">
        <f t="shared" si="18"/>
        <v>106.50373084831516</v>
      </c>
      <c r="K46" s="7">
        <f t="shared" si="20"/>
        <v>41.930602696187073</v>
      </c>
      <c r="L46" s="7">
        <f t="shared" si="19"/>
        <v>369.02392020888556</v>
      </c>
      <c r="M46" s="7">
        <f t="shared" si="21"/>
        <v>145.28500795625416</v>
      </c>
      <c r="N46" s="8">
        <f t="shared" si="22"/>
        <v>12.107083996354513</v>
      </c>
    </row>
    <row r="47" spans="1:14" x14ac:dyDescent="0.3">
      <c r="A47" s="3"/>
      <c r="B47" s="3"/>
      <c r="H47" s="3">
        <v>30</v>
      </c>
      <c r="I47" s="3">
        <v>40</v>
      </c>
      <c r="J47" s="6">
        <f t="shared" si="18"/>
        <v>176.02407780232269</v>
      </c>
      <c r="K47" s="7">
        <f t="shared" si="20"/>
        <v>69.300818032410504</v>
      </c>
      <c r="L47" s="7">
        <f t="shared" si="19"/>
        <v>419.66688800553896</v>
      </c>
      <c r="M47" s="7">
        <f t="shared" si="21"/>
        <v>165.2231842541492</v>
      </c>
      <c r="N47" s="8">
        <f t="shared" si="22"/>
        <v>13.768598687845767</v>
      </c>
    </row>
    <row r="48" spans="1:14" x14ac:dyDescent="0.3">
      <c r="A48" s="3"/>
      <c r="B48" s="3"/>
      <c r="H48" s="3">
        <v>30</v>
      </c>
      <c r="I48" s="3">
        <v>50</v>
      </c>
      <c r="J48" s="6">
        <f t="shared" si="18"/>
        <v>250.01229109827099</v>
      </c>
      <c r="K48" s="7">
        <f t="shared" si="20"/>
        <v>98.430035865461022</v>
      </c>
      <c r="L48" s="7">
        <f t="shared" si="19"/>
        <v>419.71073738703467</v>
      </c>
      <c r="M48" s="7">
        <f t="shared" si="21"/>
        <v>165.24044779017112</v>
      </c>
      <c r="N48" s="8">
        <f t="shared" si="22"/>
        <v>13.770037315847594</v>
      </c>
    </row>
    <row r="49" spans="1:14" x14ac:dyDescent="0.3">
      <c r="A49" s="3"/>
      <c r="B49" s="3"/>
      <c r="H49" s="3">
        <v>30</v>
      </c>
      <c r="I49" s="3">
        <v>60</v>
      </c>
      <c r="J49" s="6">
        <f t="shared" si="18"/>
        <v>319.54763271062814</v>
      </c>
      <c r="K49" s="7">
        <f t="shared" si="20"/>
        <v>125.80615461048352</v>
      </c>
      <c r="L49" s="7">
        <f t="shared" si="19"/>
        <v>369.15018144580347</v>
      </c>
      <c r="M49" s="7">
        <f t="shared" si="21"/>
        <v>145.33471710464704</v>
      </c>
      <c r="N49" s="8">
        <f t="shared" si="22"/>
        <v>12.111226425387253</v>
      </c>
    </row>
    <row r="50" spans="1:14" x14ac:dyDescent="0.3">
      <c r="H50" s="3">
        <v>30</v>
      </c>
      <c r="I50" s="3">
        <v>70</v>
      </c>
      <c r="J50" s="6">
        <f t="shared" si="18"/>
        <v>376.24624609783245</v>
      </c>
      <c r="K50" s="7">
        <f t="shared" si="20"/>
        <v>148.12844334560333</v>
      </c>
      <c r="L50" s="7">
        <f t="shared" si="19"/>
        <v>274.08129216256549</v>
      </c>
      <c r="M50" s="7">
        <f t="shared" si="21"/>
        <v>107.90602053644311</v>
      </c>
      <c r="N50" s="8">
        <f t="shared" si="22"/>
        <v>8.9921683780369257</v>
      </c>
    </row>
    <row r="51" spans="1:14" x14ac:dyDescent="0.3">
      <c r="H51" s="3">
        <v>30</v>
      </c>
      <c r="I51" s="3">
        <v>80</v>
      </c>
      <c r="J51" s="6">
        <f t="shared" si="18"/>
        <v>413.27199542274695</v>
      </c>
      <c r="K51" s="7">
        <f t="shared" si="20"/>
        <v>162.70551000895549</v>
      </c>
      <c r="L51" s="7">
        <f t="shared" si="19"/>
        <v>145.96649872562639</v>
      </c>
      <c r="M51" s="7">
        <f t="shared" si="21"/>
        <v>57.467125482530072</v>
      </c>
      <c r="N51" s="8">
        <f t="shared" si="22"/>
        <v>4.7889271235441724</v>
      </c>
    </row>
    <row r="54" spans="1:14" x14ac:dyDescent="0.3">
      <c r="H54" s="4" t="s">
        <v>6</v>
      </c>
      <c r="I54" s="4" t="s">
        <v>6</v>
      </c>
      <c r="J54" s="4" t="s">
        <v>8</v>
      </c>
      <c r="K54" s="4" t="s">
        <v>8</v>
      </c>
      <c r="L54" s="4" t="s">
        <v>15</v>
      </c>
      <c r="M54" s="4" t="s">
        <v>15</v>
      </c>
      <c r="N54" s="4" t="s">
        <v>15</v>
      </c>
    </row>
    <row r="55" spans="1:14" ht="15" thickBot="1" x14ac:dyDescent="0.35">
      <c r="H55" s="5" t="s">
        <v>17</v>
      </c>
      <c r="I55" s="5" t="s">
        <v>5</v>
      </c>
      <c r="J55" s="5" t="s">
        <v>14</v>
      </c>
      <c r="K55" s="5" t="s">
        <v>16</v>
      </c>
      <c r="L55" s="5" t="s">
        <v>14</v>
      </c>
      <c r="M55" s="5" t="s">
        <v>16</v>
      </c>
      <c r="N55" s="5" t="s">
        <v>18</v>
      </c>
    </row>
    <row r="56" spans="1:14" x14ac:dyDescent="0.3">
      <c r="H56" s="3">
        <v>40</v>
      </c>
      <c r="I56" s="3">
        <v>10</v>
      </c>
      <c r="J56" s="6">
        <f t="shared" ref="J56:J63" si="23">((H56*12*2.54)^2*SIN(I56*0.01745)^2)/(2*$C$10)</f>
        <v>22.836479817759809</v>
      </c>
      <c r="K56" s="7">
        <f>J56/2.54</f>
        <v>8.9907400857322077</v>
      </c>
      <c r="L56" s="7">
        <f t="shared" ref="L56:L63" si="24">(((H56*12*2.54)^2)/$C$10)*SIN(2*I56*0.01745)/2</f>
        <v>259.07410583202113</v>
      </c>
      <c r="M56" s="7">
        <f>L56/2.54</f>
        <v>101.99767946142565</v>
      </c>
      <c r="N56" s="8">
        <f>M56/12</f>
        <v>8.4998066217854706</v>
      </c>
    </row>
    <row r="57" spans="1:14" x14ac:dyDescent="0.3">
      <c r="H57" s="3">
        <v>40</v>
      </c>
      <c r="I57" s="3">
        <v>20</v>
      </c>
      <c r="J57" s="6">
        <f t="shared" si="23"/>
        <v>88.592531335251124</v>
      </c>
      <c r="K57" s="7">
        <f t="shared" ref="K57:K63" si="25">J57/2.54</f>
        <v>34.878949344587056</v>
      </c>
      <c r="L57" s="7">
        <f t="shared" si="24"/>
        <v>486.91171973684845</v>
      </c>
      <c r="M57" s="7">
        <f t="shared" ref="M57:M63" si="26">L57/2.54</f>
        <v>191.69752745545213</v>
      </c>
      <c r="N57" s="8">
        <f t="shared" ref="N57:N63" si="27">M57/12</f>
        <v>15.974793954621012</v>
      </c>
    </row>
    <row r="58" spans="1:14" x14ac:dyDescent="0.3">
      <c r="H58" s="3">
        <v>40</v>
      </c>
      <c r="I58" s="3">
        <v>30</v>
      </c>
      <c r="J58" s="6">
        <f t="shared" si="23"/>
        <v>189.33996595256028</v>
      </c>
      <c r="K58" s="7">
        <f t="shared" si="25"/>
        <v>74.543293682110345</v>
      </c>
      <c r="L58" s="7">
        <f t="shared" si="24"/>
        <v>656.04252481579658</v>
      </c>
      <c r="M58" s="7">
        <f t="shared" si="26"/>
        <v>258.28445858889631</v>
      </c>
      <c r="N58" s="8">
        <f t="shared" si="27"/>
        <v>21.523704882408026</v>
      </c>
    </row>
    <row r="59" spans="1:14" x14ac:dyDescent="0.3">
      <c r="H59" s="3">
        <v>40</v>
      </c>
      <c r="I59" s="3">
        <v>40</v>
      </c>
      <c r="J59" s="6">
        <f t="shared" si="23"/>
        <v>312.93169387079593</v>
      </c>
      <c r="K59" s="7">
        <f t="shared" si="25"/>
        <v>123.20145427984092</v>
      </c>
      <c r="L59" s="7">
        <f t="shared" si="24"/>
        <v>746.07446756540253</v>
      </c>
      <c r="M59" s="7">
        <f t="shared" si="26"/>
        <v>293.73010534070966</v>
      </c>
      <c r="N59" s="8">
        <f t="shared" si="27"/>
        <v>24.477508778392473</v>
      </c>
    </row>
    <row r="60" spans="1:14" x14ac:dyDescent="0.3">
      <c r="H60" s="3">
        <v>40</v>
      </c>
      <c r="I60" s="3">
        <v>50</v>
      </c>
      <c r="J60" s="6">
        <f t="shared" si="23"/>
        <v>444.46629528581519</v>
      </c>
      <c r="K60" s="7">
        <f t="shared" si="25"/>
        <v>174.98673042748629</v>
      </c>
      <c r="L60" s="7">
        <f t="shared" si="24"/>
        <v>746.15242202139495</v>
      </c>
      <c r="M60" s="7">
        <f t="shared" si="26"/>
        <v>293.76079607141531</v>
      </c>
      <c r="N60" s="8">
        <f t="shared" si="27"/>
        <v>24.480066339284608</v>
      </c>
    </row>
    <row r="61" spans="1:14" x14ac:dyDescent="0.3">
      <c r="H61" s="3">
        <v>40</v>
      </c>
      <c r="I61" s="3">
        <v>60</v>
      </c>
      <c r="J61" s="6">
        <f t="shared" si="23"/>
        <v>568.08468037445004</v>
      </c>
      <c r="K61" s="7">
        <f t="shared" si="25"/>
        <v>223.65538597419294</v>
      </c>
      <c r="L61" s="7">
        <f t="shared" si="24"/>
        <v>656.26698923698405</v>
      </c>
      <c r="M61" s="7">
        <f t="shared" si="26"/>
        <v>258.37283040826145</v>
      </c>
      <c r="N61" s="8">
        <f t="shared" si="27"/>
        <v>21.531069200688453</v>
      </c>
    </row>
    <row r="62" spans="1:14" x14ac:dyDescent="0.3">
      <c r="H62" s="3">
        <v>40</v>
      </c>
      <c r="I62" s="3">
        <v>70</v>
      </c>
      <c r="J62" s="6">
        <f t="shared" si="23"/>
        <v>668.8822152850355</v>
      </c>
      <c r="K62" s="7">
        <f t="shared" si="25"/>
        <v>263.33945483662814</v>
      </c>
      <c r="L62" s="7">
        <f t="shared" si="24"/>
        <v>487.25563051122748</v>
      </c>
      <c r="M62" s="7">
        <f t="shared" si="26"/>
        <v>191.83292539812106</v>
      </c>
      <c r="N62" s="8">
        <f t="shared" si="27"/>
        <v>15.986077116510089</v>
      </c>
    </row>
    <row r="63" spans="1:14" x14ac:dyDescent="0.3">
      <c r="H63" s="3">
        <v>40</v>
      </c>
      <c r="I63" s="3">
        <v>80</v>
      </c>
      <c r="J63" s="6">
        <f t="shared" si="23"/>
        <v>734.70576964043914</v>
      </c>
      <c r="K63" s="7">
        <f t="shared" si="25"/>
        <v>289.25424001592091</v>
      </c>
      <c r="L63" s="7">
        <f t="shared" si="24"/>
        <v>259.49599773444692</v>
      </c>
      <c r="M63" s="7">
        <f t="shared" si="26"/>
        <v>102.16377863560902</v>
      </c>
      <c r="N63" s="8">
        <f t="shared" si="27"/>
        <v>8.513648219634085</v>
      </c>
    </row>
    <row r="66" spans="8:14" x14ac:dyDescent="0.3">
      <c r="H66" s="4" t="s">
        <v>6</v>
      </c>
      <c r="I66" s="4" t="s">
        <v>6</v>
      </c>
      <c r="J66" s="4" t="s">
        <v>8</v>
      </c>
      <c r="K66" s="4" t="s">
        <v>8</v>
      </c>
      <c r="L66" s="4" t="s">
        <v>15</v>
      </c>
      <c r="M66" s="4" t="s">
        <v>15</v>
      </c>
      <c r="N66" s="4" t="s">
        <v>15</v>
      </c>
    </row>
    <row r="67" spans="8:14" ht="15" thickBot="1" x14ac:dyDescent="0.35">
      <c r="H67" s="5" t="s">
        <v>17</v>
      </c>
      <c r="I67" s="5" t="s">
        <v>5</v>
      </c>
      <c r="J67" s="5" t="s">
        <v>14</v>
      </c>
      <c r="K67" s="5" t="s">
        <v>16</v>
      </c>
      <c r="L67" s="5" t="s">
        <v>14</v>
      </c>
      <c r="M67" s="5" t="s">
        <v>16</v>
      </c>
      <c r="N67" s="5" t="s">
        <v>18</v>
      </c>
    </row>
    <row r="68" spans="8:14" x14ac:dyDescent="0.3">
      <c r="H68" s="3">
        <v>50</v>
      </c>
      <c r="I68" s="3">
        <v>10</v>
      </c>
      <c r="J68" s="6">
        <f t="shared" ref="J68:J75" si="28">((H68*12*2.54)^2*SIN(I68*0.01745)^2)/(2*$C$10)</f>
        <v>35.681999715249695</v>
      </c>
      <c r="K68" s="7">
        <f>J68/2.54</f>
        <v>14.048031383956573</v>
      </c>
      <c r="L68" s="7">
        <f t="shared" ref="L68:L75" si="29">(((H68*12*2.54)^2)/$C$10)*SIN(2*I68*0.01745)/2</f>
        <v>404.80329036253301</v>
      </c>
      <c r="M68" s="7">
        <f>L68/2.54</f>
        <v>159.37137415847755</v>
      </c>
      <c r="N68" s="8">
        <f>M68/12</f>
        <v>13.280947846539796</v>
      </c>
    </row>
    <row r="69" spans="8:14" x14ac:dyDescent="0.3">
      <c r="H69" s="3">
        <v>50</v>
      </c>
      <c r="I69" s="3">
        <v>20</v>
      </c>
      <c r="J69" s="6">
        <f t="shared" si="28"/>
        <v>138.42583021132987</v>
      </c>
      <c r="K69" s="7">
        <f t="shared" ref="K69:K75" si="30">J69/2.54</f>
        <v>54.498358350917272</v>
      </c>
      <c r="L69" s="7">
        <f t="shared" si="29"/>
        <v>760.79956208882572</v>
      </c>
      <c r="M69" s="7">
        <f t="shared" ref="M69:M75" si="31">L69/2.54</f>
        <v>299.52738664914398</v>
      </c>
      <c r="N69" s="8">
        <f t="shared" ref="N69:N75" si="32">M69/12</f>
        <v>24.96061555409533</v>
      </c>
    </row>
    <row r="70" spans="8:14" x14ac:dyDescent="0.3">
      <c r="H70" s="3">
        <v>50</v>
      </c>
      <c r="I70" s="3">
        <v>30</v>
      </c>
      <c r="J70" s="6">
        <f t="shared" si="28"/>
        <v>295.84369680087542</v>
      </c>
      <c r="K70" s="7">
        <f t="shared" si="30"/>
        <v>116.47389637829741</v>
      </c>
      <c r="L70" s="7">
        <f t="shared" si="29"/>
        <v>1025.066445024682</v>
      </c>
      <c r="M70" s="7">
        <f t="shared" si="31"/>
        <v>403.56946654515042</v>
      </c>
      <c r="N70" s="8">
        <f t="shared" si="32"/>
        <v>33.630788878762537</v>
      </c>
    </row>
    <row r="71" spans="8:14" x14ac:dyDescent="0.3">
      <c r="H71" s="3">
        <v>50</v>
      </c>
      <c r="I71" s="3">
        <v>40</v>
      </c>
      <c r="J71" s="6">
        <f t="shared" si="28"/>
        <v>488.95577167311859</v>
      </c>
      <c r="K71" s="7">
        <f t="shared" si="30"/>
        <v>192.50227231225142</v>
      </c>
      <c r="L71" s="7">
        <f t="shared" si="29"/>
        <v>1165.7413555709416</v>
      </c>
      <c r="M71" s="7">
        <f t="shared" si="31"/>
        <v>458.95328959485886</v>
      </c>
      <c r="N71" s="8">
        <f t="shared" si="32"/>
        <v>38.246107466238236</v>
      </c>
    </row>
    <row r="72" spans="8:14" x14ac:dyDescent="0.3">
      <c r="H72" s="3">
        <v>50</v>
      </c>
      <c r="I72" s="3">
        <v>50</v>
      </c>
      <c r="J72" s="6">
        <f t="shared" si="28"/>
        <v>694.47858638408616</v>
      </c>
      <c r="K72" s="7">
        <f t="shared" si="30"/>
        <v>273.41676629294733</v>
      </c>
      <c r="L72" s="7">
        <f t="shared" si="29"/>
        <v>1165.8631594084295</v>
      </c>
      <c r="M72" s="7">
        <f t="shared" si="31"/>
        <v>459.00124386158643</v>
      </c>
      <c r="N72" s="8">
        <f t="shared" si="32"/>
        <v>38.2501036551322</v>
      </c>
    </row>
    <row r="73" spans="8:14" x14ac:dyDescent="0.3">
      <c r="H73" s="3">
        <v>50</v>
      </c>
      <c r="I73" s="3">
        <v>60</v>
      </c>
      <c r="J73" s="6">
        <f t="shared" si="28"/>
        <v>887.63231308507829</v>
      </c>
      <c r="K73" s="7">
        <f t="shared" si="30"/>
        <v>349.46154058467647</v>
      </c>
      <c r="L73" s="7">
        <f t="shared" si="29"/>
        <v>1025.4171706827874</v>
      </c>
      <c r="M73" s="7">
        <f t="shared" si="31"/>
        <v>403.70754751290843</v>
      </c>
      <c r="N73" s="8">
        <f t="shared" si="32"/>
        <v>33.6422956260757</v>
      </c>
    </row>
    <row r="74" spans="8:14" x14ac:dyDescent="0.3">
      <c r="H74" s="3">
        <v>50</v>
      </c>
      <c r="I74" s="3">
        <v>70</v>
      </c>
      <c r="J74" s="6">
        <f t="shared" si="28"/>
        <v>1045.128461382868</v>
      </c>
      <c r="K74" s="7">
        <f t="shared" si="30"/>
        <v>411.46789818223147</v>
      </c>
      <c r="L74" s="7">
        <f t="shared" si="29"/>
        <v>761.33692267379297</v>
      </c>
      <c r="M74" s="7">
        <f t="shared" si="31"/>
        <v>299.73894593456419</v>
      </c>
      <c r="N74" s="8">
        <f t="shared" si="32"/>
        <v>24.978245494547014</v>
      </c>
    </row>
    <row r="75" spans="8:14" x14ac:dyDescent="0.3">
      <c r="H75" s="3">
        <v>50</v>
      </c>
      <c r="I75" s="3">
        <v>80</v>
      </c>
      <c r="J75" s="6">
        <f t="shared" si="28"/>
        <v>1147.9777650631861</v>
      </c>
      <c r="K75" s="7">
        <f t="shared" si="30"/>
        <v>451.95975002487643</v>
      </c>
      <c r="L75" s="7">
        <f t="shared" si="29"/>
        <v>405.46249646007334</v>
      </c>
      <c r="M75" s="7">
        <f t="shared" si="31"/>
        <v>159.63090411813911</v>
      </c>
      <c r="N75" s="8">
        <f t="shared" si="32"/>
        <v>13.30257534317826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760CE-2D6D-4E8B-AFF0-30C50443C3C8}">
  <dimension ref="A2:F7"/>
  <sheetViews>
    <sheetView workbookViewId="0">
      <selection activeCell="B2" sqref="B2:D7"/>
    </sheetView>
  </sheetViews>
  <sheetFormatPr defaultRowHeight="14.4" x14ac:dyDescent="0.3"/>
  <cols>
    <col min="2" max="2" width="19.5546875" bestFit="1" customWidth="1"/>
    <col min="4" max="4" width="6.77734375" customWidth="1"/>
    <col min="6" max="6" width="4.21875" customWidth="1"/>
  </cols>
  <sheetData>
    <row r="2" spans="1:6" x14ac:dyDescent="0.3">
      <c r="A2" s="11" t="s">
        <v>25</v>
      </c>
      <c r="B2" t="s">
        <v>19</v>
      </c>
      <c r="C2">
        <v>1</v>
      </c>
      <c r="D2" t="s">
        <v>4</v>
      </c>
      <c r="E2">
        <f>C2*2.54</f>
        <v>2.54</v>
      </c>
      <c r="F2" t="s">
        <v>9</v>
      </c>
    </row>
    <row r="3" spans="1:6" x14ac:dyDescent="0.3">
      <c r="A3" s="11" t="s">
        <v>25</v>
      </c>
      <c r="B3" t="s">
        <v>23</v>
      </c>
      <c r="C3">
        <v>8000</v>
      </c>
    </row>
    <row r="4" spans="1:6" x14ac:dyDescent="0.3">
      <c r="A4" s="11" t="s">
        <v>26</v>
      </c>
      <c r="B4" t="s">
        <v>22</v>
      </c>
      <c r="C4">
        <f>3.14*C2</f>
        <v>3.14</v>
      </c>
      <c r="D4" t="s">
        <v>4</v>
      </c>
      <c r="E4" s="10">
        <f>C4*2.54</f>
        <v>7.9756</v>
      </c>
      <c r="F4" t="s">
        <v>9</v>
      </c>
    </row>
    <row r="5" spans="1:6" x14ac:dyDescent="0.3">
      <c r="A5" s="11"/>
      <c r="E5" s="10"/>
    </row>
    <row r="6" spans="1:6" x14ac:dyDescent="0.3">
      <c r="A6" s="11" t="s">
        <v>26</v>
      </c>
      <c r="B6" t="s">
        <v>20</v>
      </c>
      <c r="C6">
        <f>C3*C4</f>
        <v>25120</v>
      </c>
      <c r="D6" t="s">
        <v>24</v>
      </c>
      <c r="E6" s="10"/>
    </row>
    <row r="7" spans="1:6" x14ac:dyDescent="0.3">
      <c r="A7" s="11" t="s">
        <v>26</v>
      </c>
      <c r="B7" t="s">
        <v>20</v>
      </c>
      <c r="C7" s="9">
        <f>C6/12/60</f>
        <v>34.888888888888893</v>
      </c>
      <c r="D7" t="s">
        <v>21</v>
      </c>
      <c r="E7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Charts</vt:lpstr>
      </vt:variant>
      <vt:variant>
        <vt:i4>3</vt:i4>
      </vt:variant>
    </vt:vector>
  </HeadingPairs>
  <TitlesOfParts>
    <vt:vector size="9" baseType="lpstr">
      <vt:lpstr>Ballistics</vt:lpstr>
      <vt:lpstr>Ballistics2</vt:lpstr>
      <vt:lpstr>DistanceSpeedTesting</vt:lpstr>
      <vt:lpstr>Locations</vt:lpstr>
      <vt:lpstr>Plot Data</vt:lpstr>
      <vt:lpstr>Motor Speed Estimator</vt:lpstr>
      <vt:lpstr>Height</vt:lpstr>
      <vt:lpstr>Distance</vt:lpstr>
      <vt:lpstr>Defense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Fuller</dc:creator>
  <cp:lastModifiedBy>Jonas Muhlenkamp</cp:lastModifiedBy>
  <dcterms:created xsi:type="dcterms:W3CDTF">2020-01-05T23:35:41Z</dcterms:created>
  <dcterms:modified xsi:type="dcterms:W3CDTF">2020-02-06T05:14:22Z</dcterms:modified>
</cp:coreProperties>
</file>