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Co" sheetId="1" r:id="rId4"/>
    <sheet state="hidden" name="Slides" sheetId="2" r:id="rId5"/>
  </sheets>
  <definedNames/>
  <calcPr/>
</workbook>
</file>

<file path=xl/sharedStrings.xml><?xml version="1.0" encoding="utf-8"?>
<sst xmlns="http://schemas.openxmlformats.org/spreadsheetml/2006/main" count="148" uniqueCount="128">
  <si>
    <t>Parameters</t>
  </si>
  <si>
    <t>Monthly</t>
  </si>
  <si>
    <t>Month</t>
  </si>
  <si>
    <t>General</t>
  </si>
  <si>
    <t>Company Name</t>
  </si>
  <si>
    <t>SmartVision</t>
  </si>
  <si>
    <t>Currency</t>
  </si>
  <si>
    <t>EUR</t>
  </si>
  <si>
    <t>Area unit</t>
  </si>
  <si>
    <t>m2</t>
  </si>
  <si>
    <t>Revenue</t>
  </si>
  <si>
    <t>Customer acquisition cost (CAC)</t>
  </si>
  <si>
    <t>Percentage of paying users (PPU)</t>
  </si>
  <si>
    <t>Monthly average revenue per user (ARPU)</t>
  </si>
  <si>
    <t>Monthly average revenue per paying user (ARPPU)</t>
  </si>
  <si>
    <t>First asset sale per paying user (ASPPU)</t>
  </si>
  <si>
    <t>Periodic next asset sales per paying user (PASPPU)</t>
  </si>
  <si>
    <t>Periodicity of next asset sales</t>
  </si>
  <si>
    <t>months</t>
  </si>
  <si>
    <t>Monthly Churn Rate (CR)</t>
  </si>
  <si>
    <t>Direct asset sales</t>
  </si>
  <si>
    <t>Channel margin for indirect asset sales</t>
  </si>
  <si>
    <t>COGS - Costs of Goods Sold</t>
  </si>
  <si>
    <t>Monthly direct costs per active user</t>
  </si>
  <si>
    <t>Monthly direct costs per paying user</t>
  </si>
  <si>
    <t>Asset sale gross margin</t>
  </si>
  <si>
    <t>SG&amp;A - Selling, General &amp; Administrative costs</t>
  </si>
  <si>
    <t>Average Monthly Employee Cost</t>
  </si>
  <si>
    <t>Area for 5 employees</t>
  </si>
  <si>
    <t>Monthly office rent with services</t>
  </si>
  <si>
    <t>Monthly professional services (accounts, law, etc.)</t>
  </si>
  <si>
    <t>Monthly tech support and software licenses</t>
  </si>
  <si>
    <t>Monthly insurance</t>
  </si>
  <si>
    <t>Monthly communications</t>
  </si>
  <si>
    <t>Monthly IP costs</t>
  </si>
  <si>
    <t>Capex</t>
  </si>
  <si>
    <t>Furniture for 5 employees</t>
  </si>
  <si>
    <t>Servers, printers and network equip for 10 empl</t>
  </si>
  <si>
    <t>Computer for new employee</t>
  </si>
  <si>
    <t>Mobile phone for new employee</t>
  </si>
  <si>
    <t>Valuation</t>
  </si>
  <si>
    <t>Revenue multiplier</t>
  </si>
  <si>
    <t>x</t>
  </si>
  <si>
    <t>Expected IRR</t>
  </si>
  <si>
    <t>Plan</t>
  </si>
  <si>
    <t>M</t>
  </si>
  <si>
    <t>Milestone</t>
  </si>
  <si>
    <t>Staff</t>
  </si>
  <si>
    <t>Mkt/m</t>
  </si>
  <si>
    <t>Add. Serv.</t>
  </si>
  <si>
    <t>Add. Capex</t>
  </si>
  <si>
    <t>Invest</t>
  </si>
  <si>
    <t>Start</t>
  </si>
  <si>
    <t>MVP Ready</t>
  </si>
  <si>
    <t>Private Beta Launch</t>
  </si>
  <si>
    <t>Public Beta Launch</t>
  </si>
  <si>
    <t>V1.0 Launch</t>
  </si>
  <si>
    <t>1K revenue/month</t>
  </si>
  <si>
    <t>100% growth rate/month</t>
  </si>
  <si>
    <t>Hire VP marketing</t>
  </si>
  <si>
    <t>10K revenue/month</t>
  </si>
  <si>
    <t>50K revenue/month</t>
  </si>
  <si>
    <t>3-Year checkpoint</t>
  </si>
  <si>
    <t>Marketing</t>
  </si>
  <si>
    <t>New Users (NU)</t>
  </si>
  <si>
    <t>Results</t>
  </si>
  <si>
    <t>New Paying Users (NPU)</t>
  </si>
  <si>
    <t>Lost Users</t>
  </si>
  <si>
    <t>Active Users</t>
  </si>
  <si>
    <t>Active Paying Users</t>
  </si>
  <si>
    <t xml:space="preserve">Ending Cash Balance </t>
  </si>
  <si>
    <t>Periodic Asset Sales</t>
  </si>
  <si>
    <t>Totals</t>
  </si>
  <si>
    <t>Asset Sales Revenue</t>
  </si>
  <si>
    <t>Investment</t>
  </si>
  <si>
    <t>Periodic Asset Sales Revenue</t>
  </si>
  <si>
    <t>Monthly Recurr Rev (MRR)</t>
  </si>
  <si>
    <t>New Users</t>
  </si>
  <si>
    <t>Metrics</t>
  </si>
  <si>
    <t>COGS Recurr Rev (COGS-RR)</t>
  </si>
  <si>
    <t>CAC</t>
  </si>
  <si>
    <t>COGS Asset Sales (COGS-A)</t>
  </si>
  <si>
    <t>Average revenue per user (ARPU)</t>
  </si>
  <si>
    <t>COGS</t>
  </si>
  <si>
    <t>Churn</t>
  </si>
  <si>
    <t>Gross Profit</t>
  </si>
  <si>
    <t>Payroll</t>
  </si>
  <si>
    <t>Rent</t>
  </si>
  <si>
    <t>Professional Services</t>
  </si>
  <si>
    <t>Tech support and Software</t>
  </si>
  <si>
    <t>Insurance</t>
  </si>
  <si>
    <t>Communications</t>
  </si>
  <si>
    <t>IP costs</t>
  </si>
  <si>
    <t>Additional Services</t>
  </si>
  <si>
    <t>SG&amp;A</t>
  </si>
  <si>
    <t>Net Cash Burn</t>
  </si>
  <si>
    <t>Furniture</t>
  </si>
  <si>
    <t>Servers, printers, network</t>
  </si>
  <si>
    <t>Computers</t>
  </si>
  <si>
    <t>Mobile phones</t>
  </si>
  <si>
    <t>Additional Capex</t>
  </si>
  <si>
    <t>Initial Cash Balance</t>
  </si>
  <si>
    <t>Operating Income</t>
  </si>
  <si>
    <t>Cash Balance</t>
  </si>
  <si>
    <t>Net Cash Balance</t>
  </si>
  <si>
    <t>Free cashflow</t>
  </si>
  <si>
    <t>Date</t>
  </si>
  <si>
    <t>Year</t>
  </si>
  <si>
    <t>Gross Margin</t>
  </si>
  <si>
    <t>EBITDA</t>
  </si>
  <si>
    <t>Exit Value</t>
  </si>
  <si>
    <t>Free Cashflow+Exit</t>
  </si>
  <si>
    <r>
      <rPr>
        <rFont val="Calibri"/>
        <color rgb="FF000000"/>
        <sz val="18.0"/>
      </rPr>
      <t>m</t>
    </r>
    <r>
      <rPr>
        <rFont val="Calibri"/>
        <color rgb="FF000000"/>
        <sz val="18.0"/>
        <vertAlign val="superscript"/>
      </rPr>
      <t xml:space="preserve">2 </t>
    </r>
  </si>
  <si>
    <t xml:space="preserve">Toneladas </t>
  </si>
  <si>
    <t xml:space="preserve">Precio/ton. </t>
  </si>
  <si>
    <t xml:space="preserve">Ventas </t>
  </si>
  <si>
    <t xml:space="preserve">Costos </t>
  </si>
  <si>
    <t xml:space="preserve">Utilidad bruta </t>
  </si>
  <si>
    <t xml:space="preserve">Margen </t>
  </si>
  <si>
    <t xml:space="preserve">Gastos </t>
  </si>
  <si>
    <t xml:space="preserve">EBITDA </t>
  </si>
  <si>
    <t xml:space="preserve">FCFF </t>
  </si>
  <si>
    <t xml:space="preserve">Valor terminal </t>
  </si>
  <si>
    <t xml:space="preserve">Inversión </t>
  </si>
  <si>
    <t xml:space="preserve">Adj. FCF </t>
  </si>
  <si>
    <t xml:space="preserve">NPV </t>
  </si>
  <si>
    <t xml:space="preserve">IRR </t>
  </si>
  <si>
    <t xml:space="preserve">xMoney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</si>
</sst>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17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8.0"/>
      <color theme="0"/>
      <name val="Arial"/>
    </font>
    <font>
      <b/>
      <sz val="11.0"/>
      <color theme="0"/>
      <name val="Calibri"/>
    </font>
    <font>
      <sz val="11.0"/>
      <color theme="0"/>
      <name val="Calibri"/>
    </font>
    <font>
      <b/>
      <sz val="11.0"/>
      <color theme="1"/>
      <name val="Calibri"/>
    </font>
    <font>
      <sz val="11.0"/>
      <color rgb="FF7F7F7F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7F7F7F"/>
      <name val="Calibri"/>
    </font>
    <font>
      <sz val="18.0"/>
      <color rgb="FF000000"/>
      <name val="Calibri"/>
    </font>
    <font>
      <sz val="1.0"/>
      <color rgb="FF000000"/>
      <name val="Calibri"/>
    </font>
    <font>
      <i/>
      <sz val="16.0"/>
      <color rgb="FF000000"/>
      <name val="Calibri"/>
    </font>
    <font>
      <i/>
      <sz val="18.0"/>
      <color rgb="FF000000"/>
      <name val="Calibri"/>
    </font>
    <font>
      <sz val="18.0"/>
      <color rgb="FFFF0000"/>
      <name val="Calibri"/>
    </font>
    <font>
      <b/>
      <sz val="1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  <fill>
      <patternFill patternType="solid">
        <fgColor rgb="FFD9D9D9"/>
        <bgColor rgb="FFD9D9D9"/>
      </patternFill>
    </fill>
  </fills>
  <borders count="24">
    <border/>
    <border>
      <left/>
      <right/>
      <top/>
      <bottom/>
    </border>
    <border>
      <left style="thin">
        <color rgb="FFBFBFBF"/>
      </left>
      <right/>
      <top style="thin">
        <color rgb="FFBFBFBF"/>
      </top>
      <bottom/>
    </border>
    <border>
      <left/>
      <right/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</border>
    <border>
      <right style="thin">
        <color rgb="FFBFBFBF"/>
      </right>
    </border>
    <border>
      <bottom style="thin">
        <color rgb="FFD8D8D8"/>
      </bottom>
    </border>
    <border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BFBFBF"/>
      </lef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dotted">
        <color rgb="FFD8D8D8"/>
      </left>
      <right/>
      <top/>
      <bottom/>
    </border>
    <border>
      <left style="dotted">
        <color rgb="FFBFBFBF"/>
      </left>
      <right/>
      <top/>
      <bottom/>
    </border>
    <border>
      <left/>
      <right style="dotted">
        <color rgb="FFBFBFBF"/>
      </right>
      <top/>
      <bottom/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bottom style="thin">
        <color theme="9"/>
      </bottom>
    </border>
    <border>
      <left style="dotted">
        <color rgb="FFD8D8D8"/>
      </left>
    </border>
    <border>
      <right style="dotted">
        <color rgb="FFBFBFBF"/>
      </right>
    </border>
    <border>
      <left style="dotted">
        <color rgb="FFBFBFBF"/>
      </lef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1" fillId="2" fontId="3" numFmtId="3" xfId="0" applyBorder="1" applyFill="1" applyFont="1" applyNumberFormat="1"/>
    <xf borderId="1" fillId="2" fontId="3" numFmtId="3" xfId="0" applyAlignment="1" applyBorder="1" applyFont="1" applyNumberFormat="1">
      <alignment horizontal="center"/>
    </xf>
    <xf borderId="2" fillId="2" fontId="4" numFmtId="0" xfId="0" applyBorder="1" applyFont="1"/>
    <xf borderId="3" fillId="2" fontId="5" numFmtId="0" xfId="0" applyBorder="1" applyFont="1"/>
    <xf borderId="3" fillId="2" fontId="5" numFmtId="0" xfId="0" applyAlignment="1" applyBorder="1" applyFont="1">
      <alignment horizontal="right"/>
    </xf>
    <xf borderId="4" fillId="2" fontId="5" numFmtId="0" xfId="0" applyBorder="1" applyFont="1"/>
    <xf borderId="5" fillId="0" fontId="2" numFmtId="0" xfId="0" applyBorder="1" applyFont="1"/>
    <xf borderId="0" fillId="0" fontId="2" numFmtId="0" xfId="0" applyFont="1"/>
    <xf borderId="6" fillId="0" fontId="2" numFmtId="0" xfId="0" applyBorder="1" applyFont="1"/>
    <xf borderId="1" fillId="3" fontId="2" numFmtId="0" xfId="0" applyAlignment="1" applyBorder="1" applyFill="1" applyFont="1">
      <alignment horizontal="right"/>
    </xf>
    <xf borderId="1" fillId="3" fontId="2" numFmtId="0" xfId="0" applyAlignment="1" applyBorder="1" applyFont="1">
      <alignment horizontal="center"/>
    </xf>
    <xf borderId="7" fillId="0" fontId="6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right"/>
    </xf>
    <xf borderId="0" fillId="0" fontId="2" numFmtId="0" xfId="0" applyAlignment="1" applyFont="1">
      <alignment textRotation="90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right"/>
    </xf>
    <xf borderId="9" fillId="0" fontId="7" numFmtId="0" xfId="0" applyAlignment="1" applyBorder="1" applyFont="1">
      <alignment horizontal="right" readingOrder="0"/>
    </xf>
    <xf borderId="10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right"/>
    </xf>
    <xf borderId="12" fillId="0" fontId="7" numFmtId="0" xfId="0" applyAlignment="1" applyBorder="1" applyFont="1">
      <alignment horizontal="right"/>
    </xf>
    <xf borderId="12" fillId="0" fontId="7" numFmtId="0" xfId="0" applyAlignment="1" applyBorder="1" applyFont="1">
      <alignment horizontal="right" readingOrder="0"/>
    </xf>
    <xf borderId="12" fillId="0" fontId="7" numFmtId="9" xfId="0" applyAlignment="1" applyBorder="1" applyFont="1" applyNumberFormat="1">
      <alignment horizontal="right" readingOrder="0"/>
    </xf>
    <xf borderId="0" fillId="0" fontId="8" numFmtId="0" xfId="0" applyFont="1"/>
    <xf borderId="12" fillId="0" fontId="7" numFmtId="9" xfId="0" applyAlignment="1" applyBorder="1" applyFont="1" applyNumberFormat="1">
      <alignment horizontal="right"/>
    </xf>
    <xf borderId="7" fillId="0" fontId="6" numFmtId="0" xfId="0" applyAlignment="1" applyBorder="1" applyFont="1">
      <alignment horizontal="left"/>
    </xf>
    <xf borderId="0" fillId="0" fontId="7" numFmtId="0" xfId="0" applyAlignment="1" applyFont="1">
      <alignment horizontal="right"/>
    </xf>
    <xf borderId="13" fillId="0" fontId="2" numFmtId="0" xfId="0" applyBorder="1" applyFont="1"/>
    <xf borderId="14" fillId="0" fontId="2" numFmtId="0" xfId="0" applyBorder="1" applyFont="1"/>
    <xf borderId="14" fillId="0" fontId="2" numFmtId="0" xfId="0" applyAlignment="1" applyBorder="1" applyFont="1">
      <alignment horizontal="right"/>
    </xf>
    <xf borderId="15" fillId="0" fontId="2" numFmtId="0" xfId="0" applyBorder="1" applyFont="1"/>
    <xf borderId="0" fillId="0" fontId="2" numFmtId="0" xfId="0" applyAlignment="1" applyFont="1">
      <alignment horizontal="center"/>
    </xf>
    <xf borderId="0" fillId="0" fontId="6" numFmtId="0" xfId="0" applyFont="1"/>
    <xf borderId="1" fillId="3" fontId="6" numFmtId="0" xfId="0" applyAlignment="1" applyBorder="1" applyFont="1">
      <alignment horizontal="center"/>
    </xf>
    <xf borderId="1" fillId="3" fontId="6" numFmtId="0" xfId="0" applyBorder="1" applyFont="1"/>
    <xf borderId="1" fillId="3" fontId="6" numFmtId="0" xfId="0" applyAlignment="1" applyBorder="1" applyFont="1">
      <alignment horizontal="right"/>
    </xf>
    <xf borderId="1" fillId="3" fontId="9" numFmtId="0" xfId="0" applyAlignment="1" applyBorder="1" applyFont="1">
      <alignment horizontal="right"/>
    </xf>
    <xf borderId="1" fillId="3" fontId="9" numFmtId="0" xfId="0" applyAlignment="1" applyBorder="1" applyFont="1">
      <alignment horizontal="center"/>
    </xf>
    <xf borderId="16" fillId="3" fontId="9" numFmtId="0" xfId="0" applyAlignment="1" applyBorder="1" applyFont="1">
      <alignment horizontal="center"/>
    </xf>
    <xf borderId="17" fillId="3" fontId="9" numFmtId="0" xfId="0" applyAlignment="1" applyBorder="1" applyFont="1">
      <alignment horizontal="center"/>
    </xf>
    <xf borderId="18" fillId="3" fontId="9" numFmtId="0" xfId="0" applyAlignment="1" applyBorder="1" applyFont="1">
      <alignment horizontal="center"/>
    </xf>
    <xf borderId="19" fillId="0" fontId="10" numFmtId="0" xfId="0" applyBorder="1" applyFont="1"/>
    <xf borderId="10" fillId="0" fontId="10" numFmtId="0" xfId="0" applyBorder="1" applyFont="1"/>
    <xf borderId="10" fillId="0" fontId="7" numFmtId="0" xfId="0" applyAlignment="1" applyBorder="1" applyFont="1">
      <alignment readingOrder="0"/>
    </xf>
    <xf borderId="10" fillId="0" fontId="7" numFmtId="0" xfId="0" applyBorder="1" applyFont="1"/>
    <xf borderId="11" fillId="0" fontId="7" numFmtId="0" xfId="0" applyAlignment="1" applyBorder="1" applyFont="1">
      <alignment readingOrder="0"/>
    </xf>
    <xf borderId="20" fillId="0" fontId="9" numFmtId="0" xfId="0" applyAlignment="1" applyBorder="1" applyFont="1">
      <alignment horizontal="right"/>
    </xf>
    <xf borderId="0" fillId="0" fontId="9" numFmtId="0" xfId="0" applyAlignment="1" applyFont="1">
      <alignment horizontal="right"/>
    </xf>
    <xf borderId="21" fillId="0" fontId="9" numFmtId="0" xfId="0" applyAlignment="1" applyBorder="1" applyFont="1">
      <alignment horizontal="right"/>
    </xf>
    <xf borderId="22" fillId="0" fontId="9" numFmtId="0" xfId="0" applyAlignment="1" applyBorder="1" applyFont="1">
      <alignment horizontal="right"/>
    </xf>
    <xf borderId="11" fillId="0" fontId="7" numFmtId="0" xfId="0" applyBorder="1" applyFont="1"/>
    <xf borderId="19" fillId="0" fontId="10" numFmtId="0" xfId="0" applyAlignment="1" applyBorder="1" applyFont="1">
      <alignment readingOrder="0"/>
    </xf>
    <xf borderId="23" fillId="0" fontId="9" numFmtId="0" xfId="0" applyAlignment="1" applyBorder="1" applyFont="1">
      <alignment horizontal="right"/>
    </xf>
    <xf borderId="8" fillId="0" fontId="2" numFmtId="0" xfId="0" applyBorder="1" applyFont="1"/>
    <xf borderId="0" fillId="0" fontId="6" numFmtId="0" xfId="0" applyAlignment="1" applyFont="1">
      <alignment horizontal="right"/>
    </xf>
    <xf borderId="0" fillId="0" fontId="2" numFmtId="1" xfId="0" applyFont="1" applyNumberFormat="1"/>
    <xf borderId="0" fillId="0" fontId="6" numFmtId="1" xfId="0" applyFont="1" applyNumberFormat="1"/>
    <xf borderId="7" fillId="0" fontId="6" numFmtId="0" xfId="0" applyAlignment="1" applyBorder="1" applyFont="1">
      <alignment horizontal="right"/>
    </xf>
    <xf borderId="7" fillId="0" fontId="2" numFmtId="1" xfId="0" applyAlignment="1" applyBorder="1" applyFont="1" applyNumberFormat="1">
      <alignment horizontal="right"/>
    </xf>
    <xf borderId="7" fillId="0" fontId="2" numFmtId="9" xfId="0" applyAlignment="1" applyBorder="1" applyFont="1" applyNumberFormat="1">
      <alignment horizontal="right"/>
    </xf>
    <xf borderId="0" fillId="0" fontId="6" numFmtId="0" xfId="0" applyAlignment="1" applyFont="1">
      <alignment horizontal="left"/>
    </xf>
    <xf borderId="0" fillId="0" fontId="2" numFmtId="9" xfId="0" applyFont="1" applyNumberFormat="1"/>
    <xf borderId="0" fillId="0" fontId="2" numFmtId="16" xfId="0" applyAlignment="1" applyFont="1" applyNumberFormat="1">
      <alignment readingOrder="0"/>
    </xf>
    <xf borderId="0" fillId="0" fontId="2" numFmtId="16" xfId="0" applyFont="1" applyNumberFormat="1"/>
    <xf borderId="0" fillId="0" fontId="2" numFmtId="9" xfId="0" applyAlignment="1" applyFont="1" applyNumberFormat="1">
      <alignment horizontal="right"/>
    </xf>
    <xf borderId="0" fillId="0" fontId="11" numFmtId="0" xfId="0" applyAlignment="1" applyFont="1">
      <alignment horizontal="left" readingOrder="1" shrinkToFit="0" vertical="center" wrapText="1"/>
    </xf>
    <xf borderId="0" fillId="0" fontId="11" numFmtId="3" xfId="0" applyAlignment="1" applyFont="1" applyNumberFormat="1">
      <alignment horizontal="right" readingOrder="1" shrinkToFit="0" wrapText="1"/>
    </xf>
    <xf borderId="0" fillId="0" fontId="11" numFmtId="37" xfId="0" applyAlignment="1" applyFont="1" applyNumberFormat="1">
      <alignment horizontal="right" readingOrder="1" shrinkToFit="0" wrapText="1"/>
    </xf>
    <xf borderId="0" fillId="0" fontId="12" numFmtId="0" xfId="0" applyAlignment="1" applyFont="1">
      <alignment horizontal="left" shrinkToFit="0" vertical="center" wrapText="1"/>
    </xf>
    <xf borderId="1" fillId="4" fontId="11" numFmtId="0" xfId="0" applyAlignment="1" applyBorder="1" applyFill="1" applyFont="1">
      <alignment horizontal="left" readingOrder="1" shrinkToFit="0" vertical="center" wrapText="1"/>
    </xf>
    <xf borderId="1" fillId="4" fontId="11" numFmtId="3" xfId="0" applyAlignment="1" applyBorder="1" applyFont="1" applyNumberFormat="1">
      <alignment horizontal="right" readingOrder="1" shrinkToFit="0" wrapText="1"/>
    </xf>
    <xf borderId="0" fillId="0" fontId="13" numFmtId="0" xfId="0" applyAlignment="1" applyFont="1">
      <alignment horizontal="right" readingOrder="1" shrinkToFit="0" vertical="center" wrapText="1"/>
    </xf>
    <xf borderId="0" fillId="0" fontId="14" numFmtId="10" xfId="0" applyAlignment="1" applyFont="1" applyNumberFormat="1">
      <alignment horizontal="right" readingOrder="1" shrinkToFit="0" wrapText="1"/>
    </xf>
    <xf borderId="1" fillId="4" fontId="15" numFmtId="3" xfId="0" applyAlignment="1" applyBorder="1" applyFont="1" applyNumberFormat="1">
      <alignment horizontal="right" readingOrder="1" shrinkToFit="0" wrapText="1"/>
    </xf>
    <xf borderId="1" fillId="5" fontId="11" numFmtId="0" xfId="0" applyAlignment="1" applyBorder="1" applyFill="1" applyFont="1">
      <alignment horizontal="left" readingOrder="1" shrinkToFit="0" vertical="center" wrapText="1"/>
    </xf>
    <xf borderId="0" fillId="0" fontId="16" numFmtId="0" xfId="0" applyAlignment="1" applyFont="1">
      <alignment horizontal="left" readingOrder="1" shrinkToFit="0" vertical="center" wrapText="1"/>
    </xf>
    <xf borderId="1" fillId="6" fontId="16" numFmtId="0" xfId="0" applyAlignment="1" applyBorder="1" applyFill="1" applyFont="1">
      <alignment horizontal="left" readingOrder="1" shrinkToFit="0" vertical="center" wrapText="1"/>
    </xf>
    <xf borderId="1" fillId="6" fontId="16" numFmtId="164" xfId="0" applyAlignment="1" applyBorder="1" applyFont="1" applyNumberFormat="1">
      <alignment horizontal="right" readingOrder="1" shrinkToFit="0" wrapText="1"/>
    </xf>
    <xf borderId="0" fillId="0" fontId="11" numFmtId="0" xfId="0" applyAlignment="1" applyFont="1">
      <alignment horizontal="right" shrinkToFit="0" vertical="center" wrapText="1"/>
    </xf>
    <xf borderId="1" fillId="6" fontId="16" numFmtId="165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4">
    <dxf>
      <font/>
      <fill>
        <patternFill patternType="none"/>
      </fill>
      <border>
        <bottom style="thin">
          <color theme="9"/>
        </bottom>
      </border>
    </dxf>
    <dxf>
      <font/>
      <fill>
        <patternFill patternType="none"/>
      </fill>
      <border>
        <right style="thin">
          <color theme="9"/>
        </right>
        <bottom style="thin">
          <color theme="9"/>
        </bottom>
      </border>
    </dxf>
    <dxf>
      <font/>
      <fill>
        <patternFill patternType="none"/>
      </fill>
      <border>
        <right style="thin">
          <color rgb="FFFBD4B4"/>
        </right>
      </border>
    </dxf>
    <dxf>
      <font/>
      <fill>
        <patternFill patternType="none"/>
      </fill>
      <border>
        <right style="thin">
          <color rgb="FFD8D8D8"/>
        </right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7346663609193744"/>
          <c:y val="0.10482889777779245"/>
          <c:w val="0.9655266016724104"/>
          <c:h val="0.7978971488190654"/>
        </c:manualLayout>
      </c:layout>
      <c:lineChart>
        <c:ser>
          <c:idx val="0"/>
          <c:order val="0"/>
          <c:tx>
            <c:v>Net Cash Balance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ExampleCo!$N$111:$AX$111</c:f>
            </c:strRef>
          </c:cat>
          <c:val>
            <c:numRef>
              <c:f>ExampleCo!$N$107:$AX$107</c:f>
              <c:numCache/>
            </c:numRef>
          </c:val>
          <c:smooth val="0"/>
        </c:ser>
        <c:ser>
          <c:idx val="1"/>
          <c:order val="1"/>
          <c:tx>
            <c:v>Cash Balance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ExampleCo!$N$111:$AX$111</c:f>
            </c:strRef>
          </c:cat>
          <c:val>
            <c:numRef>
              <c:f>ExampleCo!$N$106:$AX$106</c:f>
              <c:numCache/>
            </c:numRef>
          </c:val>
          <c:smooth val="0"/>
        </c:ser>
        <c:axId val="354510817"/>
        <c:axId val="748264533"/>
      </c:lineChart>
      <c:catAx>
        <c:axId val="354510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8264533"/>
      </c:catAx>
      <c:valAx>
        <c:axId val="74826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4510817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0618364654034892"/>
          <c:y val="0.11290255665612198"/>
          <c:w val="0.973357538960423"/>
          <c:h val="0.8115859824716071"/>
        </c:manualLayout>
      </c:layout>
      <c:lineChart>
        <c:ser>
          <c:idx val="0"/>
          <c:order val="0"/>
          <c:tx>
            <c:v>SG&amp;A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ExampleCo!$N$65:$AX$65</c:f>
            </c:strRef>
          </c:cat>
          <c:val>
            <c:numRef>
              <c:f>ExampleCo!$N$93:$AX$93</c:f>
              <c:numCache/>
            </c:numRef>
          </c:val>
          <c:smooth val="0"/>
        </c:ser>
        <c:ser>
          <c:idx val="1"/>
          <c:order val="1"/>
          <c:tx>
            <c:v>Net Cash Burn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ExampleCo!$N$65:$AX$65</c:f>
            </c:strRef>
          </c:cat>
          <c:val>
            <c:numRef>
              <c:f>ExampleCo!$N$94:$AX$94</c:f>
              <c:numCache/>
            </c:numRef>
          </c:val>
          <c:smooth val="0"/>
        </c:ser>
        <c:axId val="242908831"/>
        <c:axId val="116851253"/>
      </c:lineChart>
      <c:catAx>
        <c:axId val="242908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851253"/>
      </c:catAx>
      <c:valAx>
        <c:axId val="116851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2908831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COGS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ExampleCo!$N$65:$AX$65</c:f>
            </c:strRef>
          </c:cat>
          <c:val>
            <c:numRef>
              <c:f>ExampleCo!$N$81:$AX$81</c:f>
              <c:numCache/>
            </c:numRef>
          </c:val>
          <c:smooth val="0"/>
        </c:ser>
        <c:ser>
          <c:idx val="1"/>
          <c:order val="1"/>
          <c:tx>
            <c:v>Revenue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ExampleCo!$N$65:$AX$65</c:f>
            </c:strRef>
          </c:cat>
          <c:val>
            <c:numRef>
              <c:f>ExampleCo!$N$77:$AX$77</c:f>
              <c:numCache/>
            </c:numRef>
          </c:val>
          <c:smooth val="0"/>
        </c:ser>
        <c:axId val="1396230844"/>
        <c:axId val="1250975603"/>
      </c:lineChart>
      <c:catAx>
        <c:axId val="1396230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0975603"/>
      </c:catAx>
      <c:valAx>
        <c:axId val="1250975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6230844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1114425</xdr:colOff>
      <xdr:row>33</xdr:row>
      <xdr:rowOff>152400</xdr:rowOff>
    </xdr:from>
    <xdr:ext cx="17487900" cy="3238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1114425</xdr:colOff>
      <xdr:row>19</xdr:row>
      <xdr:rowOff>180975</xdr:rowOff>
    </xdr:from>
    <xdr:ext cx="17487900" cy="2771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1114425</xdr:colOff>
      <xdr:row>4</xdr:row>
      <xdr:rowOff>152400</xdr:rowOff>
    </xdr:from>
    <xdr:ext cx="17487900" cy="3009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3" width="3.86"/>
    <col customWidth="1" min="4" max="4" width="38.86"/>
    <col customWidth="1" min="5" max="5" width="6.86"/>
    <col customWidth="1" min="6" max="6" width="10.86"/>
    <col customWidth="1" min="7" max="7" width="10.71"/>
    <col customWidth="1" min="8" max="9" width="10.86"/>
    <col customWidth="1" min="10" max="11" width="4.29"/>
    <col customWidth="1" min="12" max="12" width="4.86"/>
    <col customWidth="1" min="13" max="13" width="24.0"/>
    <col customWidth="1" min="14" max="14" width="6.86"/>
    <col customWidth="1" min="15" max="15" width="11.29"/>
    <col customWidth="1" min="16" max="16" width="11.71"/>
    <col customWidth="1" min="17" max="17" width="11.43"/>
    <col customWidth="1" min="18" max="50" width="6.86"/>
    <col customWidth="1" min="51" max="51" width="4.86"/>
    <col customWidth="1" min="52" max="52" width="7.86"/>
  </cols>
  <sheetData>
    <row r="1">
      <c r="A1" s="1"/>
      <c r="B1" s="1"/>
      <c r="C1" s="1"/>
      <c r="D1" s="1"/>
      <c r="E1" s="2"/>
      <c r="M1" s="2"/>
    </row>
    <row r="2">
      <c r="A2" s="3" t="str">
        <f>$F$7 &amp; " Operacional-Financial Timeline"</f>
        <v>SmartVision Operacional-Financial Timeline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>
      <c r="E3" s="2"/>
      <c r="H3" s="2"/>
      <c r="M3" s="2"/>
    </row>
    <row r="4">
      <c r="B4" s="5" t="s">
        <v>0</v>
      </c>
      <c r="C4" s="6"/>
      <c r="D4" s="6"/>
      <c r="E4" s="7"/>
      <c r="F4" s="6"/>
      <c r="G4" s="6"/>
      <c r="H4" s="6"/>
      <c r="I4" s="6"/>
      <c r="J4" s="8"/>
      <c r="L4" s="5" t="s">
        <v>1</v>
      </c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8"/>
    </row>
    <row r="5">
      <c r="B5" s="9"/>
      <c r="C5" s="10"/>
      <c r="D5" s="10"/>
      <c r="E5" s="2"/>
      <c r="F5" s="10"/>
      <c r="G5" s="10"/>
      <c r="H5" s="10"/>
      <c r="I5" s="10"/>
      <c r="J5" s="11"/>
      <c r="L5" s="9"/>
      <c r="M5" s="12" t="s">
        <v>2</v>
      </c>
      <c r="N5" s="13">
        <v>0.0</v>
      </c>
      <c r="O5" s="13">
        <f t="shared" ref="O5:AX5" si="1">N5+1</f>
        <v>1</v>
      </c>
      <c r="P5" s="13">
        <f t="shared" si="1"/>
        <v>2</v>
      </c>
      <c r="Q5" s="13">
        <f t="shared" si="1"/>
        <v>3</v>
      </c>
      <c r="R5" s="13">
        <f t="shared" si="1"/>
        <v>4</v>
      </c>
      <c r="S5" s="13">
        <f t="shared" si="1"/>
        <v>5</v>
      </c>
      <c r="T5" s="13">
        <f t="shared" si="1"/>
        <v>6</v>
      </c>
      <c r="U5" s="13">
        <f t="shared" si="1"/>
        <v>7</v>
      </c>
      <c r="V5" s="13">
        <f t="shared" si="1"/>
        <v>8</v>
      </c>
      <c r="W5" s="13">
        <f t="shared" si="1"/>
        <v>9</v>
      </c>
      <c r="X5" s="13">
        <f t="shared" si="1"/>
        <v>10</v>
      </c>
      <c r="Y5" s="13">
        <f t="shared" si="1"/>
        <v>11</v>
      </c>
      <c r="Z5" s="13">
        <f t="shared" si="1"/>
        <v>12</v>
      </c>
      <c r="AA5" s="13">
        <f t="shared" si="1"/>
        <v>13</v>
      </c>
      <c r="AB5" s="13">
        <f t="shared" si="1"/>
        <v>14</v>
      </c>
      <c r="AC5" s="13">
        <f t="shared" si="1"/>
        <v>15</v>
      </c>
      <c r="AD5" s="13">
        <f t="shared" si="1"/>
        <v>16</v>
      </c>
      <c r="AE5" s="13">
        <f t="shared" si="1"/>
        <v>17</v>
      </c>
      <c r="AF5" s="13">
        <f t="shared" si="1"/>
        <v>18</v>
      </c>
      <c r="AG5" s="13">
        <f t="shared" si="1"/>
        <v>19</v>
      </c>
      <c r="AH5" s="13">
        <f t="shared" si="1"/>
        <v>20</v>
      </c>
      <c r="AI5" s="13">
        <f t="shared" si="1"/>
        <v>21</v>
      </c>
      <c r="AJ5" s="13">
        <f t="shared" si="1"/>
        <v>22</v>
      </c>
      <c r="AK5" s="13">
        <f t="shared" si="1"/>
        <v>23</v>
      </c>
      <c r="AL5" s="13">
        <f t="shared" si="1"/>
        <v>24</v>
      </c>
      <c r="AM5" s="13">
        <f t="shared" si="1"/>
        <v>25</v>
      </c>
      <c r="AN5" s="13">
        <f t="shared" si="1"/>
        <v>26</v>
      </c>
      <c r="AO5" s="13">
        <f t="shared" si="1"/>
        <v>27</v>
      </c>
      <c r="AP5" s="13">
        <f t="shared" si="1"/>
        <v>28</v>
      </c>
      <c r="AQ5" s="13">
        <f t="shared" si="1"/>
        <v>29</v>
      </c>
      <c r="AR5" s="13">
        <f t="shared" si="1"/>
        <v>30</v>
      </c>
      <c r="AS5" s="13">
        <f t="shared" si="1"/>
        <v>31</v>
      </c>
      <c r="AT5" s="13">
        <f t="shared" si="1"/>
        <v>32</v>
      </c>
      <c r="AU5" s="13">
        <f t="shared" si="1"/>
        <v>33</v>
      </c>
      <c r="AV5" s="13">
        <f t="shared" si="1"/>
        <v>34</v>
      </c>
      <c r="AW5" s="13">
        <f t="shared" si="1"/>
        <v>35</v>
      </c>
      <c r="AX5" s="13">
        <f t="shared" si="1"/>
        <v>36</v>
      </c>
      <c r="AY5" s="11"/>
    </row>
    <row r="6">
      <c r="B6" s="9"/>
      <c r="C6" s="14" t="s">
        <v>3</v>
      </c>
      <c r="D6" s="15"/>
      <c r="E6" s="16"/>
      <c r="F6" s="15"/>
      <c r="G6" s="10"/>
      <c r="H6" s="10"/>
      <c r="I6" s="10"/>
      <c r="J6" s="11"/>
      <c r="L6" s="9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1"/>
    </row>
    <row r="7" ht="15.75" customHeight="1">
      <c r="B7" s="9"/>
      <c r="C7" s="17"/>
      <c r="D7" s="18" t="s">
        <v>4</v>
      </c>
      <c r="E7" s="19"/>
      <c r="F7" s="20" t="s">
        <v>5</v>
      </c>
      <c r="G7" s="10"/>
      <c r="H7" s="10"/>
      <c r="I7" s="10"/>
      <c r="J7" s="11"/>
      <c r="L7" s="9"/>
      <c r="M7" s="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1"/>
    </row>
    <row r="8" ht="15.75" customHeight="1">
      <c r="B8" s="9"/>
      <c r="C8" s="17"/>
      <c r="D8" s="21" t="s">
        <v>6</v>
      </c>
      <c r="E8" s="22"/>
      <c r="F8" s="23" t="s">
        <v>7</v>
      </c>
      <c r="G8" s="10"/>
      <c r="H8" s="10"/>
      <c r="I8" s="10"/>
      <c r="J8" s="11"/>
      <c r="L8" s="9"/>
      <c r="M8" s="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1"/>
    </row>
    <row r="9" ht="15.75" customHeight="1">
      <c r="B9" s="9"/>
      <c r="C9" s="17"/>
      <c r="D9" s="21" t="s">
        <v>8</v>
      </c>
      <c r="E9" s="22"/>
      <c r="F9" s="23" t="s">
        <v>9</v>
      </c>
      <c r="G9" s="10"/>
      <c r="H9" s="10"/>
      <c r="I9" s="10"/>
      <c r="J9" s="11"/>
      <c r="L9" s="9"/>
      <c r="M9" s="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1"/>
    </row>
    <row r="10" ht="15.75" customHeight="1">
      <c r="B10" s="9"/>
      <c r="C10" s="14" t="s">
        <v>10</v>
      </c>
      <c r="D10" s="10"/>
      <c r="E10" s="2"/>
      <c r="F10" s="2"/>
      <c r="G10" s="10"/>
      <c r="H10" s="10"/>
      <c r="I10" s="10"/>
      <c r="J10" s="11"/>
      <c r="L10" s="9"/>
      <c r="M10" s="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1"/>
    </row>
    <row r="11" ht="15.75" customHeight="1">
      <c r="B11" s="9"/>
      <c r="C11" s="17"/>
      <c r="D11" s="21" t="s">
        <v>11</v>
      </c>
      <c r="E11" s="22"/>
      <c r="F11" s="24">
        <v>550.0</v>
      </c>
      <c r="G11" s="10" t="str">
        <f>$F$8</f>
        <v>EUR</v>
      </c>
      <c r="H11" s="10"/>
      <c r="I11" s="10"/>
      <c r="J11" s="11"/>
      <c r="L11" s="9"/>
      <c r="M11" s="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1"/>
    </row>
    <row r="12" ht="15.75" customHeight="1">
      <c r="B12" s="9"/>
      <c r="C12" s="17"/>
      <c r="D12" s="21" t="s">
        <v>12</v>
      </c>
      <c r="E12" s="22"/>
      <c r="F12" s="25">
        <v>1.0</v>
      </c>
      <c r="G12" s="10"/>
      <c r="H12" s="10"/>
      <c r="I12" s="10"/>
      <c r="J12" s="11"/>
      <c r="L12" s="9"/>
      <c r="M12" s="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1"/>
    </row>
    <row r="13" ht="15.75" customHeight="1">
      <c r="B13" s="9"/>
      <c r="C13" s="17"/>
      <c r="D13" s="21" t="s">
        <v>13</v>
      </c>
      <c r="E13" s="22"/>
      <c r="F13" s="24">
        <v>100.0</v>
      </c>
      <c r="G13" s="10" t="str">
        <f t="shared" ref="G13:G16" si="2">$F$8</f>
        <v>EUR</v>
      </c>
      <c r="H13" s="10"/>
      <c r="I13" s="10"/>
      <c r="J13" s="11"/>
      <c r="L13" s="9"/>
      <c r="M13" s="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1"/>
    </row>
    <row r="14" ht="15.75" customHeight="1">
      <c r="B14" s="9"/>
      <c r="C14" s="17"/>
      <c r="D14" s="21" t="s">
        <v>14</v>
      </c>
      <c r="E14" s="22"/>
      <c r="F14" s="24">
        <v>0.0</v>
      </c>
      <c r="G14" s="10" t="str">
        <f t="shared" si="2"/>
        <v>EUR</v>
      </c>
      <c r="H14" s="10"/>
      <c r="I14" s="10"/>
      <c r="J14" s="11"/>
      <c r="L14" s="9"/>
      <c r="M14" s="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1"/>
    </row>
    <row r="15" ht="15.75" customHeight="1">
      <c r="B15" s="9"/>
      <c r="C15" s="17"/>
      <c r="D15" s="21" t="s">
        <v>15</v>
      </c>
      <c r="E15" s="22"/>
      <c r="F15" s="24">
        <v>5000.0</v>
      </c>
      <c r="G15" s="10" t="str">
        <f t="shared" si="2"/>
        <v>EUR</v>
      </c>
      <c r="H15" s="10"/>
      <c r="I15" s="10"/>
      <c r="J15" s="11"/>
      <c r="L15" s="9"/>
      <c r="M15" s="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1"/>
    </row>
    <row r="16" ht="15.75" customHeight="1">
      <c r="B16" s="9"/>
      <c r="D16" s="21" t="s">
        <v>16</v>
      </c>
      <c r="E16" s="22"/>
      <c r="F16" s="24">
        <v>400.0</v>
      </c>
      <c r="G16" s="10" t="str">
        <f t="shared" si="2"/>
        <v>EUR</v>
      </c>
      <c r="I16" s="10"/>
      <c r="J16" s="11"/>
      <c r="L16" s="9"/>
      <c r="M16" s="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1"/>
    </row>
    <row r="17" ht="15.75" customHeight="1">
      <c r="B17" s="9"/>
      <c r="D17" s="21" t="s">
        <v>17</v>
      </c>
      <c r="E17" s="22"/>
      <c r="F17" s="24">
        <v>3.0</v>
      </c>
      <c r="G17" s="26" t="s">
        <v>18</v>
      </c>
      <c r="I17" s="10"/>
      <c r="J17" s="11"/>
      <c r="L17" s="9"/>
      <c r="M17" s="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/>
    </row>
    <row r="18" ht="15.75" customHeight="1">
      <c r="B18" s="9"/>
      <c r="C18" s="17"/>
      <c r="D18" s="21" t="s">
        <v>19</v>
      </c>
      <c r="E18" s="22"/>
      <c r="F18" s="27">
        <v>0.05</v>
      </c>
      <c r="G18" s="10"/>
      <c r="H18" s="10"/>
      <c r="I18" s="10"/>
      <c r="J18" s="11"/>
      <c r="L18" s="9"/>
      <c r="M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1"/>
    </row>
    <row r="19" ht="15.75" customHeight="1">
      <c r="B19" s="9"/>
      <c r="C19" s="17"/>
      <c r="D19" s="21" t="s">
        <v>20</v>
      </c>
      <c r="E19" s="22"/>
      <c r="F19" s="27">
        <v>1.0</v>
      </c>
      <c r="G19" s="10"/>
      <c r="H19" s="10"/>
      <c r="I19" s="10"/>
      <c r="J19" s="11"/>
      <c r="L19" s="9"/>
      <c r="M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1"/>
    </row>
    <row r="20" ht="15.75" customHeight="1">
      <c r="B20" s="9"/>
      <c r="C20" s="17"/>
      <c r="D20" s="21" t="s">
        <v>21</v>
      </c>
      <c r="E20" s="22"/>
      <c r="F20" s="27">
        <v>0.3</v>
      </c>
      <c r="G20" s="10"/>
      <c r="H20" s="10"/>
      <c r="I20" s="10"/>
      <c r="J20" s="11"/>
      <c r="L20" s="9"/>
      <c r="M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1"/>
    </row>
    <row r="21" ht="15.75" customHeight="1">
      <c r="B21" s="9"/>
      <c r="C21" s="28" t="s">
        <v>22</v>
      </c>
      <c r="D21" s="10"/>
      <c r="E21" s="2"/>
      <c r="F21" s="29"/>
      <c r="G21" s="10"/>
      <c r="H21" s="10"/>
      <c r="I21" s="10"/>
      <c r="J21" s="11"/>
      <c r="L21" s="9"/>
      <c r="M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1"/>
    </row>
    <row r="22" ht="15.75" customHeight="1">
      <c r="B22" s="9"/>
      <c r="C22" s="17"/>
      <c r="D22" s="21" t="s">
        <v>23</v>
      </c>
      <c r="E22" s="22"/>
      <c r="F22" s="24">
        <v>0.0</v>
      </c>
      <c r="G22" s="10" t="str">
        <f t="shared" ref="G22:G23" si="3">$F$8</f>
        <v>EUR</v>
      </c>
      <c r="H22" s="10"/>
      <c r="I22" s="10"/>
      <c r="J22" s="11"/>
      <c r="L22" s="9"/>
      <c r="M22" s="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1"/>
    </row>
    <row r="23" ht="15.75" customHeight="1">
      <c r="B23" s="9"/>
      <c r="C23" s="17"/>
      <c r="D23" s="21" t="s">
        <v>24</v>
      </c>
      <c r="E23" s="22"/>
      <c r="F23" s="24">
        <v>0.0</v>
      </c>
      <c r="G23" s="10" t="str">
        <f t="shared" si="3"/>
        <v>EUR</v>
      </c>
      <c r="H23" s="10"/>
      <c r="I23" s="10"/>
      <c r="J23" s="11"/>
      <c r="L23" s="9"/>
      <c r="M23" s="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1"/>
    </row>
    <row r="24" ht="15.75" customHeight="1">
      <c r="B24" s="9"/>
      <c r="C24" s="17"/>
      <c r="D24" s="21" t="s">
        <v>25</v>
      </c>
      <c r="E24" s="22"/>
      <c r="F24" s="27">
        <v>0.4</v>
      </c>
      <c r="G24" s="10"/>
      <c r="H24" s="10"/>
      <c r="I24" s="10"/>
      <c r="J24" s="11"/>
      <c r="L24" s="9"/>
      <c r="M24" s="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1"/>
    </row>
    <row r="25" ht="15.75" customHeight="1">
      <c r="B25" s="9"/>
      <c r="C25" s="28" t="s">
        <v>26</v>
      </c>
      <c r="D25" s="10"/>
      <c r="E25" s="2"/>
      <c r="F25" s="29"/>
      <c r="G25" s="10"/>
      <c r="H25" s="10"/>
      <c r="I25" s="10"/>
      <c r="J25" s="11"/>
      <c r="L25" s="9"/>
      <c r="M25" s="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</row>
    <row r="26" ht="15.75" customHeight="1">
      <c r="B26" s="9"/>
      <c r="C26" s="17"/>
      <c r="D26" s="21" t="s">
        <v>27</v>
      </c>
      <c r="E26" s="22"/>
      <c r="F26" s="23">
        <v>2500.0</v>
      </c>
      <c r="G26" s="10" t="str">
        <f>$F$8</f>
        <v>EUR</v>
      </c>
      <c r="H26" s="10"/>
      <c r="I26" s="10"/>
      <c r="J26" s="11"/>
      <c r="L26" s="9"/>
      <c r="M26" s="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1"/>
    </row>
    <row r="27" ht="15.75" customHeight="1">
      <c r="B27" s="9"/>
      <c r="C27" s="17"/>
      <c r="D27" s="21" t="s">
        <v>28</v>
      </c>
      <c r="E27" s="22"/>
      <c r="F27" s="23">
        <v>25.0</v>
      </c>
      <c r="G27" s="10" t="str">
        <f>$F$9</f>
        <v>m2</v>
      </c>
      <c r="H27" s="10"/>
      <c r="I27" s="10"/>
      <c r="J27" s="11"/>
      <c r="L27" s="9"/>
      <c r="M27" s="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1"/>
    </row>
    <row r="28" ht="15.75" customHeight="1">
      <c r="B28" s="9"/>
      <c r="C28" s="17"/>
      <c r="D28" s="21" t="s">
        <v>29</v>
      </c>
      <c r="E28" s="22"/>
      <c r="F28" s="24">
        <v>25.0</v>
      </c>
      <c r="G28" s="10" t="str">
        <f>$F$8 &amp;"/"&amp;$F$9</f>
        <v>EUR/m2</v>
      </c>
      <c r="H28" s="10"/>
      <c r="I28" s="10"/>
      <c r="J28" s="11"/>
      <c r="L28" s="9"/>
      <c r="M28" s="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1"/>
    </row>
    <row r="29" ht="15.75" customHeight="1">
      <c r="B29" s="9"/>
      <c r="C29" s="17"/>
      <c r="D29" s="21" t="s">
        <v>30</v>
      </c>
      <c r="E29" s="22"/>
      <c r="F29" s="24">
        <v>400.0</v>
      </c>
      <c r="G29" s="10" t="str">
        <f>$F$8 &amp;"/10empl"</f>
        <v>EUR/10empl</v>
      </c>
      <c r="H29" s="10"/>
      <c r="I29" s="10"/>
      <c r="J29" s="11"/>
      <c r="L29" s="9"/>
      <c r="M29" s="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1"/>
    </row>
    <row r="30" ht="15.75" customHeight="1">
      <c r="B30" s="9"/>
      <c r="C30" s="17"/>
      <c r="D30" s="21" t="s">
        <v>31</v>
      </c>
      <c r="E30" s="22"/>
      <c r="F30" s="24">
        <v>10.0</v>
      </c>
      <c r="G30" s="10" t="str">
        <f t="shared" ref="G30:G32" si="4">$F$8 &amp;"/empl"</f>
        <v>EUR/empl</v>
      </c>
      <c r="H30" s="10"/>
      <c r="I30" s="10"/>
      <c r="J30" s="11"/>
      <c r="L30" s="9"/>
      <c r="M30" s="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1"/>
    </row>
    <row r="31" ht="15.75" customHeight="1">
      <c r="B31" s="9"/>
      <c r="C31" s="17"/>
      <c r="D31" s="21" t="s">
        <v>32</v>
      </c>
      <c r="E31" s="22"/>
      <c r="F31" s="23">
        <v>50.0</v>
      </c>
      <c r="G31" s="10" t="str">
        <f t="shared" si="4"/>
        <v>EUR/empl</v>
      </c>
      <c r="H31" s="10"/>
      <c r="I31" s="10"/>
      <c r="J31" s="11"/>
      <c r="L31" s="9"/>
      <c r="M31" s="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1"/>
    </row>
    <row r="32" ht="15.75" customHeight="1">
      <c r="B32" s="9"/>
      <c r="C32" s="17"/>
      <c r="D32" s="21" t="s">
        <v>33</v>
      </c>
      <c r="E32" s="22"/>
      <c r="F32" s="24">
        <v>20.0</v>
      </c>
      <c r="G32" s="10" t="str">
        <f t="shared" si="4"/>
        <v>EUR/empl</v>
      </c>
      <c r="H32" s="10"/>
      <c r="I32" s="10"/>
      <c r="J32" s="11"/>
      <c r="L32" s="9"/>
      <c r="M32" s="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1"/>
    </row>
    <row r="33" ht="15.75" customHeight="1">
      <c r="B33" s="9"/>
      <c r="C33" s="17"/>
      <c r="D33" s="21" t="s">
        <v>34</v>
      </c>
      <c r="E33" s="22"/>
      <c r="F33" s="24">
        <v>10.0</v>
      </c>
      <c r="G33" s="10" t="str">
        <f>$F$8</f>
        <v>EUR</v>
      </c>
      <c r="H33" s="10"/>
      <c r="I33" s="10"/>
      <c r="J33" s="11"/>
      <c r="L33" s="9"/>
      <c r="M33" s="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1"/>
    </row>
    <row r="34" ht="15.75" customHeight="1">
      <c r="B34" s="9"/>
      <c r="C34" s="28" t="s">
        <v>35</v>
      </c>
      <c r="D34" s="10"/>
      <c r="E34" s="2"/>
      <c r="F34" s="29"/>
      <c r="G34" s="10"/>
      <c r="H34" s="10"/>
      <c r="I34" s="10"/>
      <c r="J34" s="11"/>
      <c r="L34" s="9"/>
      <c r="M34" s="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1"/>
    </row>
    <row r="35" ht="15.75" customHeight="1">
      <c r="B35" s="9"/>
      <c r="C35" s="17"/>
      <c r="D35" s="21" t="s">
        <v>36</v>
      </c>
      <c r="E35" s="22"/>
      <c r="F35" s="23">
        <v>1500.0</v>
      </c>
      <c r="G35" s="10" t="str">
        <f t="shared" ref="G35:G38" si="5">$F$8</f>
        <v>EUR</v>
      </c>
      <c r="H35" s="10"/>
      <c r="I35" s="10"/>
      <c r="J35" s="11"/>
      <c r="L35" s="9"/>
      <c r="M35" s="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1"/>
    </row>
    <row r="36" ht="15.75" customHeight="1">
      <c r="B36" s="9"/>
      <c r="C36" s="17"/>
      <c r="D36" s="21" t="s">
        <v>37</v>
      </c>
      <c r="E36" s="22"/>
      <c r="F36" s="24">
        <v>2500.0</v>
      </c>
      <c r="G36" s="10" t="str">
        <f t="shared" si="5"/>
        <v>EUR</v>
      </c>
      <c r="H36" s="10"/>
      <c r="I36" s="10"/>
      <c r="J36" s="11"/>
      <c r="L36" s="9"/>
      <c r="M36" s="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1"/>
    </row>
    <row r="37" ht="15.75" customHeight="1">
      <c r="B37" s="9"/>
      <c r="C37" s="17"/>
      <c r="D37" s="21" t="s">
        <v>38</v>
      </c>
      <c r="E37" s="22"/>
      <c r="F37" s="24">
        <v>1000.0</v>
      </c>
      <c r="G37" s="10" t="str">
        <f t="shared" si="5"/>
        <v>EUR</v>
      </c>
      <c r="H37" s="10"/>
      <c r="I37" s="10"/>
      <c r="J37" s="11"/>
      <c r="L37" s="9"/>
      <c r="M37" s="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1"/>
    </row>
    <row r="38" ht="15.75" customHeight="1">
      <c r="B38" s="9"/>
      <c r="C38" s="17"/>
      <c r="D38" s="21" t="s">
        <v>39</v>
      </c>
      <c r="E38" s="22"/>
      <c r="F38" s="24">
        <v>0.0</v>
      </c>
      <c r="G38" s="10" t="str">
        <f t="shared" si="5"/>
        <v>EUR</v>
      </c>
      <c r="H38" s="10"/>
      <c r="I38" s="10"/>
      <c r="J38" s="11"/>
      <c r="L38" s="9"/>
      <c r="M38" s="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1"/>
    </row>
    <row r="39" ht="15.75" customHeight="1">
      <c r="B39" s="9"/>
      <c r="C39" s="28" t="s">
        <v>40</v>
      </c>
      <c r="D39" s="10"/>
      <c r="E39" s="2"/>
      <c r="F39" s="29"/>
      <c r="G39" s="10"/>
      <c r="H39" s="10"/>
      <c r="I39" s="10"/>
      <c r="J39" s="11"/>
      <c r="L39" s="9"/>
      <c r="M39" s="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/>
    </row>
    <row r="40" ht="15.75" customHeight="1">
      <c r="B40" s="9"/>
      <c r="C40" s="17"/>
      <c r="D40" s="21" t="s">
        <v>41</v>
      </c>
      <c r="E40" s="22"/>
      <c r="F40" s="24">
        <v>2.0</v>
      </c>
      <c r="G40" s="10" t="s">
        <v>42</v>
      </c>
      <c r="H40" s="10"/>
      <c r="I40" s="10"/>
      <c r="J40" s="11"/>
      <c r="L40" s="9"/>
      <c r="M40" s="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1"/>
    </row>
    <row r="41" ht="15.75" customHeight="1">
      <c r="B41" s="9"/>
      <c r="C41" s="17"/>
      <c r="D41" s="21" t="s">
        <v>43</v>
      </c>
      <c r="E41" s="22"/>
      <c r="F41" s="25">
        <v>0.0</v>
      </c>
      <c r="G41" s="10"/>
      <c r="H41" s="10"/>
      <c r="I41" s="10"/>
      <c r="J41" s="11"/>
      <c r="L41" s="9"/>
      <c r="M41" s="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</row>
    <row r="42" ht="15.75" customHeight="1">
      <c r="B42" s="9"/>
      <c r="C42" s="10"/>
      <c r="D42" s="10"/>
      <c r="E42" s="2"/>
      <c r="F42" s="10"/>
      <c r="G42" s="10"/>
      <c r="H42" s="10"/>
      <c r="I42" s="10"/>
      <c r="J42" s="11"/>
      <c r="L42" s="9"/>
      <c r="M42" s="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1"/>
    </row>
    <row r="43" ht="15.75" customHeight="1">
      <c r="B43" s="9"/>
      <c r="C43" s="10"/>
      <c r="D43" s="10"/>
      <c r="E43" s="2"/>
      <c r="F43" s="10"/>
      <c r="G43" s="10"/>
      <c r="H43" s="10"/>
      <c r="I43" s="10"/>
      <c r="J43" s="11"/>
      <c r="L43" s="9"/>
      <c r="M43" s="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/>
    </row>
    <row r="44" ht="15.75" customHeight="1">
      <c r="B44" s="9"/>
      <c r="C44" s="10"/>
      <c r="D44" s="10"/>
      <c r="E44" s="2"/>
      <c r="F44" s="10"/>
      <c r="G44" s="10"/>
      <c r="H44" s="10"/>
      <c r="I44" s="10"/>
      <c r="J44" s="11"/>
      <c r="L44" s="9"/>
      <c r="M44" s="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/>
    </row>
    <row r="45" ht="15.75" customHeight="1">
      <c r="B45" s="9"/>
      <c r="C45" s="10"/>
      <c r="D45" s="10"/>
      <c r="E45" s="2"/>
      <c r="F45" s="10"/>
      <c r="G45" s="10"/>
      <c r="H45" s="10"/>
      <c r="I45" s="10"/>
      <c r="J45" s="11"/>
      <c r="L45" s="9"/>
      <c r="M45" s="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1"/>
    </row>
    <row r="46" ht="15.75" customHeight="1">
      <c r="B46" s="9"/>
      <c r="C46" s="10"/>
      <c r="D46" s="10"/>
      <c r="E46" s="2"/>
      <c r="F46" s="10"/>
      <c r="G46" s="10"/>
      <c r="H46" s="10"/>
      <c r="I46" s="10"/>
      <c r="J46" s="11"/>
      <c r="L46" s="9"/>
      <c r="M46" s="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1"/>
    </row>
    <row r="47" ht="15.75" customHeight="1">
      <c r="B47" s="30"/>
      <c r="C47" s="31"/>
      <c r="D47" s="31"/>
      <c r="E47" s="32"/>
      <c r="F47" s="31"/>
      <c r="G47" s="31"/>
      <c r="H47" s="31"/>
      <c r="I47" s="31"/>
      <c r="J47" s="33"/>
      <c r="L47" s="9"/>
      <c r="M47" s="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1"/>
    </row>
    <row r="48" ht="15.75" customHeight="1">
      <c r="E48" s="2"/>
      <c r="L48" s="9"/>
      <c r="M48" s="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1"/>
    </row>
    <row r="49" ht="15.75" customHeight="1">
      <c r="B49" s="5" t="s">
        <v>44</v>
      </c>
      <c r="C49" s="6"/>
      <c r="D49" s="6"/>
      <c r="E49" s="7"/>
      <c r="F49" s="6"/>
      <c r="G49" s="6"/>
      <c r="H49" s="6"/>
      <c r="I49" s="6"/>
      <c r="J49" s="8"/>
      <c r="L49" s="9"/>
      <c r="M49" s="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34"/>
      <c r="AB49" s="10"/>
      <c r="AC49" s="10"/>
      <c r="AD49" s="10"/>
      <c r="AE49" s="10"/>
      <c r="AF49" s="10"/>
      <c r="AG49" s="10"/>
      <c r="AH49" s="10"/>
      <c r="AI49" s="10"/>
      <c r="AJ49" s="34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1"/>
    </row>
    <row r="50" ht="15.75" customHeight="1">
      <c r="B50" s="9"/>
      <c r="C50" s="10"/>
      <c r="D50" s="10"/>
      <c r="E50" s="2"/>
      <c r="F50" s="10"/>
      <c r="G50" s="10"/>
      <c r="H50" s="10"/>
      <c r="I50" s="10"/>
      <c r="J50" s="11"/>
      <c r="L50" s="9"/>
      <c r="M50" s="2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10"/>
      <c r="AU50" s="10"/>
      <c r="AV50" s="10"/>
      <c r="AW50" s="10"/>
      <c r="AX50" s="10"/>
      <c r="AY50" s="11"/>
    </row>
    <row r="51" ht="15.75" customHeight="1">
      <c r="B51" s="9"/>
      <c r="C51" s="36" t="s">
        <v>45</v>
      </c>
      <c r="D51" s="37" t="s">
        <v>46</v>
      </c>
      <c r="E51" s="38" t="s">
        <v>47</v>
      </c>
      <c r="F51" s="38" t="s">
        <v>48</v>
      </c>
      <c r="G51" s="38" t="s">
        <v>49</v>
      </c>
      <c r="H51" s="38" t="s">
        <v>50</v>
      </c>
      <c r="I51" s="38" t="s">
        <v>51</v>
      </c>
      <c r="J51" s="11"/>
      <c r="K51" s="10"/>
      <c r="L51" s="9"/>
      <c r="M51" s="39" t="s">
        <v>2</v>
      </c>
      <c r="N51" s="40">
        <v>0.0</v>
      </c>
      <c r="O51" s="40">
        <f t="shared" ref="O51:AX51" si="6">N51+1</f>
        <v>1</v>
      </c>
      <c r="P51" s="40">
        <f t="shared" si="6"/>
        <v>2</v>
      </c>
      <c r="Q51" s="40">
        <f t="shared" si="6"/>
        <v>3</v>
      </c>
      <c r="R51" s="40">
        <f t="shared" si="6"/>
        <v>4</v>
      </c>
      <c r="S51" s="40">
        <f t="shared" si="6"/>
        <v>5</v>
      </c>
      <c r="T51" s="40">
        <f t="shared" si="6"/>
        <v>6</v>
      </c>
      <c r="U51" s="40">
        <f t="shared" si="6"/>
        <v>7</v>
      </c>
      <c r="V51" s="40">
        <f t="shared" si="6"/>
        <v>8</v>
      </c>
      <c r="W51" s="40">
        <f t="shared" si="6"/>
        <v>9</v>
      </c>
      <c r="X51" s="40">
        <f t="shared" si="6"/>
        <v>10</v>
      </c>
      <c r="Y51" s="40">
        <f t="shared" si="6"/>
        <v>11</v>
      </c>
      <c r="Z51" s="40">
        <f t="shared" si="6"/>
        <v>12</v>
      </c>
      <c r="AA51" s="41">
        <f t="shared" si="6"/>
        <v>13</v>
      </c>
      <c r="AB51" s="40">
        <f t="shared" si="6"/>
        <v>14</v>
      </c>
      <c r="AC51" s="40">
        <f t="shared" si="6"/>
        <v>15</v>
      </c>
      <c r="AD51" s="40">
        <f t="shared" si="6"/>
        <v>16</v>
      </c>
      <c r="AE51" s="40">
        <f t="shared" si="6"/>
        <v>17</v>
      </c>
      <c r="AF51" s="40">
        <f t="shared" si="6"/>
        <v>18</v>
      </c>
      <c r="AG51" s="40">
        <f t="shared" si="6"/>
        <v>19</v>
      </c>
      <c r="AH51" s="40">
        <f t="shared" si="6"/>
        <v>20</v>
      </c>
      <c r="AI51" s="40">
        <f t="shared" si="6"/>
        <v>21</v>
      </c>
      <c r="AJ51" s="40">
        <f t="shared" si="6"/>
        <v>22</v>
      </c>
      <c r="AK51" s="40">
        <f t="shared" si="6"/>
        <v>23</v>
      </c>
      <c r="AL51" s="40">
        <f t="shared" si="6"/>
        <v>24</v>
      </c>
      <c r="AM51" s="42">
        <f t="shared" si="6"/>
        <v>25</v>
      </c>
      <c r="AN51" s="40">
        <f t="shared" si="6"/>
        <v>26</v>
      </c>
      <c r="AO51" s="40">
        <f t="shared" si="6"/>
        <v>27</v>
      </c>
      <c r="AP51" s="40">
        <f t="shared" si="6"/>
        <v>28</v>
      </c>
      <c r="AQ51" s="40">
        <f t="shared" si="6"/>
        <v>29</v>
      </c>
      <c r="AR51" s="40">
        <f t="shared" si="6"/>
        <v>30</v>
      </c>
      <c r="AS51" s="40">
        <f t="shared" si="6"/>
        <v>31</v>
      </c>
      <c r="AT51" s="40">
        <f t="shared" si="6"/>
        <v>32</v>
      </c>
      <c r="AU51" s="40">
        <f t="shared" si="6"/>
        <v>33</v>
      </c>
      <c r="AV51" s="40">
        <f t="shared" si="6"/>
        <v>34</v>
      </c>
      <c r="AW51" s="40">
        <f t="shared" si="6"/>
        <v>35</v>
      </c>
      <c r="AX51" s="43">
        <f t="shared" si="6"/>
        <v>36</v>
      </c>
      <c r="AY51" s="11"/>
    </row>
    <row r="52" ht="15.75" customHeight="1">
      <c r="B52" s="9"/>
      <c r="C52" s="44">
        <v>0.0</v>
      </c>
      <c r="D52" s="45" t="s">
        <v>52</v>
      </c>
      <c r="E52" s="46">
        <v>0.0</v>
      </c>
      <c r="F52" s="46">
        <v>0.0</v>
      </c>
      <c r="G52" s="46"/>
      <c r="H52" s="47"/>
      <c r="I52" s="48">
        <v>60000.0</v>
      </c>
      <c r="J52" s="11"/>
      <c r="K52" s="10"/>
      <c r="L52" s="9"/>
      <c r="M52" s="49" t="str">
        <f t="shared" ref="M52:M64" si="7">IF(D52=0,"",D52)</f>
        <v>Start</v>
      </c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1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1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2"/>
      <c r="AY52" s="11"/>
    </row>
    <row r="53" ht="15.75" customHeight="1">
      <c r="B53" s="9"/>
      <c r="C53" s="44">
        <v>3.0</v>
      </c>
      <c r="D53" s="45" t="s">
        <v>53</v>
      </c>
      <c r="E53" s="46">
        <v>0.0</v>
      </c>
      <c r="F53" s="46">
        <v>0.0</v>
      </c>
      <c r="G53" s="47"/>
      <c r="H53" s="47"/>
      <c r="I53" s="53"/>
      <c r="J53" s="11"/>
      <c r="K53" s="10"/>
      <c r="L53" s="9"/>
      <c r="M53" s="49" t="str">
        <f t="shared" si="7"/>
        <v>MVP Ready</v>
      </c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1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1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2"/>
      <c r="AY53" s="11"/>
    </row>
    <row r="54" ht="15.75" customHeight="1">
      <c r="B54" s="9"/>
      <c r="C54" s="54">
        <v>6.0</v>
      </c>
      <c r="D54" s="45" t="s">
        <v>54</v>
      </c>
      <c r="E54" s="46">
        <v>1.0</v>
      </c>
      <c r="F54" s="46">
        <v>0.0</v>
      </c>
      <c r="G54" s="47"/>
      <c r="H54" s="47"/>
      <c r="I54" s="53"/>
      <c r="J54" s="11"/>
      <c r="K54" s="10"/>
      <c r="L54" s="9"/>
      <c r="M54" s="49" t="str">
        <f t="shared" si="7"/>
        <v>Private Beta Launch</v>
      </c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1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5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2"/>
      <c r="AY54" s="11"/>
    </row>
    <row r="55" ht="15.75" customHeight="1">
      <c r="B55" s="9"/>
      <c r="C55" s="44">
        <v>8.0</v>
      </c>
      <c r="D55" s="45" t="s">
        <v>55</v>
      </c>
      <c r="E55" s="46">
        <v>1.0</v>
      </c>
      <c r="F55" s="46">
        <v>1000.0</v>
      </c>
      <c r="G55" s="47"/>
      <c r="H55" s="47"/>
      <c r="I55" s="53"/>
      <c r="J55" s="11"/>
      <c r="K55" s="10"/>
      <c r="L55" s="9"/>
      <c r="M55" s="49" t="str">
        <f t="shared" si="7"/>
        <v>Public Beta Launch</v>
      </c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1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5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2"/>
      <c r="AY55" s="11"/>
    </row>
    <row r="56" ht="15.75" customHeight="1">
      <c r="B56" s="9"/>
      <c r="C56" s="44">
        <v>9.0</v>
      </c>
      <c r="D56" s="45" t="s">
        <v>56</v>
      </c>
      <c r="E56" s="46">
        <v>1.0</v>
      </c>
      <c r="F56" s="46">
        <v>2000.0</v>
      </c>
      <c r="G56" s="47"/>
      <c r="H56" s="47"/>
      <c r="I56" s="53"/>
      <c r="J56" s="11"/>
      <c r="K56" s="10"/>
      <c r="L56" s="9"/>
      <c r="M56" s="49" t="str">
        <f t="shared" si="7"/>
        <v>V1.0 Launch</v>
      </c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1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5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2"/>
      <c r="AY56" s="11"/>
    </row>
    <row r="57" ht="15.75" customHeight="1">
      <c r="B57" s="9"/>
      <c r="C57" s="44">
        <v>11.0</v>
      </c>
      <c r="D57" s="45" t="s">
        <v>57</v>
      </c>
      <c r="E57" s="46">
        <v>5.0</v>
      </c>
      <c r="F57" s="46">
        <v>2000.0</v>
      </c>
      <c r="G57" s="47"/>
      <c r="H57" s="47"/>
      <c r="I57" s="53"/>
      <c r="J57" s="11"/>
      <c r="K57" s="10"/>
      <c r="L57" s="9"/>
      <c r="M57" s="49" t="str">
        <f t="shared" si="7"/>
        <v>1K revenue/month</v>
      </c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1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5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2"/>
      <c r="AY57" s="11"/>
    </row>
    <row r="58" ht="15.75" customHeight="1">
      <c r="B58" s="9"/>
      <c r="C58" s="44">
        <v>14.0</v>
      </c>
      <c r="D58" s="45" t="s">
        <v>58</v>
      </c>
      <c r="E58" s="46">
        <v>5.0</v>
      </c>
      <c r="F58" s="46">
        <v>2000.0</v>
      </c>
      <c r="G58" s="47"/>
      <c r="H58" s="47"/>
      <c r="I58" s="53"/>
      <c r="J58" s="11"/>
      <c r="K58" s="10"/>
      <c r="L58" s="9"/>
      <c r="M58" s="49" t="str">
        <f t="shared" si="7"/>
        <v>100% growth rate/month</v>
      </c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1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5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2"/>
      <c r="AY58" s="11"/>
    </row>
    <row r="59" ht="15.75" customHeight="1">
      <c r="B59" s="9"/>
      <c r="C59" s="44">
        <v>17.0</v>
      </c>
      <c r="D59" s="45" t="s">
        <v>59</v>
      </c>
      <c r="E59" s="46">
        <v>7.0</v>
      </c>
      <c r="F59" s="46">
        <v>3000.0</v>
      </c>
      <c r="G59" s="47"/>
      <c r="H59" s="47"/>
      <c r="I59" s="48"/>
      <c r="J59" s="11"/>
      <c r="K59" s="10"/>
      <c r="L59" s="9"/>
      <c r="M59" s="49" t="str">
        <f t="shared" si="7"/>
        <v>Hire VP marketing</v>
      </c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1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5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2"/>
      <c r="AY59" s="11"/>
    </row>
    <row r="60" ht="15.75" customHeight="1">
      <c r="B60" s="9"/>
      <c r="C60" s="44">
        <v>20.0</v>
      </c>
      <c r="D60" s="45" t="s">
        <v>60</v>
      </c>
      <c r="E60" s="46">
        <v>7.0</v>
      </c>
      <c r="F60" s="46">
        <v>5000.0</v>
      </c>
      <c r="G60" s="47"/>
      <c r="H60" s="47"/>
      <c r="I60" s="53"/>
      <c r="J60" s="11"/>
      <c r="K60" s="10"/>
      <c r="L60" s="9"/>
      <c r="M60" s="49" t="str">
        <f t="shared" si="7"/>
        <v>10K revenue/month</v>
      </c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1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5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2"/>
      <c r="AY60" s="11"/>
    </row>
    <row r="61" ht="15.75" customHeight="1">
      <c r="B61" s="9"/>
      <c r="C61" s="44">
        <v>30.0</v>
      </c>
      <c r="D61" s="45" t="s">
        <v>61</v>
      </c>
      <c r="E61" s="46">
        <v>7.0</v>
      </c>
      <c r="F61" s="46">
        <v>5000.0</v>
      </c>
      <c r="G61" s="47"/>
      <c r="H61" s="47"/>
      <c r="I61" s="53"/>
      <c r="J61" s="11"/>
      <c r="K61" s="10"/>
      <c r="L61" s="9"/>
      <c r="M61" s="49" t="str">
        <f t="shared" si="7"/>
        <v>50K revenue/month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1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5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2"/>
      <c r="AY61" s="11"/>
    </row>
    <row r="62" ht="15.75" customHeight="1">
      <c r="B62" s="9"/>
      <c r="C62" s="44">
        <v>36.0</v>
      </c>
      <c r="D62" s="45" t="s">
        <v>62</v>
      </c>
      <c r="E62" s="46">
        <v>10.0</v>
      </c>
      <c r="F62" s="46">
        <v>5000.0</v>
      </c>
      <c r="G62" s="47"/>
      <c r="H62" s="47"/>
      <c r="I62" s="53"/>
      <c r="J62" s="11"/>
      <c r="K62" s="10"/>
      <c r="L62" s="9"/>
      <c r="M62" s="49" t="str">
        <f t="shared" si="7"/>
        <v>3-Year checkpoint</v>
      </c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1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5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2"/>
      <c r="AY62" s="11"/>
    </row>
    <row r="63" ht="15.75" customHeight="1">
      <c r="B63" s="9"/>
      <c r="C63" s="44"/>
      <c r="E63" s="47"/>
      <c r="F63" s="47"/>
      <c r="G63" s="47"/>
      <c r="H63" s="47"/>
      <c r="I63" s="53"/>
      <c r="J63" s="11"/>
      <c r="K63" s="10"/>
      <c r="L63" s="9"/>
      <c r="M63" s="49" t="str">
        <f t="shared" si="7"/>
        <v/>
      </c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1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5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2"/>
      <c r="AY63" s="11"/>
    </row>
    <row r="64" ht="15.75" customHeight="1">
      <c r="B64" s="9"/>
      <c r="C64" s="44"/>
      <c r="D64" s="45"/>
      <c r="E64" s="47"/>
      <c r="F64" s="47"/>
      <c r="G64" s="47"/>
      <c r="H64" s="47"/>
      <c r="I64" s="53"/>
      <c r="J64" s="11"/>
      <c r="K64" s="10"/>
      <c r="L64" s="9"/>
      <c r="M64" s="49" t="str">
        <f t="shared" si="7"/>
        <v/>
      </c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1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5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2"/>
      <c r="AY64" s="11"/>
    </row>
    <row r="65" ht="15.75" customHeight="1">
      <c r="B65" s="9"/>
      <c r="C65" s="44"/>
      <c r="D65" s="15"/>
      <c r="E65" s="16"/>
      <c r="F65" s="15"/>
      <c r="G65" s="15"/>
      <c r="H65" s="15"/>
      <c r="I65" s="56"/>
      <c r="J65" s="11"/>
      <c r="K65" s="10"/>
      <c r="L65" s="9"/>
      <c r="M65" s="12" t="s">
        <v>2</v>
      </c>
      <c r="N65" s="13">
        <v>0.0</v>
      </c>
      <c r="O65" s="13">
        <f t="shared" ref="O65:AX65" si="8">N65+1</f>
        <v>1</v>
      </c>
      <c r="P65" s="13">
        <f t="shared" si="8"/>
        <v>2</v>
      </c>
      <c r="Q65" s="13">
        <f t="shared" si="8"/>
        <v>3</v>
      </c>
      <c r="R65" s="13">
        <f t="shared" si="8"/>
        <v>4</v>
      </c>
      <c r="S65" s="13">
        <f t="shared" si="8"/>
        <v>5</v>
      </c>
      <c r="T65" s="13">
        <f t="shared" si="8"/>
        <v>6</v>
      </c>
      <c r="U65" s="13">
        <f t="shared" si="8"/>
        <v>7</v>
      </c>
      <c r="V65" s="13">
        <f t="shared" si="8"/>
        <v>8</v>
      </c>
      <c r="W65" s="13">
        <f t="shared" si="8"/>
        <v>9</v>
      </c>
      <c r="X65" s="13">
        <f t="shared" si="8"/>
        <v>10</v>
      </c>
      <c r="Y65" s="13">
        <f t="shared" si="8"/>
        <v>11</v>
      </c>
      <c r="Z65" s="13">
        <f t="shared" si="8"/>
        <v>12</v>
      </c>
      <c r="AA65" s="13">
        <f t="shared" si="8"/>
        <v>13</v>
      </c>
      <c r="AB65" s="13">
        <f t="shared" si="8"/>
        <v>14</v>
      </c>
      <c r="AC65" s="13">
        <f t="shared" si="8"/>
        <v>15</v>
      </c>
      <c r="AD65" s="13">
        <f t="shared" si="8"/>
        <v>16</v>
      </c>
      <c r="AE65" s="13">
        <f t="shared" si="8"/>
        <v>17</v>
      </c>
      <c r="AF65" s="13">
        <f t="shared" si="8"/>
        <v>18</v>
      </c>
      <c r="AG65" s="13">
        <f t="shared" si="8"/>
        <v>19</v>
      </c>
      <c r="AH65" s="13">
        <f t="shared" si="8"/>
        <v>20</v>
      </c>
      <c r="AI65" s="13">
        <f t="shared" si="8"/>
        <v>21</v>
      </c>
      <c r="AJ65" s="13">
        <f t="shared" si="8"/>
        <v>22</v>
      </c>
      <c r="AK65" s="13">
        <f t="shared" si="8"/>
        <v>23</v>
      </c>
      <c r="AL65" s="13">
        <f t="shared" si="8"/>
        <v>24</v>
      </c>
      <c r="AM65" s="13">
        <f t="shared" si="8"/>
        <v>25</v>
      </c>
      <c r="AN65" s="13">
        <f t="shared" si="8"/>
        <v>26</v>
      </c>
      <c r="AO65" s="13">
        <f t="shared" si="8"/>
        <v>27</v>
      </c>
      <c r="AP65" s="13">
        <f t="shared" si="8"/>
        <v>28</v>
      </c>
      <c r="AQ65" s="13">
        <f t="shared" si="8"/>
        <v>29</v>
      </c>
      <c r="AR65" s="13">
        <f t="shared" si="8"/>
        <v>30</v>
      </c>
      <c r="AS65" s="13">
        <f t="shared" si="8"/>
        <v>31</v>
      </c>
      <c r="AT65" s="13">
        <f t="shared" si="8"/>
        <v>32</v>
      </c>
      <c r="AU65" s="13">
        <f t="shared" si="8"/>
        <v>33</v>
      </c>
      <c r="AV65" s="13">
        <f t="shared" si="8"/>
        <v>34</v>
      </c>
      <c r="AW65" s="13">
        <f t="shared" si="8"/>
        <v>35</v>
      </c>
      <c r="AX65" s="13">
        <f t="shared" si="8"/>
        <v>36</v>
      </c>
      <c r="AY65" s="11"/>
    </row>
    <row r="66" ht="15.75" customHeight="1">
      <c r="B66" s="30"/>
      <c r="C66" s="31"/>
      <c r="D66" s="31"/>
      <c r="E66" s="32"/>
      <c r="F66" s="31"/>
      <c r="G66" s="31"/>
      <c r="H66" s="31"/>
      <c r="I66" s="31"/>
      <c r="J66" s="33"/>
      <c r="L66" s="9"/>
      <c r="M66" s="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1"/>
    </row>
    <row r="67" ht="15.75" customHeight="1">
      <c r="E67" s="2"/>
      <c r="L67" s="9"/>
      <c r="M67" s="57" t="s">
        <v>63</v>
      </c>
      <c r="N67" s="10"/>
      <c r="O67" s="35">
        <f t="shared" ref="O67:AX67" si="9">VLOOKUP(O$65-1,$C$52:$I$64,4,TRUE)</f>
        <v>0</v>
      </c>
      <c r="P67" s="35">
        <f t="shared" si="9"/>
        <v>0</v>
      </c>
      <c r="Q67" s="35">
        <f t="shared" si="9"/>
        <v>0</v>
      </c>
      <c r="R67" s="35">
        <f t="shared" si="9"/>
        <v>0</v>
      </c>
      <c r="S67" s="35">
        <f t="shared" si="9"/>
        <v>0</v>
      </c>
      <c r="T67" s="35">
        <f t="shared" si="9"/>
        <v>0</v>
      </c>
      <c r="U67" s="35">
        <f t="shared" si="9"/>
        <v>0</v>
      </c>
      <c r="V67" s="35">
        <f t="shared" si="9"/>
        <v>0</v>
      </c>
      <c r="W67" s="35">
        <f t="shared" si="9"/>
        <v>1000</v>
      </c>
      <c r="X67" s="35">
        <f t="shared" si="9"/>
        <v>2000</v>
      </c>
      <c r="Y67" s="35">
        <f t="shared" si="9"/>
        <v>2000</v>
      </c>
      <c r="Z67" s="35">
        <f t="shared" si="9"/>
        <v>2000</v>
      </c>
      <c r="AA67" s="35">
        <f t="shared" si="9"/>
        <v>2000</v>
      </c>
      <c r="AB67" s="35">
        <f t="shared" si="9"/>
        <v>2000</v>
      </c>
      <c r="AC67" s="35">
        <f t="shared" si="9"/>
        <v>2000</v>
      </c>
      <c r="AD67" s="35">
        <f t="shared" si="9"/>
        <v>2000</v>
      </c>
      <c r="AE67" s="35">
        <f t="shared" si="9"/>
        <v>2000</v>
      </c>
      <c r="AF67" s="35">
        <f t="shared" si="9"/>
        <v>3000</v>
      </c>
      <c r="AG67" s="35">
        <f t="shared" si="9"/>
        <v>3000</v>
      </c>
      <c r="AH67" s="35">
        <f t="shared" si="9"/>
        <v>3000</v>
      </c>
      <c r="AI67" s="35">
        <f t="shared" si="9"/>
        <v>5000</v>
      </c>
      <c r="AJ67" s="35">
        <f t="shared" si="9"/>
        <v>5000</v>
      </c>
      <c r="AK67" s="35">
        <f t="shared" si="9"/>
        <v>5000</v>
      </c>
      <c r="AL67" s="35">
        <f t="shared" si="9"/>
        <v>5000</v>
      </c>
      <c r="AM67" s="35">
        <f t="shared" si="9"/>
        <v>5000</v>
      </c>
      <c r="AN67" s="35">
        <f t="shared" si="9"/>
        <v>5000</v>
      </c>
      <c r="AO67" s="35">
        <f t="shared" si="9"/>
        <v>5000</v>
      </c>
      <c r="AP67" s="35">
        <f t="shared" si="9"/>
        <v>5000</v>
      </c>
      <c r="AQ67" s="35">
        <f t="shared" si="9"/>
        <v>5000</v>
      </c>
      <c r="AR67" s="35">
        <f t="shared" si="9"/>
        <v>5000</v>
      </c>
      <c r="AS67" s="35">
        <f t="shared" si="9"/>
        <v>5000</v>
      </c>
      <c r="AT67" s="35">
        <f t="shared" si="9"/>
        <v>5000</v>
      </c>
      <c r="AU67" s="35">
        <f t="shared" si="9"/>
        <v>5000</v>
      </c>
      <c r="AV67" s="35">
        <f t="shared" si="9"/>
        <v>5000</v>
      </c>
      <c r="AW67" s="35">
        <f t="shared" si="9"/>
        <v>5000</v>
      </c>
      <c r="AX67" s="35">
        <f t="shared" si="9"/>
        <v>5000</v>
      </c>
      <c r="AY67" s="11"/>
      <c r="AZ67" s="35"/>
    </row>
    <row r="68" ht="15.75" customHeight="1">
      <c r="E68" s="2"/>
      <c r="L68" s="9"/>
      <c r="M68" s="2" t="s">
        <v>64</v>
      </c>
      <c r="N68" s="10"/>
      <c r="O68" s="10">
        <f t="shared" ref="O68:AX68" si="10">ROUND(O67/$F$11,0)</f>
        <v>0</v>
      </c>
      <c r="P68" s="10">
        <f t="shared" si="10"/>
        <v>0</v>
      </c>
      <c r="Q68" s="10">
        <f t="shared" si="10"/>
        <v>0</v>
      </c>
      <c r="R68" s="10">
        <f t="shared" si="10"/>
        <v>0</v>
      </c>
      <c r="S68" s="10">
        <f t="shared" si="10"/>
        <v>0</v>
      </c>
      <c r="T68" s="10">
        <f t="shared" si="10"/>
        <v>0</v>
      </c>
      <c r="U68" s="10">
        <f t="shared" si="10"/>
        <v>0</v>
      </c>
      <c r="V68" s="10">
        <f t="shared" si="10"/>
        <v>0</v>
      </c>
      <c r="W68" s="10">
        <f t="shared" si="10"/>
        <v>2</v>
      </c>
      <c r="X68" s="10">
        <f t="shared" si="10"/>
        <v>4</v>
      </c>
      <c r="Y68" s="10">
        <f t="shared" si="10"/>
        <v>4</v>
      </c>
      <c r="Z68" s="10">
        <f t="shared" si="10"/>
        <v>4</v>
      </c>
      <c r="AA68" s="10">
        <f t="shared" si="10"/>
        <v>4</v>
      </c>
      <c r="AB68" s="10">
        <f t="shared" si="10"/>
        <v>4</v>
      </c>
      <c r="AC68" s="10">
        <f t="shared" si="10"/>
        <v>4</v>
      </c>
      <c r="AD68" s="10">
        <f t="shared" si="10"/>
        <v>4</v>
      </c>
      <c r="AE68" s="10">
        <f t="shared" si="10"/>
        <v>4</v>
      </c>
      <c r="AF68" s="10">
        <f t="shared" si="10"/>
        <v>5</v>
      </c>
      <c r="AG68" s="10">
        <f t="shared" si="10"/>
        <v>5</v>
      </c>
      <c r="AH68" s="10">
        <f t="shared" si="10"/>
        <v>5</v>
      </c>
      <c r="AI68" s="10">
        <f t="shared" si="10"/>
        <v>9</v>
      </c>
      <c r="AJ68" s="10">
        <f t="shared" si="10"/>
        <v>9</v>
      </c>
      <c r="AK68" s="10">
        <f t="shared" si="10"/>
        <v>9</v>
      </c>
      <c r="AL68" s="10">
        <f t="shared" si="10"/>
        <v>9</v>
      </c>
      <c r="AM68" s="10">
        <f t="shared" si="10"/>
        <v>9</v>
      </c>
      <c r="AN68" s="10">
        <f t="shared" si="10"/>
        <v>9</v>
      </c>
      <c r="AO68" s="10">
        <f t="shared" si="10"/>
        <v>9</v>
      </c>
      <c r="AP68" s="10">
        <f t="shared" si="10"/>
        <v>9</v>
      </c>
      <c r="AQ68" s="10">
        <f t="shared" si="10"/>
        <v>9</v>
      </c>
      <c r="AR68" s="10">
        <f t="shared" si="10"/>
        <v>9</v>
      </c>
      <c r="AS68" s="10">
        <f t="shared" si="10"/>
        <v>9</v>
      </c>
      <c r="AT68" s="10">
        <f t="shared" si="10"/>
        <v>9</v>
      </c>
      <c r="AU68" s="10">
        <f t="shared" si="10"/>
        <v>9</v>
      </c>
      <c r="AV68" s="10">
        <f t="shared" si="10"/>
        <v>9</v>
      </c>
      <c r="AW68" s="10">
        <f t="shared" si="10"/>
        <v>9</v>
      </c>
      <c r="AX68" s="10">
        <f t="shared" si="10"/>
        <v>9</v>
      </c>
      <c r="AY68" s="11"/>
    </row>
    <row r="69" ht="15.75" customHeight="1">
      <c r="B69" s="5" t="s">
        <v>65</v>
      </c>
      <c r="C69" s="6"/>
      <c r="D69" s="6"/>
      <c r="E69" s="7"/>
      <c r="F69" s="6"/>
      <c r="G69" s="8"/>
      <c r="H69" s="10"/>
      <c r="L69" s="9"/>
      <c r="M69" s="2" t="s">
        <v>66</v>
      </c>
      <c r="N69" s="10"/>
      <c r="O69" s="10">
        <f t="shared" ref="O69:AX69" si="11">ROUND(O68*$F$12,0)</f>
        <v>0</v>
      </c>
      <c r="P69" s="10">
        <f t="shared" si="11"/>
        <v>0</v>
      </c>
      <c r="Q69" s="10">
        <f t="shared" si="11"/>
        <v>0</v>
      </c>
      <c r="R69" s="10">
        <f t="shared" si="11"/>
        <v>0</v>
      </c>
      <c r="S69" s="10">
        <f t="shared" si="11"/>
        <v>0</v>
      </c>
      <c r="T69" s="10">
        <f t="shared" si="11"/>
        <v>0</v>
      </c>
      <c r="U69" s="10">
        <f t="shared" si="11"/>
        <v>0</v>
      </c>
      <c r="V69" s="10">
        <f t="shared" si="11"/>
        <v>0</v>
      </c>
      <c r="W69" s="10">
        <f t="shared" si="11"/>
        <v>2</v>
      </c>
      <c r="X69" s="10">
        <f t="shared" si="11"/>
        <v>4</v>
      </c>
      <c r="Y69" s="10">
        <f t="shared" si="11"/>
        <v>4</v>
      </c>
      <c r="Z69" s="10">
        <f t="shared" si="11"/>
        <v>4</v>
      </c>
      <c r="AA69" s="10">
        <f t="shared" si="11"/>
        <v>4</v>
      </c>
      <c r="AB69" s="10">
        <f t="shared" si="11"/>
        <v>4</v>
      </c>
      <c r="AC69" s="10">
        <f t="shared" si="11"/>
        <v>4</v>
      </c>
      <c r="AD69" s="10">
        <f t="shared" si="11"/>
        <v>4</v>
      </c>
      <c r="AE69" s="10">
        <f t="shared" si="11"/>
        <v>4</v>
      </c>
      <c r="AF69" s="10">
        <f t="shared" si="11"/>
        <v>5</v>
      </c>
      <c r="AG69" s="10">
        <f t="shared" si="11"/>
        <v>5</v>
      </c>
      <c r="AH69" s="10">
        <f t="shared" si="11"/>
        <v>5</v>
      </c>
      <c r="AI69" s="10">
        <f t="shared" si="11"/>
        <v>9</v>
      </c>
      <c r="AJ69" s="10">
        <f t="shared" si="11"/>
        <v>9</v>
      </c>
      <c r="AK69" s="10">
        <f t="shared" si="11"/>
        <v>9</v>
      </c>
      <c r="AL69" s="10">
        <f t="shared" si="11"/>
        <v>9</v>
      </c>
      <c r="AM69" s="10">
        <f t="shared" si="11"/>
        <v>9</v>
      </c>
      <c r="AN69" s="10">
        <f t="shared" si="11"/>
        <v>9</v>
      </c>
      <c r="AO69" s="10">
        <f t="shared" si="11"/>
        <v>9</v>
      </c>
      <c r="AP69" s="10">
        <f t="shared" si="11"/>
        <v>9</v>
      </c>
      <c r="AQ69" s="10">
        <f t="shared" si="11"/>
        <v>9</v>
      </c>
      <c r="AR69" s="10">
        <f t="shared" si="11"/>
        <v>9</v>
      </c>
      <c r="AS69" s="10">
        <f t="shared" si="11"/>
        <v>9</v>
      </c>
      <c r="AT69" s="10">
        <f t="shared" si="11"/>
        <v>9</v>
      </c>
      <c r="AU69" s="10">
        <f t="shared" si="11"/>
        <v>9</v>
      </c>
      <c r="AV69" s="10">
        <f t="shared" si="11"/>
        <v>9</v>
      </c>
      <c r="AW69" s="10">
        <f t="shared" si="11"/>
        <v>9</v>
      </c>
      <c r="AX69" s="10">
        <f t="shared" si="11"/>
        <v>9</v>
      </c>
      <c r="AY69" s="11"/>
      <c r="AZ69" s="10"/>
    </row>
    <row r="70" ht="15.75" customHeight="1">
      <c r="B70" s="9"/>
      <c r="C70" s="10"/>
      <c r="D70" s="10"/>
      <c r="E70" s="2"/>
      <c r="F70" s="10"/>
      <c r="G70" s="11"/>
      <c r="H70" s="10"/>
      <c r="L70" s="9"/>
      <c r="M70" s="2" t="s">
        <v>67</v>
      </c>
      <c r="N70" s="10"/>
      <c r="O70" s="58">
        <f t="shared" ref="O70:AX70" si="12">N71*$F$18</f>
        <v>0</v>
      </c>
      <c r="P70" s="58">
        <f t="shared" si="12"/>
        <v>0</v>
      </c>
      <c r="Q70" s="58">
        <f t="shared" si="12"/>
        <v>0</v>
      </c>
      <c r="R70" s="58">
        <f t="shared" si="12"/>
        <v>0</v>
      </c>
      <c r="S70" s="58">
        <f t="shared" si="12"/>
        <v>0</v>
      </c>
      <c r="T70" s="58">
        <f t="shared" si="12"/>
        <v>0</v>
      </c>
      <c r="U70" s="58">
        <f t="shared" si="12"/>
        <v>0</v>
      </c>
      <c r="V70" s="58">
        <f t="shared" si="12"/>
        <v>0</v>
      </c>
      <c r="W70" s="58">
        <f t="shared" si="12"/>
        <v>0</v>
      </c>
      <c r="X70" s="58">
        <f t="shared" si="12"/>
        <v>0.1</v>
      </c>
      <c r="Y70" s="58">
        <f t="shared" si="12"/>
        <v>0.295</v>
      </c>
      <c r="Z70" s="58">
        <f t="shared" si="12"/>
        <v>0.48025</v>
      </c>
      <c r="AA70" s="58">
        <f t="shared" si="12"/>
        <v>0.6562375</v>
      </c>
      <c r="AB70" s="58">
        <f t="shared" si="12"/>
        <v>0.823425625</v>
      </c>
      <c r="AC70" s="58">
        <f t="shared" si="12"/>
        <v>0.9822543438</v>
      </c>
      <c r="AD70" s="58">
        <f t="shared" si="12"/>
        <v>1.133141627</v>
      </c>
      <c r="AE70" s="58">
        <f t="shared" si="12"/>
        <v>1.276484545</v>
      </c>
      <c r="AF70" s="58">
        <f t="shared" si="12"/>
        <v>1.412660318</v>
      </c>
      <c r="AG70" s="58">
        <f t="shared" si="12"/>
        <v>1.592027302</v>
      </c>
      <c r="AH70" s="58">
        <f t="shared" si="12"/>
        <v>1.762425937</v>
      </c>
      <c r="AI70" s="58">
        <f t="shared" si="12"/>
        <v>1.92430464</v>
      </c>
      <c r="AJ70" s="58">
        <f t="shared" si="12"/>
        <v>2.278089408</v>
      </c>
      <c r="AK70" s="58">
        <f t="shared" si="12"/>
        <v>2.614184938</v>
      </c>
      <c r="AL70" s="58">
        <f t="shared" si="12"/>
        <v>2.933475691</v>
      </c>
      <c r="AM70" s="58">
        <f t="shared" si="12"/>
        <v>3.236801906</v>
      </c>
      <c r="AN70" s="58">
        <f t="shared" si="12"/>
        <v>3.524961811</v>
      </c>
      <c r="AO70" s="58">
        <f t="shared" si="12"/>
        <v>3.79871372</v>
      </c>
      <c r="AP70" s="58">
        <f t="shared" si="12"/>
        <v>4.058778034</v>
      </c>
      <c r="AQ70" s="58">
        <f t="shared" si="12"/>
        <v>4.305839133</v>
      </c>
      <c r="AR70" s="58">
        <f t="shared" si="12"/>
        <v>4.540547176</v>
      </c>
      <c r="AS70" s="58">
        <f t="shared" si="12"/>
        <v>4.763519817</v>
      </c>
      <c r="AT70" s="58">
        <f t="shared" si="12"/>
        <v>4.975343826</v>
      </c>
      <c r="AU70" s="58">
        <f t="shared" si="12"/>
        <v>5.176576635</v>
      </c>
      <c r="AV70" s="58">
        <f t="shared" si="12"/>
        <v>5.367747803</v>
      </c>
      <c r="AW70" s="58">
        <f t="shared" si="12"/>
        <v>5.549360413</v>
      </c>
      <c r="AX70" s="58">
        <f t="shared" si="12"/>
        <v>5.721892392</v>
      </c>
      <c r="AY70" s="11"/>
    </row>
    <row r="71" ht="15.75" customHeight="1">
      <c r="B71" s="9"/>
      <c r="C71" s="10"/>
      <c r="D71" s="10"/>
      <c r="E71" s="57" t="s">
        <v>2</v>
      </c>
      <c r="F71" s="23">
        <v>36.0</v>
      </c>
      <c r="G71" s="11"/>
      <c r="H71" s="10"/>
      <c r="L71" s="9"/>
      <c r="M71" s="57" t="s">
        <v>68</v>
      </c>
      <c r="N71" s="35"/>
      <c r="O71" s="59">
        <f t="shared" ref="O71:AX71" si="13">N71-O70+O68</f>
        <v>0</v>
      </c>
      <c r="P71" s="59">
        <f t="shared" si="13"/>
        <v>0</v>
      </c>
      <c r="Q71" s="59">
        <f t="shared" si="13"/>
        <v>0</v>
      </c>
      <c r="R71" s="59">
        <f t="shared" si="13"/>
        <v>0</v>
      </c>
      <c r="S71" s="59">
        <f t="shared" si="13"/>
        <v>0</v>
      </c>
      <c r="T71" s="59">
        <f t="shared" si="13"/>
        <v>0</v>
      </c>
      <c r="U71" s="59">
        <f t="shared" si="13"/>
        <v>0</v>
      </c>
      <c r="V71" s="59">
        <f t="shared" si="13"/>
        <v>0</v>
      </c>
      <c r="W71" s="59">
        <f t="shared" si="13"/>
        <v>2</v>
      </c>
      <c r="X71" s="59">
        <f t="shared" si="13"/>
        <v>5.9</v>
      </c>
      <c r="Y71" s="59">
        <f t="shared" si="13"/>
        <v>9.605</v>
      </c>
      <c r="Z71" s="59">
        <f t="shared" si="13"/>
        <v>13.12475</v>
      </c>
      <c r="AA71" s="59">
        <f t="shared" si="13"/>
        <v>16.4685125</v>
      </c>
      <c r="AB71" s="59">
        <f t="shared" si="13"/>
        <v>19.64508688</v>
      </c>
      <c r="AC71" s="59">
        <f t="shared" si="13"/>
        <v>22.66283253</v>
      </c>
      <c r="AD71" s="59">
        <f t="shared" si="13"/>
        <v>25.5296909</v>
      </c>
      <c r="AE71" s="59">
        <f t="shared" si="13"/>
        <v>28.25320636</v>
      </c>
      <c r="AF71" s="59">
        <f t="shared" si="13"/>
        <v>31.84054604</v>
      </c>
      <c r="AG71" s="59">
        <f t="shared" si="13"/>
        <v>35.24851874</v>
      </c>
      <c r="AH71" s="59">
        <f t="shared" si="13"/>
        <v>38.4860928</v>
      </c>
      <c r="AI71" s="59">
        <f t="shared" si="13"/>
        <v>45.56178816</v>
      </c>
      <c r="AJ71" s="59">
        <f t="shared" si="13"/>
        <v>52.28369875</v>
      </c>
      <c r="AK71" s="59">
        <f t="shared" si="13"/>
        <v>58.66951382</v>
      </c>
      <c r="AL71" s="59">
        <f t="shared" si="13"/>
        <v>64.73603813</v>
      </c>
      <c r="AM71" s="59">
        <f t="shared" si="13"/>
        <v>70.49923622</v>
      </c>
      <c r="AN71" s="59">
        <f t="shared" si="13"/>
        <v>75.97427441</v>
      </c>
      <c r="AO71" s="59">
        <f t="shared" si="13"/>
        <v>81.17556069</v>
      </c>
      <c r="AP71" s="59">
        <f t="shared" si="13"/>
        <v>86.11678265</v>
      </c>
      <c r="AQ71" s="59">
        <f t="shared" si="13"/>
        <v>90.81094352</v>
      </c>
      <c r="AR71" s="59">
        <f t="shared" si="13"/>
        <v>95.27039634</v>
      </c>
      <c r="AS71" s="59">
        <f t="shared" si="13"/>
        <v>99.50687653</v>
      </c>
      <c r="AT71" s="59">
        <f t="shared" si="13"/>
        <v>103.5315327</v>
      </c>
      <c r="AU71" s="59">
        <f t="shared" si="13"/>
        <v>107.3549561</v>
      </c>
      <c r="AV71" s="59">
        <f t="shared" si="13"/>
        <v>110.9872083</v>
      </c>
      <c r="AW71" s="59">
        <f t="shared" si="13"/>
        <v>114.4378478</v>
      </c>
      <c r="AX71" s="59">
        <f t="shared" si="13"/>
        <v>117.7159555</v>
      </c>
      <c r="AY71" s="11"/>
    </row>
    <row r="72" ht="15.75" customHeight="1">
      <c r="B72" s="9"/>
      <c r="C72" s="10"/>
      <c r="D72" s="10"/>
      <c r="E72" s="2"/>
      <c r="F72" s="10"/>
      <c r="G72" s="11"/>
      <c r="H72" s="10"/>
      <c r="L72" s="9"/>
      <c r="M72" s="2" t="s">
        <v>69</v>
      </c>
      <c r="N72" s="10"/>
      <c r="O72" s="10">
        <f t="shared" ref="O72:AX72" si="14">ROUND(O71*$F$12,0)</f>
        <v>0</v>
      </c>
      <c r="P72" s="10">
        <f t="shared" si="14"/>
        <v>0</v>
      </c>
      <c r="Q72" s="10">
        <f t="shared" si="14"/>
        <v>0</v>
      </c>
      <c r="R72" s="10">
        <f t="shared" si="14"/>
        <v>0</v>
      </c>
      <c r="S72" s="10">
        <f t="shared" si="14"/>
        <v>0</v>
      </c>
      <c r="T72" s="10">
        <f t="shared" si="14"/>
        <v>0</v>
      </c>
      <c r="U72" s="10">
        <f t="shared" si="14"/>
        <v>0</v>
      </c>
      <c r="V72" s="10">
        <f t="shared" si="14"/>
        <v>0</v>
      </c>
      <c r="W72" s="10">
        <f t="shared" si="14"/>
        <v>2</v>
      </c>
      <c r="X72" s="10">
        <f t="shared" si="14"/>
        <v>6</v>
      </c>
      <c r="Y72" s="10">
        <f t="shared" si="14"/>
        <v>10</v>
      </c>
      <c r="Z72" s="10">
        <f t="shared" si="14"/>
        <v>13</v>
      </c>
      <c r="AA72" s="10">
        <f t="shared" si="14"/>
        <v>16</v>
      </c>
      <c r="AB72" s="10">
        <f t="shared" si="14"/>
        <v>20</v>
      </c>
      <c r="AC72" s="10">
        <f t="shared" si="14"/>
        <v>23</v>
      </c>
      <c r="AD72" s="10">
        <f t="shared" si="14"/>
        <v>26</v>
      </c>
      <c r="AE72" s="10">
        <f t="shared" si="14"/>
        <v>28</v>
      </c>
      <c r="AF72" s="10">
        <f t="shared" si="14"/>
        <v>32</v>
      </c>
      <c r="AG72" s="10">
        <f t="shared" si="14"/>
        <v>35</v>
      </c>
      <c r="AH72" s="10">
        <f t="shared" si="14"/>
        <v>38</v>
      </c>
      <c r="AI72" s="10">
        <f t="shared" si="14"/>
        <v>46</v>
      </c>
      <c r="AJ72" s="10">
        <f t="shared" si="14"/>
        <v>52</v>
      </c>
      <c r="AK72" s="10">
        <f t="shared" si="14"/>
        <v>59</v>
      </c>
      <c r="AL72" s="10">
        <f t="shared" si="14"/>
        <v>65</v>
      </c>
      <c r="AM72" s="10">
        <f t="shared" si="14"/>
        <v>70</v>
      </c>
      <c r="AN72" s="10">
        <f t="shared" si="14"/>
        <v>76</v>
      </c>
      <c r="AO72" s="10">
        <f t="shared" si="14"/>
        <v>81</v>
      </c>
      <c r="AP72" s="10">
        <f t="shared" si="14"/>
        <v>86</v>
      </c>
      <c r="AQ72" s="10">
        <f t="shared" si="14"/>
        <v>91</v>
      </c>
      <c r="AR72" s="10">
        <f t="shared" si="14"/>
        <v>95</v>
      </c>
      <c r="AS72" s="10">
        <f t="shared" si="14"/>
        <v>100</v>
      </c>
      <c r="AT72" s="10">
        <f t="shared" si="14"/>
        <v>104</v>
      </c>
      <c r="AU72" s="10">
        <f t="shared" si="14"/>
        <v>107</v>
      </c>
      <c r="AV72" s="10">
        <f t="shared" si="14"/>
        <v>111</v>
      </c>
      <c r="AW72" s="10">
        <f t="shared" si="14"/>
        <v>114</v>
      </c>
      <c r="AX72" s="10">
        <f t="shared" si="14"/>
        <v>118</v>
      </c>
      <c r="AY72" s="11"/>
    </row>
    <row r="73" ht="15.75" customHeight="1">
      <c r="B73" s="9"/>
      <c r="C73" s="10"/>
      <c r="D73" s="10"/>
      <c r="E73" s="60" t="s">
        <v>70</v>
      </c>
      <c r="F73" s="60">
        <f t="array" ref="F73">IF(COUNTIF(($O$106:INDEX($O$106:$AX$106,$F$71)),"&lt;0")&gt;0, "**FAIL**",INDEX($O$106:$AX$106,$F$71))</f>
        <v>180275</v>
      </c>
      <c r="G73" s="11" t="str">
        <f>$F$8</f>
        <v>EUR</v>
      </c>
      <c r="H73" s="10"/>
      <c r="L73" s="9"/>
      <c r="M73" s="2" t="s">
        <v>71</v>
      </c>
      <c r="N73" s="10"/>
      <c r="O73" s="58">
        <f t="shared" ref="O73:AX73" si="15">IF(O$65&gt;$F$17,(OFFSET(O73,-4,-$F$17)+OFFSET(O73,0,-$F$17))*POWER(1-$F$18,$F$17),0)</f>
        <v>0</v>
      </c>
      <c r="P73" s="58">
        <f t="shared" si="15"/>
        <v>0</v>
      </c>
      <c r="Q73" s="58">
        <f t="shared" si="15"/>
        <v>0</v>
      </c>
      <c r="R73" s="58">
        <f t="shared" si="15"/>
        <v>0</v>
      </c>
      <c r="S73" s="58">
        <f t="shared" si="15"/>
        <v>0</v>
      </c>
      <c r="T73" s="58">
        <f t="shared" si="15"/>
        <v>0</v>
      </c>
      <c r="U73" s="58">
        <f t="shared" si="15"/>
        <v>0</v>
      </c>
      <c r="V73" s="58">
        <f t="shared" si="15"/>
        <v>0</v>
      </c>
      <c r="W73" s="58">
        <f t="shared" si="15"/>
        <v>0</v>
      </c>
      <c r="X73" s="58">
        <f t="shared" si="15"/>
        <v>0</v>
      </c>
      <c r="Y73" s="58">
        <f t="shared" si="15"/>
        <v>0</v>
      </c>
      <c r="Z73" s="58">
        <f t="shared" si="15"/>
        <v>1.71475</v>
      </c>
      <c r="AA73" s="58">
        <f t="shared" si="15"/>
        <v>3.4295</v>
      </c>
      <c r="AB73" s="58">
        <f t="shared" si="15"/>
        <v>3.4295</v>
      </c>
      <c r="AC73" s="58">
        <f t="shared" si="15"/>
        <v>4.899683781</v>
      </c>
      <c r="AD73" s="58">
        <f t="shared" si="15"/>
        <v>6.369867563</v>
      </c>
      <c r="AE73" s="58">
        <f t="shared" si="15"/>
        <v>6.369867563</v>
      </c>
      <c r="AF73" s="58">
        <f t="shared" si="15"/>
        <v>7.630366382</v>
      </c>
      <c r="AG73" s="58">
        <f t="shared" si="15"/>
        <v>8.890865201</v>
      </c>
      <c r="AH73" s="58">
        <f t="shared" si="15"/>
        <v>8.890865201</v>
      </c>
      <c r="AI73" s="58">
        <f t="shared" si="15"/>
        <v>10.82896038</v>
      </c>
      <c r="AJ73" s="58">
        <f t="shared" si="15"/>
        <v>11.90968055</v>
      </c>
      <c r="AK73" s="58">
        <f t="shared" si="15"/>
        <v>11.90968055</v>
      </c>
      <c r="AL73" s="58">
        <f t="shared" si="15"/>
        <v>17.0008549</v>
      </c>
      <c r="AM73" s="58">
        <f t="shared" si="15"/>
        <v>17.92743736</v>
      </c>
      <c r="AN73" s="58">
        <f t="shared" si="15"/>
        <v>17.92743736</v>
      </c>
      <c r="AO73" s="58">
        <f t="shared" si="15"/>
        <v>22.29248297</v>
      </c>
      <c r="AP73" s="58">
        <f t="shared" si="15"/>
        <v>23.08691161</v>
      </c>
      <c r="AQ73" s="58">
        <f t="shared" si="15"/>
        <v>23.08691161</v>
      </c>
      <c r="AR73" s="58">
        <f t="shared" si="15"/>
        <v>26.82939259</v>
      </c>
      <c r="AS73" s="58">
        <f t="shared" si="15"/>
        <v>27.51051584</v>
      </c>
      <c r="AT73" s="58">
        <f t="shared" si="15"/>
        <v>27.51051584</v>
      </c>
      <c r="AU73" s="58">
        <f t="shared" si="15"/>
        <v>30.71922547</v>
      </c>
      <c r="AV73" s="58">
        <f t="shared" si="15"/>
        <v>31.30320352</v>
      </c>
      <c r="AW73" s="58">
        <f t="shared" si="15"/>
        <v>31.30320352</v>
      </c>
      <c r="AX73" s="58">
        <f t="shared" si="15"/>
        <v>34.05427094</v>
      </c>
      <c r="AY73" s="11"/>
    </row>
    <row r="74" ht="15.75" customHeight="1">
      <c r="B74" s="9"/>
      <c r="C74" s="28" t="s">
        <v>72</v>
      </c>
      <c r="D74" s="18"/>
      <c r="E74" s="18"/>
      <c r="F74" s="18"/>
      <c r="G74" s="11"/>
      <c r="H74" s="10"/>
      <c r="L74" s="9"/>
      <c r="M74" s="2" t="s">
        <v>73</v>
      </c>
      <c r="N74" s="10"/>
      <c r="O74" s="10">
        <f t="shared" ref="O74:AX74" si="16">ROUND(O69*$F$15*($F$19+(1-$F$19)*(1-$F$20)),0)</f>
        <v>0</v>
      </c>
      <c r="P74" s="10">
        <f t="shared" si="16"/>
        <v>0</v>
      </c>
      <c r="Q74" s="10">
        <f t="shared" si="16"/>
        <v>0</v>
      </c>
      <c r="R74" s="10">
        <f t="shared" si="16"/>
        <v>0</v>
      </c>
      <c r="S74" s="10">
        <f t="shared" si="16"/>
        <v>0</v>
      </c>
      <c r="T74" s="10">
        <f t="shared" si="16"/>
        <v>0</v>
      </c>
      <c r="U74" s="10">
        <f t="shared" si="16"/>
        <v>0</v>
      </c>
      <c r="V74" s="10">
        <f t="shared" si="16"/>
        <v>0</v>
      </c>
      <c r="W74" s="10">
        <f t="shared" si="16"/>
        <v>10000</v>
      </c>
      <c r="X74" s="10">
        <f t="shared" si="16"/>
        <v>20000</v>
      </c>
      <c r="Y74" s="10">
        <f t="shared" si="16"/>
        <v>20000</v>
      </c>
      <c r="Z74" s="10">
        <f t="shared" si="16"/>
        <v>20000</v>
      </c>
      <c r="AA74" s="10">
        <f t="shared" si="16"/>
        <v>20000</v>
      </c>
      <c r="AB74" s="10">
        <f t="shared" si="16"/>
        <v>20000</v>
      </c>
      <c r="AC74" s="10">
        <f t="shared" si="16"/>
        <v>20000</v>
      </c>
      <c r="AD74" s="10">
        <f t="shared" si="16"/>
        <v>20000</v>
      </c>
      <c r="AE74" s="10">
        <f t="shared" si="16"/>
        <v>20000</v>
      </c>
      <c r="AF74" s="10">
        <f t="shared" si="16"/>
        <v>25000</v>
      </c>
      <c r="AG74" s="10">
        <f t="shared" si="16"/>
        <v>25000</v>
      </c>
      <c r="AH74" s="10">
        <f t="shared" si="16"/>
        <v>25000</v>
      </c>
      <c r="AI74" s="10">
        <f t="shared" si="16"/>
        <v>45000</v>
      </c>
      <c r="AJ74" s="10">
        <f t="shared" si="16"/>
        <v>45000</v>
      </c>
      <c r="AK74" s="10">
        <f t="shared" si="16"/>
        <v>45000</v>
      </c>
      <c r="AL74" s="10">
        <f t="shared" si="16"/>
        <v>45000</v>
      </c>
      <c r="AM74" s="10">
        <f t="shared" si="16"/>
        <v>45000</v>
      </c>
      <c r="AN74" s="10">
        <f t="shared" si="16"/>
        <v>45000</v>
      </c>
      <c r="AO74" s="10">
        <f t="shared" si="16"/>
        <v>45000</v>
      </c>
      <c r="AP74" s="10">
        <f t="shared" si="16"/>
        <v>45000</v>
      </c>
      <c r="AQ74" s="10">
        <f t="shared" si="16"/>
        <v>45000</v>
      </c>
      <c r="AR74" s="10">
        <f t="shared" si="16"/>
        <v>45000</v>
      </c>
      <c r="AS74" s="10">
        <f t="shared" si="16"/>
        <v>45000</v>
      </c>
      <c r="AT74" s="10">
        <f t="shared" si="16"/>
        <v>45000</v>
      </c>
      <c r="AU74" s="10">
        <f t="shared" si="16"/>
        <v>45000</v>
      </c>
      <c r="AV74" s="10">
        <f t="shared" si="16"/>
        <v>45000</v>
      </c>
      <c r="AW74" s="10">
        <f t="shared" si="16"/>
        <v>45000</v>
      </c>
      <c r="AX74" s="10">
        <f t="shared" si="16"/>
        <v>45000</v>
      </c>
      <c r="AY74" s="11"/>
    </row>
    <row r="75" ht="15.75" customHeight="1">
      <c r="B75" s="9"/>
      <c r="C75" s="17"/>
      <c r="D75" s="18" t="s">
        <v>74</v>
      </c>
      <c r="E75" s="16"/>
      <c r="F75" s="16">
        <f t="array" ref="F75">SUM($N$103:INDEX($N$103:$AX$103,$F$71+1))</f>
        <v>60000</v>
      </c>
      <c r="G75" s="11" t="str">
        <f t="shared" ref="G75:G76" si="18">$F$8</f>
        <v>EUR</v>
      </c>
      <c r="H75" s="10"/>
      <c r="L75" s="9"/>
      <c r="M75" s="2" t="s">
        <v>75</v>
      </c>
      <c r="N75" s="26"/>
      <c r="O75" s="58">
        <f t="shared" ref="O75:AX75" si="17">$F$16*ROUND(O73,0)</f>
        <v>0</v>
      </c>
      <c r="P75" s="58">
        <f t="shared" si="17"/>
        <v>0</v>
      </c>
      <c r="Q75" s="58">
        <f t="shared" si="17"/>
        <v>0</v>
      </c>
      <c r="R75" s="58">
        <f t="shared" si="17"/>
        <v>0</v>
      </c>
      <c r="S75" s="58">
        <f t="shared" si="17"/>
        <v>0</v>
      </c>
      <c r="T75" s="58">
        <f t="shared" si="17"/>
        <v>0</v>
      </c>
      <c r="U75" s="58">
        <f t="shared" si="17"/>
        <v>0</v>
      </c>
      <c r="V75" s="58">
        <f t="shared" si="17"/>
        <v>0</v>
      </c>
      <c r="W75" s="58">
        <f t="shared" si="17"/>
        <v>0</v>
      </c>
      <c r="X75" s="58">
        <f t="shared" si="17"/>
        <v>0</v>
      </c>
      <c r="Y75" s="58">
        <f t="shared" si="17"/>
        <v>0</v>
      </c>
      <c r="Z75" s="58">
        <f t="shared" si="17"/>
        <v>800</v>
      </c>
      <c r="AA75" s="58">
        <f t="shared" si="17"/>
        <v>1200</v>
      </c>
      <c r="AB75" s="58">
        <f t="shared" si="17"/>
        <v>1200</v>
      </c>
      <c r="AC75" s="58">
        <f t="shared" si="17"/>
        <v>2000</v>
      </c>
      <c r="AD75" s="58">
        <f t="shared" si="17"/>
        <v>2400</v>
      </c>
      <c r="AE75" s="58">
        <f t="shared" si="17"/>
        <v>2400</v>
      </c>
      <c r="AF75" s="58">
        <f t="shared" si="17"/>
        <v>3200</v>
      </c>
      <c r="AG75" s="58">
        <f t="shared" si="17"/>
        <v>3600</v>
      </c>
      <c r="AH75" s="58">
        <f t="shared" si="17"/>
        <v>3600</v>
      </c>
      <c r="AI75" s="58">
        <f t="shared" si="17"/>
        <v>4400</v>
      </c>
      <c r="AJ75" s="58">
        <f t="shared" si="17"/>
        <v>4800</v>
      </c>
      <c r="AK75" s="58">
        <f t="shared" si="17"/>
        <v>4800</v>
      </c>
      <c r="AL75" s="58">
        <f t="shared" si="17"/>
        <v>6800</v>
      </c>
      <c r="AM75" s="58">
        <f t="shared" si="17"/>
        <v>7200</v>
      </c>
      <c r="AN75" s="58">
        <f t="shared" si="17"/>
        <v>7200</v>
      </c>
      <c r="AO75" s="58">
        <f t="shared" si="17"/>
        <v>8800</v>
      </c>
      <c r="AP75" s="58">
        <f t="shared" si="17"/>
        <v>9200</v>
      </c>
      <c r="AQ75" s="58">
        <f t="shared" si="17"/>
        <v>9200</v>
      </c>
      <c r="AR75" s="58">
        <f t="shared" si="17"/>
        <v>10800</v>
      </c>
      <c r="AS75" s="58">
        <f t="shared" si="17"/>
        <v>11200</v>
      </c>
      <c r="AT75" s="58">
        <f t="shared" si="17"/>
        <v>11200</v>
      </c>
      <c r="AU75" s="58">
        <f t="shared" si="17"/>
        <v>12400</v>
      </c>
      <c r="AV75" s="58">
        <f t="shared" si="17"/>
        <v>12400</v>
      </c>
      <c r="AW75" s="58">
        <f t="shared" si="17"/>
        <v>12400</v>
      </c>
      <c r="AX75" s="58">
        <f t="shared" si="17"/>
        <v>13600</v>
      </c>
      <c r="AY75" s="11"/>
    </row>
    <row r="76" ht="15.75" customHeight="1">
      <c r="B76" s="9"/>
      <c r="C76" s="17"/>
      <c r="D76" s="18" t="s">
        <v>63</v>
      </c>
      <c r="E76" s="16"/>
      <c r="F76" s="16">
        <f t="array" ref="F76">SUM($N$67:INDEX($N$67:$AZ$67,$F$71+1))</f>
        <v>106000</v>
      </c>
      <c r="G76" s="11" t="str">
        <f t="shared" si="18"/>
        <v>EUR</v>
      </c>
      <c r="L76" s="9"/>
      <c r="M76" s="2" t="s">
        <v>76</v>
      </c>
      <c r="N76" s="10"/>
      <c r="O76" s="10">
        <f t="shared" ref="O76:AX76" si="19">ROUND(ROUND(O71,0)*$F$13+O72*$F$14,0)</f>
        <v>0</v>
      </c>
      <c r="P76" s="10">
        <f t="shared" si="19"/>
        <v>0</v>
      </c>
      <c r="Q76" s="10">
        <f t="shared" si="19"/>
        <v>0</v>
      </c>
      <c r="R76" s="10">
        <f t="shared" si="19"/>
        <v>0</v>
      </c>
      <c r="S76" s="10">
        <f t="shared" si="19"/>
        <v>0</v>
      </c>
      <c r="T76" s="10">
        <f t="shared" si="19"/>
        <v>0</v>
      </c>
      <c r="U76" s="10">
        <f t="shared" si="19"/>
        <v>0</v>
      </c>
      <c r="V76" s="10">
        <f t="shared" si="19"/>
        <v>0</v>
      </c>
      <c r="W76" s="10">
        <f t="shared" si="19"/>
        <v>200</v>
      </c>
      <c r="X76" s="10">
        <f t="shared" si="19"/>
        <v>600</v>
      </c>
      <c r="Y76" s="10">
        <f t="shared" si="19"/>
        <v>1000</v>
      </c>
      <c r="Z76" s="10">
        <f t="shared" si="19"/>
        <v>1300</v>
      </c>
      <c r="AA76" s="10">
        <f t="shared" si="19"/>
        <v>1600</v>
      </c>
      <c r="AB76" s="10">
        <f t="shared" si="19"/>
        <v>2000</v>
      </c>
      <c r="AC76" s="10">
        <f t="shared" si="19"/>
        <v>2300</v>
      </c>
      <c r="AD76" s="10">
        <f t="shared" si="19"/>
        <v>2600</v>
      </c>
      <c r="AE76" s="10">
        <f t="shared" si="19"/>
        <v>2800</v>
      </c>
      <c r="AF76" s="10">
        <f t="shared" si="19"/>
        <v>3200</v>
      </c>
      <c r="AG76" s="10">
        <f t="shared" si="19"/>
        <v>3500</v>
      </c>
      <c r="AH76" s="10">
        <f t="shared" si="19"/>
        <v>3800</v>
      </c>
      <c r="AI76" s="10">
        <f t="shared" si="19"/>
        <v>4600</v>
      </c>
      <c r="AJ76" s="10">
        <f t="shared" si="19"/>
        <v>5200</v>
      </c>
      <c r="AK76" s="10">
        <f t="shared" si="19"/>
        <v>5900</v>
      </c>
      <c r="AL76" s="10">
        <f t="shared" si="19"/>
        <v>6500</v>
      </c>
      <c r="AM76" s="10">
        <f t="shared" si="19"/>
        <v>7000</v>
      </c>
      <c r="AN76" s="10">
        <f t="shared" si="19"/>
        <v>7600</v>
      </c>
      <c r="AO76" s="10">
        <f t="shared" si="19"/>
        <v>8100</v>
      </c>
      <c r="AP76" s="10">
        <f t="shared" si="19"/>
        <v>8600</v>
      </c>
      <c r="AQ76" s="10">
        <f t="shared" si="19"/>
        <v>9100</v>
      </c>
      <c r="AR76" s="10">
        <f t="shared" si="19"/>
        <v>9500</v>
      </c>
      <c r="AS76" s="10">
        <f t="shared" si="19"/>
        <v>10000</v>
      </c>
      <c r="AT76" s="10">
        <f t="shared" si="19"/>
        <v>10400</v>
      </c>
      <c r="AU76" s="10">
        <f t="shared" si="19"/>
        <v>10700</v>
      </c>
      <c r="AV76" s="10">
        <f t="shared" si="19"/>
        <v>11100</v>
      </c>
      <c r="AW76" s="10">
        <f t="shared" si="19"/>
        <v>11400</v>
      </c>
      <c r="AX76" s="10">
        <f t="shared" si="19"/>
        <v>11800</v>
      </c>
      <c r="AY76" s="11"/>
    </row>
    <row r="77" ht="15.75" customHeight="1">
      <c r="B77" s="9"/>
      <c r="C77" s="35"/>
      <c r="D77" s="18" t="s">
        <v>77</v>
      </c>
      <c r="E77" s="16"/>
      <c r="F77" s="16">
        <f t="array" ref="F77">SUM($N$68:INDEX($N$68:$AX$68,$F$71+1))</f>
        <v>193</v>
      </c>
      <c r="G77" s="11"/>
      <c r="L77" s="9"/>
      <c r="M77" s="57" t="s">
        <v>10</v>
      </c>
      <c r="N77" s="10"/>
      <c r="O77" s="35">
        <f t="shared" ref="O77:AX77" si="20">SUM(O74:O76)</f>
        <v>0</v>
      </c>
      <c r="P77" s="35">
        <f t="shared" si="20"/>
        <v>0</v>
      </c>
      <c r="Q77" s="35">
        <f t="shared" si="20"/>
        <v>0</v>
      </c>
      <c r="R77" s="35">
        <f t="shared" si="20"/>
        <v>0</v>
      </c>
      <c r="S77" s="35">
        <f t="shared" si="20"/>
        <v>0</v>
      </c>
      <c r="T77" s="35">
        <f t="shared" si="20"/>
        <v>0</v>
      </c>
      <c r="U77" s="35">
        <f t="shared" si="20"/>
        <v>0</v>
      </c>
      <c r="V77" s="35">
        <f t="shared" si="20"/>
        <v>0</v>
      </c>
      <c r="W77" s="35">
        <f t="shared" si="20"/>
        <v>10200</v>
      </c>
      <c r="X77" s="35">
        <f t="shared" si="20"/>
        <v>20600</v>
      </c>
      <c r="Y77" s="35">
        <f t="shared" si="20"/>
        <v>21000</v>
      </c>
      <c r="Z77" s="35">
        <f t="shared" si="20"/>
        <v>22100</v>
      </c>
      <c r="AA77" s="35">
        <f t="shared" si="20"/>
        <v>22800</v>
      </c>
      <c r="AB77" s="35">
        <f t="shared" si="20"/>
        <v>23200</v>
      </c>
      <c r="AC77" s="35">
        <f t="shared" si="20"/>
        <v>24300</v>
      </c>
      <c r="AD77" s="35">
        <f t="shared" si="20"/>
        <v>25000</v>
      </c>
      <c r="AE77" s="35">
        <f t="shared" si="20"/>
        <v>25200</v>
      </c>
      <c r="AF77" s="35">
        <f t="shared" si="20"/>
        <v>31400</v>
      </c>
      <c r="AG77" s="35">
        <f t="shared" si="20"/>
        <v>32100</v>
      </c>
      <c r="AH77" s="35">
        <f t="shared" si="20"/>
        <v>32400</v>
      </c>
      <c r="AI77" s="35">
        <f t="shared" si="20"/>
        <v>54000</v>
      </c>
      <c r="AJ77" s="35">
        <f t="shared" si="20"/>
        <v>55000</v>
      </c>
      <c r="AK77" s="35">
        <f t="shared" si="20"/>
        <v>55700</v>
      </c>
      <c r="AL77" s="35">
        <f t="shared" si="20"/>
        <v>58300</v>
      </c>
      <c r="AM77" s="35">
        <f t="shared" si="20"/>
        <v>59200</v>
      </c>
      <c r="AN77" s="35">
        <f t="shared" si="20"/>
        <v>59800</v>
      </c>
      <c r="AO77" s="35">
        <f t="shared" si="20"/>
        <v>61900</v>
      </c>
      <c r="AP77" s="35">
        <f t="shared" si="20"/>
        <v>62800</v>
      </c>
      <c r="AQ77" s="35">
        <f t="shared" si="20"/>
        <v>63300</v>
      </c>
      <c r="AR77" s="35">
        <f t="shared" si="20"/>
        <v>65300</v>
      </c>
      <c r="AS77" s="35">
        <f t="shared" si="20"/>
        <v>66200</v>
      </c>
      <c r="AT77" s="35">
        <f t="shared" si="20"/>
        <v>66600</v>
      </c>
      <c r="AU77" s="35">
        <f t="shared" si="20"/>
        <v>68100</v>
      </c>
      <c r="AV77" s="35">
        <f t="shared" si="20"/>
        <v>68500</v>
      </c>
      <c r="AW77" s="35">
        <f t="shared" si="20"/>
        <v>68800</v>
      </c>
      <c r="AX77" s="35">
        <f t="shared" si="20"/>
        <v>70400</v>
      </c>
      <c r="AY77" s="11"/>
    </row>
    <row r="78" ht="15.75" customHeight="1">
      <c r="B78" s="9"/>
      <c r="C78" s="10"/>
      <c r="D78" s="18" t="s">
        <v>10</v>
      </c>
      <c r="E78" s="16"/>
      <c r="F78" s="16">
        <f t="array" ref="F78">SUM($N$77:INDEX($N$77:$AX$77,$F$71+1))</f>
        <v>1294200</v>
      </c>
      <c r="G78" s="11" t="str">
        <f>$F$8</f>
        <v>EUR</v>
      </c>
      <c r="L78" s="9"/>
      <c r="M78" s="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1"/>
    </row>
    <row r="79" ht="15.75" customHeight="1">
      <c r="B79" s="9"/>
      <c r="C79" s="28" t="s">
        <v>78</v>
      </c>
      <c r="D79" s="18"/>
      <c r="E79" s="18"/>
      <c r="F79" s="18"/>
      <c r="G79" s="11"/>
      <c r="L79" s="9"/>
      <c r="M79" s="2" t="s">
        <v>79</v>
      </c>
      <c r="N79" s="10"/>
      <c r="O79" s="10">
        <f t="shared" ref="O79:AX79" si="21">ROUND(O71*$F$22+O72*$F$23,0)</f>
        <v>0</v>
      </c>
      <c r="P79" s="10">
        <f t="shared" si="21"/>
        <v>0</v>
      </c>
      <c r="Q79" s="10">
        <f t="shared" si="21"/>
        <v>0</v>
      </c>
      <c r="R79" s="10">
        <f t="shared" si="21"/>
        <v>0</v>
      </c>
      <c r="S79" s="10">
        <f t="shared" si="21"/>
        <v>0</v>
      </c>
      <c r="T79" s="10">
        <f t="shared" si="21"/>
        <v>0</v>
      </c>
      <c r="U79" s="10">
        <f t="shared" si="21"/>
        <v>0</v>
      </c>
      <c r="V79" s="10">
        <f t="shared" si="21"/>
        <v>0</v>
      </c>
      <c r="W79" s="10">
        <f t="shared" si="21"/>
        <v>0</v>
      </c>
      <c r="X79" s="10">
        <f t="shared" si="21"/>
        <v>0</v>
      </c>
      <c r="Y79" s="10">
        <f t="shared" si="21"/>
        <v>0</v>
      </c>
      <c r="Z79" s="10">
        <f t="shared" si="21"/>
        <v>0</v>
      </c>
      <c r="AA79" s="10">
        <f t="shared" si="21"/>
        <v>0</v>
      </c>
      <c r="AB79" s="10">
        <f t="shared" si="21"/>
        <v>0</v>
      </c>
      <c r="AC79" s="10">
        <f t="shared" si="21"/>
        <v>0</v>
      </c>
      <c r="AD79" s="10">
        <f t="shared" si="21"/>
        <v>0</v>
      </c>
      <c r="AE79" s="10">
        <f t="shared" si="21"/>
        <v>0</v>
      </c>
      <c r="AF79" s="10">
        <f t="shared" si="21"/>
        <v>0</v>
      </c>
      <c r="AG79" s="10">
        <f t="shared" si="21"/>
        <v>0</v>
      </c>
      <c r="AH79" s="10">
        <f t="shared" si="21"/>
        <v>0</v>
      </c>
      <c r="AI79" s="10">
        <f t="shared" si="21"/>
        <v>0</v>
      </c>
      <c r="AJ79" s="10">
        <f t="shared" si="21"/>
        <v>0</v>
      </c>
      <c r="AK79" s="10">
        <f t="shared" si="21"/>
        <v>0</v>
      </c>
      <c r="AL79" s="10">
        <f t="shared" si="21"/>
        <v>0</v>
      </c>
      <c r="AM79" s="10">
        <f t="shared" si="21"/>
        <v>0</v>
      </c>
      <c r="AN79" s="10">
        <f t="shared" si="21"/>
        <v>0</v>
      </c>
      <c r="AO79" s="10">
        <f t="shared" si="21"/>
        <v>0</v>
      </c>
      <c r="AP79" s="10">
        <f t="shared" si="21"/>
        <v>0</v>
      </c>
      <c r="AQ79" s="10">
        <f t="shared" si="21"/>
        <v>0</v>
      </c>
      <c r="AR79" s="10">
        <f t="shared" si="21"/>
        <v>0</v>
      </c>
      <c r="AS79" s="10">
        <f t="shared" si="21"/>
        <v>0</v>
      </c>
      <c r="AT79" s="10">
        <f t="shared" si="21"/>
        <v>0</v>
      </c>
      <c r="AU79" s="10">
        <f t="shared" si="21"/>
        <v>0</v>
      </c>
      <c r="AV79" s="10">
        <f t="shared" si="21"/>
        <v>0</v>
      </c>
      <c r="AW79" s="10">
        <f t="shared" si="21"/>
        <v>0</v>
      </c>
      <c r="AX79" s="10">
        <f t="shared" si="21"/>
        <v>0</v>
      </c>
      <c r="AY79" s="11"/>
    </row>
    <row r="80" ht="15.75" customHeight="1">
      <c r="B80" s="9"/>
      <c r="C80" s="10"/>
      <c r="D80" s="18" t="s">
        <v>80</v>
      </c>
      <c r="E80" s="16"/>
      <c r="F80" s="61">
        <f>$F$76/$F$77</f>
        <v>549.2227979</v>
      </c>
      <c r="G80" s="11" t="str">
        <f t="shared" ref="G80:G81" si="23">$F$8</f>
        <v>EUR</v>
      </c>
      <c r="L80" s="9"/>
      <c r="M80" s="2" t="s">
        <v>81</v>
      </c>
      <c r="N80" s="10"/>
      <c r="O80" s="10">
        <f t="shared" ref="O80:AX80" si="22">ROUND(O69*$F$15*(1-$F$24),0)</f>
        <v>0</v>
      </c>
      <c r="P80" s="10">
        <f t="shared" si="22"/>
        <v>0</v>
      </c>
      <c r="Q80" s="10">
        <f t="shared" si="22"/>
        <v>0</v>
      </c>
      <c r="R80" s="10">
        <f t="shared" si="22"/>
        <v>0</v>
      </c>
      <c r="S80" s="10">
        <f t="shared" si="22"/>
        <v>0</v>
      </c>
      <c r="T80" s="10">
        <f t="shared" si="22"/>
        <v>0</v>
      </c>
      <c r="U80" s="10">
        <f t="shared" si="22"/>
        <v>0</v>
      </c>
      <c r="V80" s="10">
        <f t="shared" si="22"/>
        <v>0</v>
      </c>
      <c r="W80" s="10">
        <f t="shared" si="22"/>
        <v>6000</v>
      </c>
      <c r="X80" s="10">
        <f t="shared" si="22"/>
        <v>12000</v>
      </c>
      <c r="Y80" s="10">
        <f t="shared" si="22"/>
        <v>12000</v>
      </c>
      <c r="Z80" s="10">
        <f t="shared" si="22"/>
        <v>12000</v>
      </c>
      <c r="AA80" s="10">
        <f t="shared" si="22"/>
        <v>12000</v>
      </c>
      <c r="AB80" s="10">
        <f t="shared" si="22"/>
        <v>12000</v>
      </c>
      <c r="AC80" s="10">
        <f t="shared" si="22"/>
        <v>12000</v>
      </c>
      <c r="AD80" s="10">
        <f t="shared" si="22"/>
        <v>12000</v>
      </c>
      <c r="AE80" s="10">
        <f t="shared" si="22"/>
        <v>12000</v>
      </c>
      <c r="AF80" s="10">
        <f t="shared" si="22"/>
        <v>15000</v>
      </c>
      <c r="AG80" s="10">
        <f t="shared" si="22"/>
        <v>15000</v>
      </c>
      <c r="AH80" s="10">
        <f t="shared" si="22"/>
        <v>15000</v>
      </c>
      <c r="AI80" s="10">
        <f t="shared" si="22"/>
        <v>27000</v>
      </c>
      <c r="AJ80" s="10">
        <f t="shared" si="22"/>
        <v>27000</v>
      </c>
      <c r="AK80" s="10">
        <f t="shared" si="22"/>
        <v>27000</v>
      </c>
      <c r="AL80" s="10">
        <f t="shared" si="22"/>
        <v>27000</v>
      </c>
      <c r="AM80" s="10">
        <f t="shared" si="22"/>
        <v>27000</v>
      </c>
      <c r="AN80" s="10">
        <f t="shared" si="22"/>
        <v>27000</v>
      </c>
      <c r="AO80" s="10">
        <f t="shared" si="22"/>
        <v>27000</v>
      </c>
      <c r="AP80" s="10">
        <f t="shared" si="22"/>
        <v>27000</v>
      </c>
      <c r="AQ80" s="10">
        <f t="shared" si="22"/>
        <v>27000</v>
      </c>
      <c r="AR80" s="10">
        <f t="shared" si="22"/>
        <v>27000</v>
      </c>
      <c r="AS80" s="10">
        <f t="shared" si="22"/>
        <v>27000</v>
      </c>
      <c r="AT80" s="10">
        <f t="shared" si="22"/>
        <v>27000</v>
      </c>
      <c r="AU80" s="10">
        <f t="shared" si="22"/>
        <v>27000</v>
      </c>
      <c r="AV80" s="10">
        <f t="shared" si="22"/>
        <v>27000</v>
      </c>
      <c r="AW80" s="10">
        <f t="shared" si="22"/>
        <v>27000</v>
      </c>
      <c r="AX80" s="10">
        <f t="shared" si="22"/>
        <v>27000</v>
      </c>
      <c r="AY80" s="11"/>
    </row>
    <row r="81" ht="15.75" customHeight="1">
      <c r="B81" s="9"/>
      <c r="C81" s="10"/>
      <c r="D81" s="18" t="s">
        <v>82</v>
      </c>
      <c r="E81" s="16"/>
      <c r="F81" s="61">
        <f>$F$78/$F$77</f>
        <v>6705.699482</v>
      </c>
      <c r="G81" s="11" t="str">
        <f t="shared" si="23"/>
        <v>EUR</v>
      </c>
      <c r="L81" s="9"/>
      <c r="M81" s="57" t="s">
        <v>83</v>
      </c>
      <c r="N81" s="35"/>
      <c r="O81" s="35">
        <f t="shared" ref="O81:AX81" si="24">O80+O79</f>
        <v>0</v>
      </c>
      <c r="P81" s="35">
        <f t="shared" si="24"/>
        <v>0</v>
      </c>
      <c r="Q81" s="35">
        <f t="shared" si="24"/>
        <v>0</v>
      </c>
      <c r="R81" s="35">
        <f t="shared" si="24"/>
        <v>0</v>
      </c>
      <c r="S81" s="35">
        <f t="shared" si="24"/>
        <v>0</v>
      </c>
      <c r="T81" s="35">
        <f t="shared" si="24"/>
        <v>0</v>
      </c>
      <c r="U81" s="35">
        <f t="shared" si="24"/>
        <v>0</v>
      </c>
      <c r="V81" s="35">
        <f t="shared" si="24"/>
        <v>0</v>
      </c>
      <c r="W81" s="35">
        <f t="shared" si="24"/>
        <v>6000</v>
      </c>
      <c r="X81" s="35">
        <f t="shared" si="24"/>
        <v>12000</v>
      </c>
      <c r="Y81" s="35">
        <f t="shared" si="24"/>
        <v>12000</v>
      </c>
      <c r="Z81" s="35">
        <f t="shared" si="24"/>
        <v>12000</v>
      </c>
      <c r="AA81" s="35">
        <f t="shared" si="24"/>
        <v>12000</v>
      </c>
      <c r="AB81" s="35">
        <f t="shared" si="24"/>
        <v>12000</v>
      </c>
      <c r="AC81" s="35">
        <f t="shared" si="24"/>
        <v>12000</v>
      </c>
      <c r="AD81" s="35">
        <f t="shared" si="24"/>
        <v>12000</v>
      </c>
      <c r="AE81" s="35">
        <f t="shared" si="24"/>
        <v>12000</v>
      </c>
      <c r="AF81" s="35">
        <f t="shared" si="24"/>
        <v>15000</v>
      </c>
      <c r="AG81" s="35">
        <f t="shared" si="24"/>
        <v>15000</v>
      </c>
      <c r="AH81" s="35">
        <f t="shared" si="24"/>
        <v>15000</v>
      </c>
      <c r="AI81" s="35">
        <f t="shared" si="24"/>
        <v>27000</v>
      </c>
      <c r="AJ81" s="35">
        <f t="shared" si="24"/>
        <v>27000</v>
      </c>
      <c r="AK81" s="35">
        <f t="shared" si="24"/>
        <v>27000</v>
      </c>
      <c r="AL81" s="35">
        <f t="shared" si="24"/>
        <v>27000</v>
      </c>
      <c r="AM81" s="35">
        <f t="shared" si="24"/>
        <v>27000</v>
      </c>
      <c r="AN81" s="35">
        <f t="shared" si="24"/>
        <v>27000</v>
      </c>
      <c r="AO81" s="35">
        <f t="shared" si="24"/>
        <v>27000</v>
      </c>
      <c r="AP81" s="35">
        <f t="shared" si="24"/>
        <v>27000</v>
      </c>
      <c r="AQ81" s="35">
        <f t="shared" si="24"/>
        <v>27000</v>
      </c>
      <c r="AR81" s="35">
        <f t="shared" si="24"/>
        <v>27000</v>
      </c>
      <c r="AS81" s="35">
        <f t="shared" si="24"/>
        <v>27000</v>
      </c>
      <c r="AT81" s="35">
        <f t="shared" si="24"/>
        <v>27000</v>
      </c>
      <c r="AU81" s="35">
        <f t="shared" si="24"/>
        <v>27000</v>
      </c>
      <c r="AV81" s="35">
        <f t="shared" si="24"/>
        <v>27000</v>
      </c>
      <c r="AW81" s="35">
        <f t="shared" si="24"/>
        <v>27000</v>
      </c>
      <c r="AX81" s="35">
        <f t="shared" si="24"/>
        <v>27000</v>
      </c>
      <c r="AY81" s="11"/>
    </row>
    <row r="82" ht="15.75" customHeight="1">
      <c r="B82" s="9"/>
      <c r="C82" s="10"/>
      <c r="D82" s="18" t="s">
        <v>84</v>
      </c>
      <c r="E82" s="16"/>
      <c r="F82" s="62">
        <f t="array" ref="F82">AVERAGE($N$70:INDEX($N$70:$AX$70,$F$71+1))/AVERAGE($N$71:INDEX($N$71:$AX$71,$F$71+1))</f>
        <v>0.04637439374</v>
      </c>
      <c r="G82" s="11"/>
      <c r="L82" s="9"/>
      <c r="M82" s="2" t="s">
        <v>85</v>
      </c>
      <c r="N82" s="10"/>
      <c r="O82" s="10">
        <f t="shared" ref="O82:AX82" si="25">O77-O81</f>
        <v>0</v>
      </c>
      <c r="P82" s="10">
        <f t="shared" si="25"/>
        <v>0</v>
      </c>
      <c r="Q82" s="10">
        <f t="shared" si="25"/>
        <v>0</v>
      </c>
      <c r="R82" s="10">
        <f t="shared" si="25"/>
        <v>0</v>
      </c>
      <c r="S82" s="10">
        <f t="shared" si="25"/>
        <v>0</v>
      </c>
      <c r="T82" s="10">
        <f t="shared" si="25"/>
        <v>0</v>
      </c>
      <c r="U82" s="10">
        <f t="shared" si="25"/>
        <v>0</v>
      </c>
      <c r="V82" s="10">
        <f t="shared" si="25"/>
        <v>0</v>
      </c>
      <c r="W82" s="10">
        <f t="shared" si="25"/>
        <v>4200</v>
      </c>
      <c r="X82" s="10">
        <f t="shared" si="25"/>
        <v>8600</v>
      </c>
      <c r="Y82" s="10">
        <f t="shared" si="25"/>
        <v>9000</v>
      </c>
      <c r="Z82" s="10">
        <f t="shared" si="25"/>
        <v>10100</v>
      </c>
      <c r="AA82" s="10">
        <f t="shared" si="25"/>
        <v>10800</v>
      </c>
      <c r="AB82" s="10">
        <f t="shared" si="25"/>
        <v>11200</v>
      </c>
      <c r="AC82" s="10">
        <f t="shared" si="25"/>
        <v>12300</v>
      </c>
      <c r="AD82" s="10">
        <f t="shared" si="25"/>
        <v>13000</v>
      </c>
      <c r="AE82" s="10">
        <f t="shared" si="25"/>
        <v>13200</v>
      </c>
      <c r="AF82" s="10">
        <f t="shared" si="25"/>
        <v>16400</v>
      </c>
      <c r="AG82" s="10">
        <f t="shared" si="25"/>
        <v>17100</v>
      </c>
      <c r="AH82" s="10">
        <f t="shared" si="25"/>
        <v>17400</v>
      </c>
      <c r="AI82" s="10">
        <f t="shared" si="25"/>
        <v>27000</v>
      </c>
      <c r="AJ82" s="10">
        <f t="shared" si="25"/>
        <v>28000</v>
      </c>
      <c r="AK82" s="10">
        <f t="shared" si="25"/>
        <v>28700</v>
      </c>
      <c r="AL82" s="10">
        <f t="shared" si="25"/>
        <v>31300</v>
      </c>
      <c r="AM82" s="10">
        <f t="shared" si="25"/>
        <v>32200</v>
      </c>
      <c r="AN82" s="10">
        <f t="shared" si="25"/>
        <v>32800</v>
      </c>
      <c r="AO82" s="10">
        <f t="shared" si="25"/>
        <v>34900</v>
      </c>
      <c r="AP82" s="10">
        <f t="shared" si="25"/>
        <v>35800</v>
      </c>
      <c r="AQ82" s="10">
        <f t="shared" si="25"/>
        <v>36300</v>
      </c>
      <c r="AR82" s="10">
        <f t="shared" si="25"/>
        <v>38300</v>
      </c>
      <c r="AS82" s="10">
        <f t="shared" si="25"/>
        <v>39200</v>
      </c>
      <c r="AT82" s="10">
        <f t="shared" si="25"/>
        <v>39600</v>
      </c>
      <c r="AU82" s="10">
        <f t="shared" si="25"/>
        <v>41100</v>
      </c>
      <c r="AV82" s="10">
        <f t="shared" si="25"/>
        <v>41500</v>
      </c>
      <c r="AW82" s="10">
        <f t="shared" si="25"/>
        <v>41800</v>
      </c>
      <c r="AX82" s="10">
        <f t="shared" si="25"/>
        <v>43400</v>
      </c>
      <c r="AY82" s="11"/>
    </row>
    <row r="83" ht="15.75" customHeight="1">
      <c r="B83" s="9"/>
      <c r="C83" s="63"/>
      <c r="D83" s="18" t="str">
        <f> "Estimated Exit Value (in year " &amp; CEILING($F$71/12,1) &amp; ")"</f>
        <v>Estimated Exit Value (in year 3)</v>
      </c>
      <c r="E83" s="18"/>
      <c r="F83" s="61">
        <f t="array" ref="F83">INDEX(N121:Q121,1,CEILING(F71/12,1)+1)</f>
        <v>1561800</v>
      </c>
      <c r="G83" s="11" t="str">
        <f>$F$8</f>
        <v>EUR</v>
      </c>
      <c r="L83" s="9"/>
      <c r="M83" s="57"/>
      <c r="N83" s="10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11"/>
    </row>
    <row r="84" ht="15.75" customHeight="1">
      <c r="B84" s="30"/>
      <c r="C84" s="31"/>
      <c r="D84" s="31"/>
      <c r="E84" s="32"/>
      <c r="F84" s="31"/>
      <c r="G84" s="33"/>
      <c r="L84" s="9"/>
      <c r="M84" s="57" t="s">
        <v>47</v>
      </c>
      <c r="N84" s="10"/>
      <c r="O84" s="35">
        <f t="shared" ref="O84:AX84" si="26">VLOOKUP(O$65-1,$C$52:$I$64,3,TRUE)</f>
        <v>0</v>
      </c>
      <c r="P84" s="35">
        <f t="shared" si="26"/>
        <v>0</v>
      </c>
      <c r="Q84" s="35">
        <f t="shared" si="26"/>
        <v>0</v>
      </c>
      <c r="R84" s="35">
        <f t="shared" si="26"/>
        <v>0</v>
      </c>
      <c r="S84" s="35">
        <f t="shared" si="26"/>
        <v>0</v>
      </c>
      <c r="T84" s="35">
        <f t="shared" si="26"/>
        <v>0</v>
      </c>
      <c r="U84" s="35">
        <f t="shared" si="26"/>
        <v>1</v>
      </c>
      <c r="V84" s="35">
        <f t="shared" si="26"/>
        <v>1</v>
      </c>
      <c r="W84" s="35">
        <f t="shared" si="26"/>
        <v>1</v>
      </c>
      <c r="X84" s="35">
        <f t="shared" si="26"/>
        <v>1</v>
      </c>
      <c r="Y84" s="35">
        <f t="shared" si="26"/>
        <v>1</v>
      </c>
      <c r="Z84" s="35">
        <f t="shared" si="26"/>
        <v>5</v>
      </c>
      <c r="AA84" s="35">
        <f t="shared" si="26"/>
        <v>5</v>
      </c>
      <c r="AB84" s="35">
        <f t="shared" si="26"/>
        <v>5</v>
      </c>
      <c r="AC84" s="35">
        <f t="shared" si="26"/>
        <v>5</v>
      </c>
      <c r="AD84" s="35">
        <f t="shared" si="26"/>
        <v>5</v>
      </c>
      <c r="AE84" s="35">
        <f t="shared" si="26"/>
        <v>5</v>
      </c>
      <c r="AF84" s="35">
        <f t="shared" si="26"/>
        <v>7</v>
      </c>
      <c r="AG84" s="35">
        <f t="shared" si="26"/>
        <v>7</v>
      </c>
      <c r="AH84" s="35">
        <f t="shared" si="26"/>
        <v>7</v>
      </c>
      <c r="AI84" s="35">
        <f t="shared" si="26"/>
        <v>7</v>
      </c>
      <c r="AJ84" s="35">
        <f t="shared" si="26"/>
        <v>7</v>
      </c>
      <c r="AK84" s="35">
        <f t="shared" si="26"/>
        <v>7</v>
      </c>
      <c r="AL84" s="35">
        <f t="shared" si="26"/>
        <v>7</v>
      </c>
      <c r="AM84" s="35">
        <f t="shared" si="26"/>
        <v>7</v>
      </c>
      <c r="AN84" s="35">
        <f t="shared" si="26"/>
        <v>7</v>
      </c>
      <c r="AO84" s="35">
        <f t="shared" si="26"/>
        <v>7</v>
      </c>
      <c r="AP84" s="35">
        <f t="shared" si="26"/>
        <v>7</v>
      </c>
      <c r="AQ84" s="35">
        <f t="shared" si="26"/>
        <v>7</v>
      </c>
      <c r="AR84" s="35">
        <f t="shared" si="26"/>
        <v>7</v>
      </c>
      <c r="AS84" s="35">
        <f t="shared" si="26"/>
        <v>7</v>
      </c>
      <c r="AT84" s="35">
        <f t="shared" si="26"/>
        <v>7</v>
      </c>
      <c r="AU84" s="35">
        <f t="shared" si="26"/>
        <v>7</v>
      </c>
      <c r="AV84" s="35">
        <f t="shared" si="26"/>
        <v>7</v>
      </c>
      <c r="AW84" s="35">
        <f t="shared" si="26"/>
        <v>7</v>
      </c>
      <c r="AX84" s="35">
        <f t="shared" si="26"/>
        <v>7</v>
      </c>
      <c r="AY84" s="11"/>
    </row>
    <row r="85" ht="15.75" customHeight="1">
      <c r="E85" s="2"/>
      <c r="L85" s="9"/>
      <c r="M85" s="2" t="s">
        <v>86</v>
      </c>
      <c r="N85" s="10"/>
      <c r="O85" s="10">
        <f t="shared" ref="O85:AX85" si="27">O84*$F$26</f>
        <v>0</v>
      </c>
      <c r="P85" s="10">
        <f t="shared" si="27"/>
        <v>0</v>
      </c>
      <c r="Q85" s="10">
        <f t="shared" si="27"/>
        <v>0</v>
      </c>
      <c r="R85" s="10">
        <f t="shared" si="27"/>
        <v>0</v>
      </c>
      <c r="S85" s="10">
        <f t="shared" si="27"/>
        <v>0</v>
      </c>
      <c r="T85" s="10">
        <f t="shared" si="27"/>
        <v>0</v>
      </c>
      <c r="U85" s="10">
        <f t="shared" si="27"/>
        <v>2500</v>
      </c>
      <c r="V85" s="10">
        <f t="shared" si="27"/>
        <v>2500</v>
      </c>
      <c r="W85" s="10">
        <f t="shared" si="27"/>
        <v>2500</v>
      </c>
      <c r="X85" s="10">
        <f t="shared" si="27"/>
        <v>2500</v>
      </c>
      <c r="Y85" s="10">
        <f t="shared" si="27"/>
        <v>2500</v>
      </c>
      <c r="Z85" s="10">
        <f t="shared" si="27"/>
        <v>12500</v>
      </c>
      <c r="AA85" s="10">
        <f t="shared" si="27"/>
        <v>12500</v>
      </c>
      <c r="AB85" s="10">
        <f t="shared" si="27"/>
        <v>12500</v>
      </c>
      <c r="AC85" s="10">
        <f t="shared" si="27"/>
        <v>12500</v>
      </c>
      <c r="AD85" s="10">
        <f t="shared" si="27"/>
        <v>12500</v>
      </c>
      <c r="AE85" s="10">
        <f t="shared" si="27"/>
        <v>12500</v>
      </c>
      <c r="AF85" s="10">
        <f t="shared" si="27"/>
        <v>17500</v>
      </c>
      <c r="AG85" s="10">
        <f t="shared" si="27"/>
        <v>17500</v>
      </c>
      <c r="AH85" s="10">
        <f t="shared" si="27"/>
        <v>17500</v>
      </c>
      <c r="AI85" s="10">
        <f t="shared" si="27"/>
        <v>17500</v>
      </c>
      <c r="AJ85" s="10">
        <f t="shared" si="27"/>
        <v>17500</v>
      </c>
      <c r="AK85" s="10">
        <f t="shared" si="27"/>
        <v>17500</v>
      </c>
      <c r="AL85" s="10">
        <f t="shared" si="27"/>
        <v>17500</v>
      </c>
      <c r="AM85" s="10">
        <f t="shared" si="27"/>
        <v>17500</v>
      </c>
      <c r="AN85" s="10">
        <f t="shared" si="27"/>
        <v>17500</v>
      </c>
      <c r="AO85" s="10">
        <f t="shared" si="27"/>
        <v>17500</v>
      </c>
      <c r="AP85" s="10">
        <f t="shared" si="27"/>
        <v>17500</v>
      </c>
      <c r="AQ85" s="10">
        <f t="shared" si="27"/>
        <v>17500</v>
      </c>
      <c r="AR85" s="10">
        <f t="shared" si="27"/>
        <v>17500</v>
      </c>
      <c r="AS85" s="10">
        <f t="shared" si="27"/>
        <v>17500</v>
      </c>
      <c r="AT85" s="10">
        <f t="shared" si="27"/>
        <v>17500</v>
      </c>
      <c r="AU85" s="10">
        <f t="shared" si="27"/>
        <v>17500</v>
      </c>
      <c r="AV85" s="10">
        <f t="shared" si="27"/>
        <v>17500</v>
      </c>
      <c r="AW85" s="10">
        <f t="shared" si="27"/>
        <v>17500</v>
      </c>
      <c r="AX85" s="10">
        <f t="shared" si="27"/>
        <v>17500</v>
      </c>
      <c r="AY85" s="11"/>
    </row>
    <row r="86" ht="15.75" customHeight="1">
      <c r="E86" s="2"/>
      <c r="L86" s="9"/>
      <c r="M86" s="2" t="s">
        <v>87</v>
      </c>
      <c r="N86" s="10"/>
      <c r="O86" s="10">
        <f t="shared" ref="O86:AX86" si="28">CEILING(O$84/5,1)*$F$27*$F$28</f>
        <v>0</v>
      </c>
      <c r="P86" s="10">
        <f t="shared" si="28"/>
        <v>0</v>
      </c>
      <c r="Q86" s="10">
        <f t="shared" si="28"/>
        <v>0</v>
      </c>
      <c r="R86" s="10">
        <f t="shared" si="28"/>
        <v>0</v>
      </c>
      <c r="S86" s="10">
        <f t="shared" si="28"/>
        <v>0</v>
      </c>
      <c r="T86" s="10">
        <f t="shared" si="28"/>
        <v>0</v>
      </c>
      <c r="U86" s="10">
        <f t="shared" si="28"/>
        <v>625</v>
      </c>
      <c r="V86" s="10">
        <f t="shared" si="28"/>
        <v>625</v>
      </c>
      <c r="W86" s="10">
        <f t="shared" si="28"/>
        <v>625</v>
      </c>
      <c r="X86" s="10">
        <f t="shared" si="28"/>
        <v>625</v>
      </c>
      <c r="Y86" s="10">
        <f t="shared" si="28"/>
        <v>625</v>
      </c>
      <c r="Z86" s="10">
        <f t="shared" si="28"/>
        <v>625</v>
      </c>
      <c r="AA86" s="10">
        <f t="shared" si="28"/>
        <v>625</v>
      </c>
      <c r="AB86" s="10">
        <f t="shared" si="28"/>
        <v>625</v>
      </c>
      <c r="AC86" s="10">
        <f t="shared" si="28"/>
        <v>625</v>
      </c>
      <c r="AD86" s="10">
        <f t="shared" si="28"/>
        <v>625</v>
      </c>
      <c r="AE86" s="10">
        <f t="shared" si="28"/>
        <v>625</v>
      </c>
      <c r="AF86" s="10">
        <f t="shared" si="28"/>
        <v>1250</v>
      </c>
      <c r="AG86" s="10">
        <f t="shared" si="28"/>
        <v>1250</v>
      </c>
      <c r="AH86" s="10">
        <f t="shared" si="28"/>
        <v>1250</v>
      </c>
      <c r="AI86" s="10">
        <f t="shared" si="28"/>
        <v>1250</v>
      </c>
      <c r="AJ86" s="10">
        <f t="shared" si="28"/>
        <v>1250</v>
      </c>
      <c r="AK86" s="10">
        <f t="shared" si="28"/>
        <v>1250</v>
      </c>
      <c r="AL86" s="10">
        <f t="shared" si="28"/>
        <v>1250</v>
      </c>
      <c r="AM86" s="10">
        <f t="shared" si="28"/>
        <v>1250</v>
      </c>
      <c r="AN86" s="10">
        <f t="shared" si="28"/>
        <v>1250</v>
      </c>
      <c r="AO86" s="10">
        <f t="shared" si="28"/>
        <v>1250</v>
      </c>
      <c r="AP86" s="10">
        <f t="shared" si="28"/>
        <v>1250</v>
      </c>
      <c r="AQ86" s="10">
        <f t="shared" si="28"/>
        <v>1250</v>
      </c>
      <c r="AR86" s="10">
        <f t="shared" si="28"/>
        <v>1250</v>
      </c>
      <c r="AS86" s="10">
        <f t="shared" si="28"/>
        <v>1250</v>
      </c>
      <c r="AT86" s="10">
        <f t="shared" si="28"/>
        <v>1250</v>
      </c>
      <c r="AU86" s="10">
        <f t="shared" si="28"/>
        <v>1250</v>
      </c>
      <c r="AV86" s="10">
        <f t="shared" si="28"/>
        <v>1250</v>
      </c>
      <c r="AW86" s="10">
        <f t="shared" si="28"/>
        <v>1250</v>
      </c>
      <c r="AX86" s="10">
        <f t="shared" si="28"/>
        <v>1250</v>
      </c>
      <c r="AY86" s="11"/>
    </row>
    <row r="87" ht="15.75" customHeight="1">
      <c r="E87" s="2"/>
      <c r="L87" s="9"/>
      <c r="M87" s="2" t="s">
        <v>88</v>
      </c>
      <c r="N87" s="10"/>
      <c r="O87" s="10">
        <f t="shared" ref="O87:AX87" si="29">CEILING(O$84/10,1)*$F$29</f>
        <v>0</v>
      </c>
      <c r="P87" s="10">
        <f t="shared" si="29"/>
        <v>0</v>
      </c>
      <c r="Q87" s="10">
        <f t="shared" si="29"/>
        <v>0</v>
      </c>
      <c r="R87" s="10">
        <f t="shared" si="29"/>
        <v>0</v>
      </c>
      <c r="S87" s="10">
        <f t="shared" si="29"/>
        <v>0</v>
      </c>
      <c r="T87" s="10">
        <f t="shared" si="29"/>
        <v>0</v>
      </c>
      <c r="U87" s="10">
        <f t="shared" si="29"/>
        <v>400</v>
      </c>
      <c r="V87" s="10">
        <f t="shared" si="29"/>
        <v>400</v>
      </c>
      <c r="W87" s="10">
        <f t="shared" si="29"/>
        <v>400</v>
      </c>
      <c r="X87" s="10">
        <f t="shared" si="29"/>
        <v>400</v>
      </c>
      <c r="Y87" s="10">
        <f t="shared" si="29"/>
        <v>400</v>
      </c>
      <c r="Z87" s="10">
        <f t="shared" si="29"/>
        <v>400</v>
      </c>
      <c r="AA87" s="10">
        <f t="shared" si="29"/>
        <v>400</v>
      </c>
      <c r="AB87" s="10">
        <f t="shared" si="29"/>
        <v>400</v>
      </c>
      <c r="AC87" s="10">
        <f t="shared" si="29"/>
        <v>400</v>
      </c>
      <c r="AD87" s="10">
        <f t="shared" si="29"/>
        <v>400</v>
      </c>
      <c r="AE87" s="10">
        <f t="shared" si="29"/>
        <v>400</v>
      </c>
      <c r="AF87" s="10">
        <f t="shared" si="29"/>
        <v>400</v>
      </c>
      <c r="AG87" s="10">
        <f t="shared" si="29"/>
        <v>400</v>
      </c>
      <c r="AH87" s="10">
        <f t="shared" si="29"/>
        <v>400</v>
      </c>
      <c r="AI87" s="10">
        <f t="shared" si="29"/>
        <v>400</v>
      </c>
      <c r="AJ87" s="10">
        <f t="shared" si="29"/>
        <v>400</v>
      </c>
      <c r="AK87" s="10">
        <f t="shared" si="29"/>
        <v>400</v>
      </c>
      <c r="AL87" s="10">
        <f t="shared" si="29"/>
        <v>400</v>
      </c>
      <c r="AM87" s="10">
        <f t="shared" si="29"/>
        <v>400</v>
      </c>
      <c r="AN87" s="10">
        <f t="shared" si="29"/>
        <v>400</v>
      </c>
      <c r="AO87" s="10">
        <f t="shared" si="29"/>
        <v>400</v>
      </c>
      <c r="AP87" s="10">
        <f t="shared" si="29"/>
        <v>400</v>
      </c>
      <c r="AQ87" s="10">
        <f t="shared" si="29"/>
        <v>400</v>
      </c>
      <c r="AR87" s="10">
        <f t="shared" si="29"/>
        <v>400</v>
      </c>
      <c r="AS87" s="10">
        <f t="shared" si="29"/>
        <v>400</v>
      </c>
      <c r="AT87" s="10">
        <f t="shared" si="29"/>
        <v>400</v>
      </c>
      <c r="AU87" s="10">
        <f t="shared" si="29"/>
        <v>400</v>
      </c>
      <c r="AV87" s="10">
        <f t="shared" si="29"/>
        <v>400</v>
      </c>
      <c r="AW87" s="10">
        <f t="shared" si="29"/>
        <v>400</v>
      </c>
      <c r="AX87" s="10">
        <f t="shared" si="29"/>
        <v>400</v>
      </c>
      <c r="AY87" s="11"/>
    </row>
    <row r="88" ht="15.75" customHeight="1">
      <c r="E88" s="2"/>
      <c r="L88" s="9"/>
      <c r="M88" s="2" t="s">
        <v>89</v>
      </c>
      <c r="N88" s="10"/>
      <c r="O88" s="10">
        <f t="shared" ref="O88:AX88" si="30">O$84*$F$30</f>
        <v>0</v>
      </c>
      <c r="P88" s="10">
        <f t="shared" si="30"/>
        <v>0</v>
      </c>
      <c r="Q88" s="10">
        <f t="shared" si="30"/>
        <v>0</v>
      </c>
      <c r="R88" s="10">
        <f t="shared" si="30"/>
        <v>0</v>
      </c>
      <c r="S88" s="10">
        <f t="shared" si="30"/>
        <v>0</v>
      </c>
      <c r="T88" s="10">
        <f t="shared" si="30"/>
        <v>0</v>
      </c>
      <c r="U88" s="10">
        <f t="shared" si="30"/>
        <v>10</v>
      </c>
      <c r="V88" s="10">
        <f t="shared" si="30"/>
        <v>10</v>
      </c>
      <c r="W88" s="10">
        <f t="shared" si="30"/>
        <v>10</v>
      </c>
      <c r="X88" s="10">
        <f t="shared" si="30"/>
        <v>10</v>
      </c>
      <c r="Y88" s="10">
        <f t="shared" si="30"/>
        <v>10</v>
      </c>
      <c r="Z88" s="10">
        <f t="shared" si="30"/>
        <v>50</v>
      </c>
      <c r="AA88" s="10">
        <f t="shared" si="30"/>
        <v>50</v>
      </c>
      <c r="AB88" s="10">
        <f t="shared" si="30"/>
        <v>50</v>
      </c>
      <c r="AC88" s="10">
        <f t="shared" si="30"/>
        <v>50</v>
      </c>
      <c r="AD88" s="10">
        <f t="shared" si="30"/>
        <v>50</v>
      </c>
      <c r="AE88" s="10">
        <f t="shared" si="30"/>
        <v>50</v>
      </c>
      <c r="AF88" s="10">
        <f t="shared" si="30"/>
        <v>70</v>
      </c>
      <c r="AG88" s="10">
        <f t="shared" si="30"/>
        <v>70</v>
      </c>
      <c r="AH88" s="10">
        <f t="shared" si="30"/>
        <v>70</v>
      </c>
      <c r="AI88" s="10">
        <f t="shared" si="30"/>
        <v>70</v>
      </c>
      <c r="AJ88" s="10">
        <f t="shared" si="30"/>
        <v>70</v>
      </c>
      <c r="AK88" s="10">
        <f t="shared" si="30"/>
        <v>70</v>
      </c>
      <c r="AL88" s="10">
        <f t="shared" si="30"/>
        <v>70</v>
      </c>
      <c r="AM88" s="10">
        <f t="shared" si="30"/>
        <v>70</v>
      </c>
      <c r="AN88" s="10">
        <f t="shared" si="30"/>
        <v>70</v>
      </c>
      <c r="AO88" s="10">
        <f t="shared" si="30"/>
        <v>70</v>
      </c>
      <c r="AP88" s="10">
        <f t="shared" si="30"/>
        <v>70</v>
      </c>
      <c r="AQ88" s="10">
        <f t="shared" si="30"/>
        <v>70</v>
      </c>
      <c r="AR88" s="10">
        <f t="shared" si="30"/>
        <v>70</v>
      </c>
      <c r="AS88" s="10">
        <f t="shared" si="30"/>
        <v>70</v>
      </c>
      <c r="AT88" s="10">
        <f t="shared" si="30"/>
        <v>70</v>
      </c>
      <c r="AU88" s="10">
        <f t="shared" si="30"/>
        <v>70</v>
      </c>
      <c r="AV88" s="10">
        <f t="shared" si="30"/>
        <v>70</v>
      </c>
      <c r="AW88" s="10">
        <f t="shared" si="30"/>
        <v>70</v>
      </c>
      <c r="AX88" s="10">
        <f t="shared" si="30"/>
        <v>70</v>
      </c>
      <c r="AY88" s="11"/>
    </row>
    <row r="89" ht="15.75" customHeight="1">
      <c r="E89" s="2"/>
      <c r="L89" s="9"/>
      <c r="M89" s="2" t="s">
        <v>90</v>
      </c>
      <c r="N89" s="10"/>
      <c r="O89" s="10">
        <f t="shared" ref="O89:AX89" si="31">O$84*$F$31</f>
        <v>0</v>
      </c>
      <c r="P89" s="10">
        <f t="shared" si="31"/>
        <v>0</v>
      </c>
      <c r="Q89" s="10">
        <f t="shared" si="31"/>
        <v>0</v>
      </c>
      <c r="R89" s="10">
        <f t="shared" si="31"/>
        <v>0</v>
      </c>
      <c r="S89" s="10">
        <f t="shared" si="31"/>
        <v>0</v>
      </c>
      <c r="T89" s="10">
        <f t="shared" si="31"/>
        <v>0</v>
      </c>
      <c r="U89" s="10">
        <f t="shared" si="31"/>
        <v>50</v>
      </c>
      <c r="V89" s="10">
        <f t="shared" si="31"/>
        <v>50</v>
      </c>
      <c r="W89" s="10">
        <f t="shared" si="31"/>
        <v>50</v>
      </c>
      <c r="X89" s="10">
        <f t="shared" si="31"/>
        <v>50</v>
      </c>
      <c r="Y89" s="10">
        <f t="shared" si="31"/>
        <v>50</v>
      </c>
      <c r="Z89" s="10">
        <f t="shared" si="31"/>
        <v>250</v>
      </c>
      <c r="AA89" s="10">
        <f t="shared" si="31"/>
        <v>250</v>
      </c>
      <c r="AB89" s="10">
        <f t="shared" si="31"/>
        <v>250</v>
      </c>
      <c r="AC89" s="10">
        <f t="shared" si="31"/>
        <v>250</v>
      </c>
      <c r="AD89" s="10">
        <f t="shared" si="31"/>
        <v>250</v>
      </c>
      <c r="AE89" s="10">
        <f t="shared" si="31"/>
        <v>250</v>
      </c>
      <c r="AF89" s="10">
        <f t="shared" si="31"/>
        <v>350</v>
      </c>
      <c r="AG89" s="10">
        <f t="shared" si="31"/>
        <v>350</v>
      </c>
      <c r="AH89" s="10">
        <f t="shared" si="31"/>
        <v>350</v>
      </c>
      <c r="AI89" s="10">
        <f t="shared" si="31"/>
        <v>350</v>
      </c>
      <c r="AJ89" s="10">
        <f t="shared" si="31"/>
        <v>350</v>
      </c>
      <c r="AK89" s="10">
        <f t="shared" si="31"/>
        <v>350</v>
      </c>
      <c r="AL89" s="10">
        <f t="shared" si="31"/>
        <v>350</v>
      </c>
      <c r="AM89" s="10">
        <f t="shared" si="31"/>
        <v>350</v>
      </c>
      <c r="AN89" s="10">
        <f t="shared" si="31"/>
        <v>350</v>
      </c>
      <c r="AO89" s="10">
        <f t="shared" si="31"/>
        <v>350</v>
      </c>
      <c r="AP89" s="10">
        <f t="shared" si="31"/>
        <v>350</v>
      </c>
      <c r="AQ89" s="10">
        <f t="shared" si="31"/>
        <v>350</v>
      </c>
      <c r="AR89" s="10">
        <f t="shared" si="31"/>
        <v>350</v>
      </c>
      <c r="AS89" s="10">
        <f t="shared" si="31"/>
        <v>350</v>
      </c>
      <c r="AT89" s="10">
        <f t="shared" si="31"/>
        <v>350</v>
      </c>
      <c r="AU89" s="10">
        <f t="shared" si="31"/>
        <v>350</v>
      </c>
      <c r="AV89" s="10">
        <f t="shared" si="31"/>
        <v>350</v>
      </c>
      <c r="AW89" s="10">
        <f t="shared" si="31"/>
        <v>350</v>
      </c>
      <c r="AX89" s="10">
        <f t="shared" si="31"/>
        <v>350</v>
      </c>
      <c r="AY89" s="11"/>
    </row>
    <row r="90" ht="15.75" customHeight="1">
      <c r="E90" s="2"/>
      <c r="L90" s="9"/>
      <c r="M90" s="2" t="s">
        <v>91</v>
      </c>
      <c r="N90" s="10"/>
      <c r="O90" s="10">
        <f t="shared" ref="O90:AX90" si="32">O$84*$F$32</f>
        <v>0</v>
      </c>
      <c r="P90" s="10">
        <f t="shared" si="32"/>
        <v>0</v>
      </c>
      <c r="Q90" s="10">
        <f t="shared" si="32"/>
        <v>0</v>
      </c>
      <c r="R90" s="10">
        <f t="shared" si="32"/>
        <v>0</v>
      </c>
      <c r="S90" s="10">
        <f t="shared" si="32"/>
        <v>0</v>
      </c>
      <c r="T90" s="10">
        <f t="shared" si="32"/>
        <v>0</v>
      </c>
      <c r="U90" s="10">
        <f t="shared" si="32"/>
        <v>20</v>
      </c>
      <c r="V90" s="10">
        <f t="shared" si="32"/>
        <v>20</v>
      </c>
      <c r="W90" s="10">
        <f t="shared" si="32"/>
        <v>20</v>
      </c>
      <c r="X90" s="10">
        <f t="shared" si="32"/>
        <v>20</v>
      </c>
      <c r="Y90" s="10">
        <f t="shared" si="32"/>
        <v>20</v>
      </c>
      <c r="Z90" s="10">
        <f t="shared" si="32"/>
        <v>100</v>
      </c>
      <c r="AA90" s="10">
        <f t="shared" si="32"/>
        <v>100</v>
      </c>
      <c r="AB90" s="10">
        <f t="shared" si="32"/>
        <v>100</v>
      </c>
      <c r="AC90" s="10">
        <f t="shared" si="32"/>
        <v>100</v>
      </c>
      <c r="AD90" s="10">
        <f t="shared" si="32"/>
        <v>100</v>
      </c>
      <c r="AE90" s="10">
        <f t="shared" si="32"/>
        <v>100</v>
      </c>
      <c r="AF90" s="10">
        <f t="shared" si="32"/>
        <v>140</v>
      </c>
      <c r="AG90" s="10">
        <f t="shared" si="32"/>
        <v>140</v>
      </c>
      <c r="AH90" s="10">
        <f t="shared" si="32"/>
        <v>140</v>
      </c>
      <c r="AI90" s="10">
        <f t="shared" si="32"/>
        <v>140</v>
      </c>
      <c r="AJ90" s="10">
        <f t="shared" si="32"/>
        <v>140</v>
      </c>
      <c r="AK90" s="10">
        <f t="shared" si="32"/>
        <v>140</v>
      </c>
      <c r="AL90" s="10">
        <f t="shared" si="32"/>
        <v>140</v>
      </c>
      <c r="AM90" s="10">
        <f t="shared" si="32"/>
        <v>140</v>
      </c>
      <c r="AN90" s="10">
        <f t="shared" si="32"/>
        <v>140</v>
      </c>
      <c r="AO90" s="10">
        <f t="shared" si="32"/>
        <v>140</v>
      </c>
      <c r="AP90" s="10">
        <f t="shared" si="32"/>
        <v>140</v>
      </c>
      <c r="AQ90" s="10">
        <f t="shared" si="32"/>
        <v>140</v>
      </c>
      <c r="AR90" s="10">
        <f t="shared" si="32"/>
        <v>140</v>
      </c>
      <c r="AS90" s="10">
        <f t="shared" si="32"/>
        <v>140</v>
      </c>
      <c r="AT90" s="10">
        <f t="shared" si="32"/>
        <v>140</v>
      </c>
      <c r="AU90" s="10">
        <f t="shared" si="32"/>
        <v>140</v>
      </c>
      <c r="AV90" s="10">
        <f t="shared" si="32"/>
        <v>140</v>
      </c>
      <c r="AW90" s="10">
        <f t="shared" si="32"/>
        <v>140</v>
      </c>
      <c r="AX90" s="10">
        <f t="shared" si="32"/>
        <v>140</v>
      </c>
      <c r="AY90" s="11"/>
    </row>
    <row r="91" ht="15.75" customHeight="1">
      <c r="E91" s="2"/>
      <c r="L91" s="9"/>
      <c r="M91" s="2" t="s">
        <v>92</v>
      </c>
      <c r="N91" s="10"/>
      <c r="O91" s="10">
        <f t="shared" ref="O91:AX91" si="33">$F$33</f>
        <v>10</v>
      </c>
      <c r="P91" s="10">
        <f t="shared" si="33"/>
        <v>10</v>
      </c>
      <c r="Q91" s="10">
        <f t="shared" si="33"/>
        <v>10</v>
      </c>
      <c r="R91" s="10">
        <f t="shared" si="33"/>
        <v>10</v>
      </c>
      <c r="S91" s="10">
        <f t="shared" si="33"/>
        <v>10</v>
      </c>
      <c r="T91" s="10">
        <f t="shared" si="33"/>
        <v>10</v>
      </c>
      <c r="U91" s="10">
        <f t="shared" si="33"/>
        <v>10</v>
      </c>
      <c r="V91" s="10">
        <f t="shared" si="33"/>
        <v>10</v>
      </c>
      <c r="W91" s="10">
        <f t="shared" si="33"/>
        <v>10</v>
      </c>
      <c r="X91" s="10">
        <f t="shared" si="33"/>
        <v>10</v>
      </c>
      <c r="Y91" s="10">
        <f t="shared" si="33"/>
        <v>10</v>
      </c>
      <c r="Z91" s="10">
        <f t="shared" si="33"/>
        <v>10</v>
      </c>
      <c r="AA91" s="10">
        <f t="shared" si="33"/>
        <v>10</v>
      </c>
      <c r="AB91" s="10">
        <f t="shared" si="33"/>
        <v>10</v>
      </c>
      <c r="AC91" s="10">
        <f t="shared" si="33"/>
        <v>10</v>
      </c>
      <c r="AD91" s="10">
        <f t="shared" si="33"/>
        <v>10</v>
      </c>
      <c r="AE91" s="10">
        <f t="shared" si="33"/>
        <v>10</v>
      </c>
      <c r="AF91" s="10">
        <f t="shared" si="33"/>
        <v>10</v>
      </c>
      <c r="AG91" s="10">
        <f t="shared" si="33"/>
        <v>10</v>
      </c>
      <c r="AH91" s="10">
        <f t="shared" si="33"/>
        <v>10</v>
      </c>
      <c r="AI91" s="10">
        <f t="shared" si="33"/>
        <v>10</v>
      </c>
      <c r="AJ91" s="10">
        <f t="shared" si="33"/>
        <v>10</v>
      </c>
      <c r="AK91" s="10">
        <f t="shared" si="33"/>
        <v>10</v>
      </c>
      <c r="AL91" s="10">
        <f t="shared" si="33"/>
        <v>10</v>
      </c>
      <c r="AM91" s="10">
        <f t="shared" si="33"/>
        <v>10</v>
      </c>
      <c r="AN91" s="10">
        <f t="shared" si="33"/>
        <v>10</v>
      </c>
      <c r="AO91" s="10">
        <f t="shared" si="33"/>
        <v>10</v>
      </c>
      <c r="AP91" s="10">
        <f t="shared" si="33"/>
        <v>10</v>
      </c>
      <c r="AQ91" s="10">
        <f t="shared" si="33"/>
        <v>10</v>
      </c>
      <c r="AR91" s="10">
        <f t="shared" si="33"/>
        <v>10</v>
      </c>
      <c r="AS91" s="10">
        <f t="shared" si="33"/>
        <v>10</v>
      </c>
      <c r="AT91" s="10">
        <f t="shared" si="33"/>
        <v>10</v>
      </c>
      <c r="AU91" s="10">
        <f t="shared" si="33"/>
        <v>10</v>
      </c>
      <c r="AV91" s="10">
        <f t="shared" si="33"/>
        <v>10</v>
      </c>
      <c r="AW91" s="10">
        <f t="shared" si="33"/>
        <v>10</v>
      </c>
      <c r="AX91" s="10">
        <f t="shared" si="33"/>
        <v>10</v>
      </c>
      <c r="AY91" s="11"/>
    </row>
    <row r="92" ht="15.75" customHeight="1">
      <c r="E92" s="2"/>
      <c r="L92" s="9"/>
      <c r="M92" s="2" t="s">
        <v>93</v>
      </c>
      <c r="N92" s="10"/>
      <c r="O92" s="10" t="str">
        <f t="shared" ref="O92:AX92" si="34">VLOOKUP(O$65-1,$C$52:$I$64,5,TRUE)</f>
        <v/>
      </c>
      <c r="P92" s="10" t="str">
        <f t="shared" si="34"/>
        <v/>
      </c>
      <c r="Q92" s="10" t="str">
        <f t="shared" si="34"/>
        <v/>
      </c>
      <c r="R92" s="10" t="str">
        <f t="shared" si="34"/>
        <v/>
      </c>
      <c r="S92" s="10" t="str">
        <f t="shared" si="34"/>
        <v/>
      </c>
      <c r="T92" s="10" t="str">
        <f t="shared" si="34"/>
        <v/>
      </c>
      <c r="U92" s="10" t="str">
        <f t="shared" si="34"/>
        <v/>
      </c>
      <c r="V92" s="10" t="str">
        <f t="shared" si="34"/>
        <v/>
      </c>
      <c r="W92" s="10" t="str">
        <f t="shared" si="34"/>
        <v/>
      </c>
      <c r="X92" s="10" t="str">
        <f t="shared" si="34"/>
        <v/>
      </c>
      <c r="Y92" s="10" t="str">
        <f t="shared" si="34"/>
        <v/>
      </c>
      <c r="Z92" s="10" t="str">
        <f t="shared" si="34"/>
        <v/>
      </c>
      <c r="AA92" s="10" t="str">
        <f t="shared" si="34"/>
        <v/>
      </c>
      <c r="AB92" s="10" t="str">
        <f t="shared" si="34"/>
        <v/>
      </c>
      <c r="AC92" s="10" t="str">
        <f t="shared" si="34"/>
        <v/>
      </c>
      <c r="AD92" s="10" t="str">
        <f t="shared" si="34"/>
        <v/>
      </c>
      <c r="AE92" s="10" t="str">
        <f t="shared" si="34"/>
        <v/>
      </c>
      <c r="AF92" s="10" t="str">
        <f t="shared" si="34"/>
        <v/>
      </c>
      <c r="AG92" s="10" t="str">
        <f t="shared" si="34"/>
        <v/>
      </c>
      <c r="AH92" s="10" t="str">
        <f t="shared" si="34"/>
        <v/>
      </c>
      <c r="AI92" s="10" t="str">
        <f t="shared" si="34"/>
        <v/>
      </c>
      <c r="AJ92" s="10" t="str">
        <f t="shared" si="34"/>
        <v/>
      </c>
      <c r="AK92" s="10" t="str">
        <f t="shared" si="34"/>
        <v/>
      </c>
      <c r="AL92" s="10" t="str">
        <f t="shared" si="34"/>
        <v/>
      </c>
      <c r="AM92" s="10" t="str">
        <f t="shared" si="34"/>
        <v/>
      </c>
      <c r="AN92" s="10" t="str">
        <f t="shared" si="34"/>
        <v/>
      </c>
      <c r="AO92" s="10" t="str">
        <f t="shared" si="34"/>
        <v/>
      </c>
      <c r="AP92" s="10" t="str">
        <f t="shared" si="34"/>
        <v/>
      </c>
      <c r="AQ92" s="10" t="str">
        <f t="shared" si="34"/>
        <v/>
      </c>
      <c r="AR92" s="10" t="str">
        <f t="shared" si="34"/>
        <v/>
      </c>
      <c r="AS92" s="10" t="str">
        <f t="shared" si="34"/>
        <v/>
      </c>
      <c r="AT92" s="10" t="str">
        <f t="shared" si="34"/>
        <v/>
      </c>
      <c r="AU92" s="10" t="str">
        <f t="shared" si="34"/>
        <v/>
      </c>
      <c r="AV92" s="10" t="str">
        <f t="shared" si="34"/>
        <v/>
      </c>
      <c r="AW92" s="10" t="str">
        <f t="shared" si="34"/>
        <v/>
      </c>
      <c r="AX92" s="10" t="str">
        <f t="shared" si="34"/>
        <v/>
      </c>
      <c r="AY92" s="11"/>
    </row>
    <row r="93" ht="15.75" customHeight="1">
      <c r="D93" s="64"/>
      <c r="E93" s="2"/>
      <c r="L93" s="9"/>
      <c r="M93" s="57" t="s">
        <v>94</v>
      </c>
      <c r="N93" s="10"/>
      <c r="O93" s="35">
        <f t="shared" ref="O93:AX93" si="35">SUM(O85:O92)+O67</f>
        <v>10</v>
      </c>
      <c r="P93" s="35">
        <f t="shared" si="35"/>
        <v>10</v>
      </c>
      <c r="Q93" s="35">
        <f t="shared" si="35"/>
        <v>10</v>
      </c>
      <c r="R93" s="35">
        <f t="shared" si="35"/>
        <v>10</v>
      </c>
      <c r="S93" s="35">
        <f t="shared" si="35"/>
        <v>10</v>
      </c>
      <c r="T93" s="35">
        <f t="shared" si="35"/>
        <v>10</v>
      </c>
      <c r="U93" s="35">
        <f t="shared" si="35"/>
        <v>3615</v>
      </c>
      <c r="V93" s="35">
        <f t="shared" si="35"/>
        <v>3615</v>
      </c>
      <c r="W93" s="35">
        <f t="shared" si="35"/>
        <v>4615</v>
      </c>
      <c r="X93" s="35">
        <f t="shared" si="35"/>
        <v>5615</v>
      </c>
      <c r="Y93" s="35">
        <f t="shared" si="35"/>
        <v>5615</v>
      </c>
      <c r="Z93" s="35">
        <f t="shared" si="35"/>
        <v>15935</v>
      </c>
      <c r="AA93" s="35">
        <f t="shared" si="35"/>
        <v>15935</v>
      </c>
      <c r="AB93" s="35">
        <f t="shared" si="35"/>
        <v>15935</v>
      </c>
      <c r="AC93" s="35">
        <f t="shared" si="35"/>
        <v>15935</v>
      </c>
      <c r="AD93" s="35">
        <f t="shared" si="35"/>
        <v>15935</v>
      </c>
      <c r="AE93" s="35">
        <f t="shared" si="35"/>
        <v>15935</v>
      </c>
      <c r="AF93" s="35">
        <f t="shared" si="35"/>
        <v>22720</v>
      </c>
      <c r="AG93" s="35">
        <f t="shared" si="35"/>
        <v>22720</v>
      </c>
      <c r="AH93" s="35">
        <f t="shared" si="35"/>
        <v>22720</v>
      </c>
      <c r="AI93" s="35">
        <f t="shared" si="35"/>
        <v>24720</v>
      </c>
      <c r="AJ93" s="35">
        <f t="shared" si="35"/>
        <v>24720</v>
      </c>
      <c r="AK93" s="35">
        <f t="shared" si="35"/>
        <v>24720</v>
      </c>
      <c r="AL93" s="35">
        <f t="shared" si="35"/>
        <v>24720</v>
      </c>
      <c r="AM93" s="35">
        <f t="shared" si="35"/>
        <v>24720</v>
      </c>
      <c r="AN93" s="35">
        <f t="shared" si="35"/>
        <v>24720</v>
      </c>
      <c r="AO93" s="35">
        <f t="shared" si="35"/>
        <v>24720</v>
      </c>
      <c r="AP93" s="35">
        <f t="shared" si="35"/>
        <v>24720</v>
      </c>
      <c r="AQ93" s="35">
        <f t="shared" si="35"/>
        <v>24720</v>
      </c>
      <c r="AR93" s="35">
        <f t="shared" si="35"/>
        <v>24720</v>
      </c>
      <c r="AS93" s="35">
        <f t="shared" si="35"/>
        <v>24720</v>
      </c>
      <c r="AT93" s="35">
        <f t="shared" si="35"/>
        <v>24720</v>
      </c>
      <c r="AU93" s="35">
        <f t="shared" si="35"/>
        <v>24720</v>
      </c>
      <c r="AV93" s="35">
        <f t="shared" si="35"/>
        <v>24720</v>
      </c>
      <c r="AW93" s="35">
        <f t="shared" si="35"/>
        <v>24720</v>
      </c>
      <c r="AX93" s="35">
        <f t="shared" si="35"/>
        <v>24720</v>
      </c>
      <c r="AY93" s="11"/>
    </row>
    <row r="94" ht="15.75" customHeight="1">
      <c r="E94" s="2"/>
      <c r="L94" s="9"/>
      <c r="M94" s="57" t="s">
        <v>95</v>
      </c>
      <c r="N94" s="35"/>
      <c r="O94" s="35">
        <f t="shared" ref="O94:AX94" si="36">O81+O93</f>
        <v>10</v>
      </c>
      <c r="P94" s="35">
        <f t="shared" si="36"/>
        <v>10</v>
      </c>
      <c r="Q94" s="35">
        <f t="shared" si="36"/>
        <v>10</v>
      </c>
      <c r="R94" s="35">
        <f t="shared" si="36"/>
        <v>10</v>
      </c>
      <c r="S94" s="35">
        <f t="shared" si="36"/>
        <v>10</v>
      </c>
      <c r="T94" s="35">
        <f t="shared" si="36"/>
        <v>10</v>
      </c>
      <c r="U94" s="35">
        <f t="shared" si="36"/>
        <v>3615</v>
      </c>
      <c r="V94" s="35">
        <f t="shared" si="36"/>
        <v>3615</v>
      </c>
      <c r="W94" s="35">
        <f t="shared" si="36"/>
        <v>10615</v>
      </c>
      <c r="X94" s="35">
        <f t="shared" si="36"/>
        <v>17615</v>
      </c>
      <c r="Y94" s="35">
        <f t="shared" si="36"/>
        <v>17615</v>
      </c>
      <c r="Z94" s="35">
        <f t="shared" si="36"/>
        <v>27935</v>
      </c>
      <c r="AA94" s="35">
        <f t="shared" si="36"/>
        <v>27935</v>
      </c>
      <c r="AB94" s="35">
        <f t="shared" si="36"/>
        <v>27935</v>
      </c>
      <c r="AC94" s="35">
        <f t="shared" si="36"/>
        <v>27935</v>
      </c>
      <c r="AD94" s="35">
        <f t="shared" si="36"/>
        <v>27935</v>
      </c>
      <c r="AE94" s="35">
        <f t="shared" si="36"/>
        <v>27935</v>
      </c>
      <c r="AF94" s="35">
        <f t="shared" si="36"/>
        <v>37720</v>
      </c>
      <c r="AG94" s="35">
        <f t="shared" si="36"/>
        <v>37720</v>
      </c>
      <c r="AH94" s="35">
        <f t="shared" si="36"/>
        <v>37720</v>
      </c>
      <c r="AI94" s="35">
        <f t="shared" si="36"/>
        <v>51720</v>
      </c>
      <c r="AJ94" s="35">
        <f t="shared" si="36"/>
        <v>51720</v>
      </c>
      <c r="AK94" s="35">
        <f t="shared" si="36"/>
        <v>51720</v>
      </c>
      <c r="AL94" s="35">
        <f t="shared" si="36"/>
        <v>51720</v>
      </c>
      <c r="AM94" s="35">
        <f t="shared" si="36"/>
        <v>51720</v>
      </c>
      <c r="AN94" s="35">
        <f t="shared" si="36"/>
        <v>51720</v>
      </c>
      <c r="AO94" s="35">
        <f t="shared" si="36"/>
        <v>51720</v>
      </c>
      <c r="AP94" s="35">
        <f t="shared" si="36"/>
        <v>51720</v>
      </c>
      <c r="AQ94" s="35">
        <f t="shared" si="36"/>
        <v>51720</v>
      </c>
      <c r="AR94" s="35">
        <f t="shared" si="36"/>
        <v>51720</v>
      </c>
      <c r="AS94" s="35">
        <f t="shared" si="36"/>
        <v>51720</v>
      </c>
      <c r="AT94" s="35">
        <f t="shared" si="36"/>
        <v>51720</v>
      </c>
      <c r="AU94" s="35">
        <f t="shared" si="36"/>
        <v>51720</v>
      </c>
      <c r="AV94" s="35">
        <f t="shared" si="36"/>
        <v>51720</v>
      </c>
      <c r="AW94" s="35">
        <f t="shared" si="36"/>
        <v>51720</v>
      </c>
      <c r="AX94" s="35">
        <f t="shared" si="36"/>
        <v>51720</v>
      </c>
      <c r="AY94" s="11"/>
    </row>
    <row r="95" ht="15.75" customHeight="1">
      <c r="E95" s="2"/>
      <c r="L95" s="9"/>
      <c r="M95" s="57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11"/>
    </row>
    <row r="96" ht="15.75" customHeight="1">
      <c r="E96" s="2"/>
      <c r="L96" s="9"/>
      <c r="M96" s="2" t="s">
        <v>96</v>
      </c>
      <c r="N96" s="10"/>
      <c r="O96" s="10">
        <f t="shared" ref="O96:AX96" si="37">MAX(CEILING(O$84/5,1)-CEILING(MAX($N$84:N$84)/5,1),0)*$F$35</f>
        <v>0</v>
      </c>
      <c r="P96" s="10">
        <f t="shared" si="37"/>
        <v>0</v>
      </c>
      <c r="Q96" s="10">
        <f t="shared" si="37"/>
        <v>0</v>
      </c>
      <c r="R96" s="10">
        <f t="shared" si="37"/>
        <v>0</v>
      </c>
      <c r="S96" s="10">
        <f t="shared" si="37"/>
        <v>0</v>
      </c>
      <c r="T96" s="10">
        <f t="shared" si="37"/>
        <v>0</v>
      </c>
      <c r="U96" s="10">
        <f t="shared" si="37"/>
        <v>1500</v>
      </c>
      <c r="V96" s="10">
        <f t="shared" si="37"/>
        <v>0</v>
      </c>
      <c r="W96" s="10">
        <f t="shared" si="37"/>
        <v>0</v>
      </c>
      <c r="X96" s="10">
        <f t="shared" si="37"/>
        <v>0</v>
      </c>
      <c r="Y96" s="10">
        <f t="shared" si="37"/>
        <v>0</v>
      </c>
      <c r="Z96" s="10">
        <f t="shared" si="37"/>
        <v>0</v>
      </c>
      <c r="AA96" s="10">
        <f t="shared" si="37"/>
        <v>0</v>
      </c>
      <c r="AB96" s="10">
        <f t="shared" si="37"/>
        <v>0</v>
      </c>
      <c r="AC96" s="10">
        <f t="shared" si="37"/>
        <v>0</v>
      </c>
      <c r="AD96" s="10">
        <f t="shared" si="37"/>
        <v>0</v>
      </c>
      <c r="AE96" s="10">
        <f t="shared" si="37"/>
        <v>0</v>
      </c>
      <c r="AF96" s="10">
        <f t="shared" si="37"/>
        <v>1500</v>
      </c>
      <c r="AG96" s="10">
        <f t="shared" si="37"/>
        <v>0</v>
      </c>
      <c r="AH96" s="10">
        <f t="shared" si="37"/>
        <v>0</v>
      </c>
      <c r="AI96" s="10">
        <f t="shared" si="37"/>
        <v>0</v>
      </c>
      <c r="AJ96" s="10">
        <f t="shared" si="37"/>
        <v>0</v>
      </c>
      <c r="AK96" s="10">
        <f t="shared" si="37"/>
        <v>0</v>
      </c>
      <c r="AL96" s="10">
        <f t="shared" si="37"/>
        <v>0</v>
      </c>
      <c r="AM96" s="10">
        <f t="shared" si="37"/>
        <v>0</v>
      </c>
      <c r="AN96" s="10">
        <f t="shared" si="37"/>
        <v>0</v>
      </c>
      <c r="AO96" s="10">
        <f t="shared" si="37"/>
        <v>0</v>
      </c>
      <c r="AP96" s="10">
        <f t="shared" si="37"/>
        <v>0</v>
      </c>
      <c r="AQ96" s="10">
        <f t="shared" si="37"/>
        <v>0</v>
      </c>
      <c r="AR96" s="10">
        <f t="shared" si="37"/>
        <v>0</v>
      </c>
      <c r="AS96" s="10">
        <f t="shared" si="37"/>
        <v>0</v>
      </c>
      <c r="AT96" s="10">
        <f t="shared" si="37"/>
        <v>0</v>
      </c>
      <c r="AU96" s="10">
        <f t="shared" si="37"/>
        <v>0</v>
      </c>
      <c r="AV96" s="10">
        <f t="shared" si="37"/>
        <v>0</v>
      </c>
      <c r="AW96" s="10">
        <f t="shared" si="37"/>
        <v>0</v>
      </c>
      <c r="AX96" s="10">
        <f t="shared" si="37"/>
        <v>0</v>
      </c>
      <c r="AY96" s="11"/>
    </row>
    <row r="97" ht="15.75" customHeight="1">
      <c r="E97" s="2"/>
      <c r="L97" s="9"/>
      <c r="M97" s="2" t="s">
        <v>97</v>
      </c>
      <c r="N97" s="10"/>
      <c r="O97" s="10">
        <f t="shared" ref="O97:AX97" si="38">MAX(CEILING(O$84/10,1)-CEILING(MAX($N$84:N$84)/10,1),0)*$F$36</f>
        <v>0</v>
      </c>
      <c r="P97" s="10">
        <f t="shared" si="38"/>
        <v>0</v>
      </c>
      <c r="Q97" s="10">
        <f t="shared" si="38"/>
        <v>0</v>
      </c>
      <c r="R97" s="10">
        <f t="shared" si="38"/>
        <v>0</v>
      </c>
      <c r="S97" s="10">
        <f t="shared" si="38"/>
        <v>0</v>
      </c>
      <c r="T97" s="10">
        <f t="shared" si="38"/>
        <v>0</v>
      </c>
      <c r="U97" s="10">
        <f t="shared" si="38"/>
        <v>2500</v>
      </c>
      <c r="V97" s="10">
        <f t="shared" si="38"/>
        <v>0</v>
      </c>
      <c r="W97" s="10">
        <f t="shared" si="38"/>
        <v>0</v>
      </c>
      <c r="X97" s="10">
        <f t="shared" si="38"/>
        <v>0</v>
      </c>
      <c r="Y97" s="10">
        <f t="shared" si="38"/>
        <v>0</v>
      </c>
      <c r="Z97" s="10">
        <f t="shared" si="38"/>
        <v>0</v>
      </c>
      <c r="AA97" s="10">
        <f t="shared" si="38"/>
        <v>0</v>
      </c>
      <c r="AB97" s="10">
        <f t="shared" si="38"/>
        <v>0</v>
      </c>
      <c r="AC97" s="10">
        <f t="shared" si="38"/>
        <v>0</v>
      </c>
      <c r="AD97" s="10">
        <f t="shared" si="38"/>
        <v>0</v>
      </c>
      <c r="AE97" s="10">
        <f t="shared" si="38"/>
        <v>0</v>
      </c>
      <c r="AF97" s="10">
        <f t="shared" si="38"/>
        <v>0</v>
      </c>
      <c r="AG97" s="10">
        <f t="shared" si="38"/>
        <v>0</v>
      </c>
      <c r="AH97" s="10">
        <f t="shared" si="38"/>
        <v>0</v>
      </c>
      <c r="AI97" s="10">
        <f t="shared" si="38"/>
        <v>0</v>
      </c>
      <c r="AJ97" s="10">
        <f t="shared" si="38"/>
        <v>0</v>
      </c>
      <c r="AK97" s="10">
        <f t="shared" si="38"/>
        <v>0</v>
      </c>
      <c r="AL97" s="10">
        <f t="shared" si="38"/>
        <v>0</v>
      </c>
      <c r="AM97" s="10">
        <f t="shared" si="38"/>
        <v>0</v>
      </c>
      <c r="AN97" s="10">
        <f t="shared" si="38"/>
        <v>0</v>
      </c>
      <c r="AO97" s="10">
        <f t="shared" si="38"/>
        <v>0</v>
      </c>
      <c r="AP97" s="10">
        <f t="shared" si="38"/>
        <v>0</v>
      </c>
      <c r="AQ97" s="10">
        <f t="shared" si="38"/>
        <v>0</v>
      </c>
      <c r="AR97" s="10">
        <f t="shared" si="38"/>
        <v>0</v>
      </c>
      <c r="AS97" s="10">
        <f t="shared" si="38"/>
        <v>0</v>
      </c>
      <c r="AT97" s="10">
        <f t="shared" si="38"/>
        <v>0</v>
      </c>
      <c r="AU97" s="10">
        <f t="shared" si="38"/>
        <v>0</v>
      </c>
      <c r="AV97" s="10">
        <f t="shared" si="38"/>
        <v>0</v>
      </c>
      <c r="AW97" s="10">
        <f t="shared" si="38"/>
        <v>0</v>
      </c>
      <c r="AX97" s="10">
        <f t="shared" si="38"/>
        <v>0</v>
      </c>
      <c r="AY97" s="11"/>
    </row>
    <row r="98" ht="15.75" customHeight="1">
      <c r="E98" s="2"/>
      <c r="L98" s="9"/>
      <c r="M98" s="2" t="s">
        <v>98</v>
      </c>
      <c r="N98" s="10"/>
      <c r="O98" s="10">
        <f t="shared" ref="O98:AX98" si="39">MAX(O$84-MAX($N$84:N$84),0)*$F$37</f>
        <v>0</v>
      </c>
      <c r="P98" s="10">
        <f t="shared" si="39"/>
        <v>0</v>
      </c>
      <c r="Q98" s="10">
        <f t="shared" si="39"/>
        <v>0</v>
      </c>
      <c r="R98" s="10">
        <f t="shared" si="39"/>
        <v>0</v>
      </c>
      <c r="S98" s="10">
        <f t="shared" si="39"/>
        <v>0</v>
      </c>
      <c r="T98" s="10">
        <f t="shared" si="39"/>
        <v>0</v>
      </c>
      <c r="U98" s="10">
        <f t="shared" si="39"/>
        <v>1000</v>
      </c>
      <c r="V98" s="10">
        <f t="shared" si="39"/>
        <v>0</v>
      </c>
      <c r="W98" s="10">
        <f t="shared" si="39"/>
        <v>0</v>
      </c>
      <c r="X98" s="10">
        <f t="shared" si="39"/>
        <v>0</v>
      </c>
      <c r="Y98" s="10">
        <f t="shared" si="39"/>
        <v>0</v>
      </c>
      <c r="Z98" s="10">
        <f t="shared" si="39"/>
        <v>4000</v>
      </c>
      <c r="AA98" s="10">
        <f t="shared" si="39"/>
        <v>0</v>
      </c>
      <c r="AB98" s="10">
        <f t="shared" si="39"/>
        <v>0</v>
      </c>
      <c r="AC98" s="10">
        <f t="shared" si="39"/>
        <v>0</v>
      </c>
      <c r="AD98" s="10">
        <f t="shared" si="39"/>
        <v>0</v>
      </c>
      <c r="AE98" s="10">
        <f t="shared" si="39"/>
        <v>0</v>
      </c>
      <c r="AF98" s="10">
        <f t="shared" si="39"/>
        <v>2000</v>
      </c>
      <c r="AG98" s="10">
        <f t="shared" si="39"/>
        <v>0</v>
      </c>
      <c r="AH98" s="10">
        <f t="shared" si="39"/>
        <v>0</v>
      </c>
      <c r="AI98" s="10">
        <f t="shared" si="39"/>
        <v>0</v>
      </c>
      <c r="AJ98" s="10">
        <f t="shared" si="39"/>
        <v>0</v>
      </c>
      <c r="AK98" s="10">
        <f t="shared" si="39"/>
        <v>0</v>
      </c>
      <c r="AL98" s="10">
        <f t="shared" si="39"/>
        <v>0</v>
      </c>
      <c r="AM98" s="10">
        <f t="shared" si="39"/>
        <v>0</v>
      </c>
      <c r="AN98" s="10">
        <f t="shared" si="39"/>
        <v>0</v>
      </c>
      <c r="AO98" s="10">
        <f t="shared" si="39"/>
        <v>0</v>
      </c>
      <c r="AP98" s="10">
        <f t="shared" si="39"/>
        <v>0</v>
      </c>
      <c r="AQ98" s="10">
        <f t="shared" si="39"/>
        <v>0</v>
      </c>
      <c r="AR98" s="10">
        <f t="shared" si="39"/>
        <v>0</v>
      </c>
      <c r="AS98" s="10">
        <f t="shared" si="39"/>
        <v>0</v>
      </c>
      <c r="AT98" s="10">
        <f t="shared" si="39"/>
        <v>0</v>
      </c>
      <c r="AU98" s="10">
        <f t="shared" si="39"/>
        <v>0</v>
      </c>
      <c r="AV98" s="10">
        <f t="shared" si="39"/>
        <v>0</v>
      </c>
      <c r="AW98" s="10">
        <f t="shared" si="39"/>
        <v>0</v>
      </c>
      <c r="AX98" s="10">
        <f t="shared" si="39"/>
        <v>0</v>
      </c>
      <c r="AY98" s="11"/>
    </row>
    <row r="99" ht="15.75" customHeight="1">
      <c r="E99" s="2"/>
      <c r="L99" s="9"/>
      <c r="M99" s="2" t="s">
        <v>99</v>
      </c>
      <c r="N99" s="10"/>
      <c r="O99" s="10">
        <f t="shared" ref="O99:AX99" si="40">MAX(O$84-MAX($N$84:N$84),0)*$F$38</f>
        <v>0</v>
      </c>
      <c r="P99" s="10">
        <f t="shared" si="40"/>
        <v>0</v>
      </c>
      <c r="Q99" s="10">
        <f t="shared" si="40"/>
        <v>0</v>
      </c>
      <c r="R99" s="10">
        <f t="shared" si="40"/>
        <v>0</v>
      </c>
      <c r="S99" s="10">
        <f t="shared" si="40"/>
        <v>0</v>
      </c>
      <c r="T99" s="10">
        <f t="shared" si="40"/>
        <v>0</v>
      </c>
      <c r="U99" s="10">
        <f t="shared" si="40"/>
        <v>0</v>
      </c>
      <c r="V99" s="10">
        <f t="shared" si="40"/>
        <v>0</v>
      </c>
      <c r="W99" s="10">
        <f t="shared" si="40"/>
        <v>0</v>
      </c>
      <c r="X99" s="10">
        <f t="shared" si="40"/>
        <v>0</v>
      </c>
      <c r="Y99" s="10">
        <f t="shared" si="40"/>
        <v>0</v>
      </c>
      <c r="Z99" s="10">
        <f t="shared" si="40"/>
        <v>0</v>
      </c>
      <c r="AA99" s="10">
        <f t="shared" si="40"/>
        <v>0</v>
      </c>
      <c r="AB99" s="10">
        <f t="shared" si="40"/>
        <v>0</v>
      </c>
      <c r="AC99" s="10">
        <f t="shared" si="40"/>
        <v>0</v>
      </c>
      <c r="AD99" s="10">
        <f t="shared" si="40"/>
        <v>0</v>
      </c>
      <c r="AE99" s="10">
        <f t="shared" si="40"/>
        <v>0</v>
      </c>
      <c r="AF99" s="10">
        <f t="shared" si="40"/>
        <v>0</v>
      </c>
      <c r="AG99" s="10">
        <f t="shared" si="40"/>
        <v>0</v>
      </c>
      <c r="AH99" s="10">
        <f t="shared" si="40"/>
        <v>0</v>
      </c>
      <c r="AI99" s="10">
        <f t="shared" si="40"/>
        <v>0</v>
      </c>
      <c r="AJ99" s="10">
        <f t="shared" si="40"/>
        <v>0</v>
      </c>
      <c r="AK99" s="10">
        <f t="shared" si="40"/>
        <v>0</v>
      </c>
      <c r="AL99" s="10">
        <f t="shared" si="40"/>
        <v>0</v>
      </c>
      <c r="AM99" s="10">
        <f t="shared" si="40"/>
        <v>0</v>
      </c>
      <c r="AN99" s="10">
        <f t="shared" si="40"/>
        <v>0</v>
      </c>
      <c r="AO99" s="10">
        <f t="shared" si="40"/>
        <v>0</v>
      </c>
      <c r="AP99" s="10">
        <f t="shared" si="40"/>
        <v>0</v>
      </c>
      <c r="AQ99" s="10">
        <f t="shared" si="40"/>
        <v>0</v>
      </c>
      <c r="AR99" s="10">
        <f t="shared" si="40"/>
        <v>0</v>
      </c>
      <c r="AS99" s="10">
        <f t="shared" si="40"/>
        <v>0</v>
      </c>
      <c r="AT99" s="10">
        <f t="shared" si="40"/>
        <v>0</v>
      </c>
      <c r="AU99" s="10">
        <f t="shared" si="40"/>
        <v>0</v>
      </c>
      <c r="AV99" s="10">
        <f t="shared" si="40"/>
        <v>0</v>
      </c>
      <c r="AW99" s="10">
        <f t="shared" si="40"/>
        <v>0</v>
      </c>
      <c r="AX99" s="10">
        <f t="shared" si="40"/>
        <v>0</v>
      </c>
      <c r="AY99" s="11"/>
    </row>
    <row r="100" ht="15.75" customHeight="1">
      <c r="E100" s="2"/>
      <c r="L100" s="9"/>
      <c r="M100" s="2" t="s">
        <v>100</v>
      </c>
      <c r="N100" s="10"/>
      <c r="O100" s="10" t="str">
        <f t="shared" ref="O100:AX100" si="41">VLOOKUP(O$65-1,$C$52:$I$64,6,TRUE)</f>
        <v/>
      </c>
      <c r="P100" s="10" t="str">
        <f t="shared" si="41"/>
        <v/>
      </c>
      <c r="Q100" s="10" t="str">
        <f t="shared" si="41"/>
        <v/>
      </c>
      <c r="R100" s="10" t="str">
        <f t="shared" si="41"/>
        <v/>
      </c>
      <c r="S100" s="10" t="str">
        <f t="shared" si="41"/>
        <v/>
      </c>
      <c r="T100" s="10" t="str">
        <f t="shared" si="41"/>
        <v/>
      </c>
      <c r="U100" s="10" t="str">
        <f t="shared" si="41"/>
        <v/>
      </c>
      <c r="V100" s="10" t="str">
        <f t="shared" si="41"/>
        <v/>
      </c>
      <c r="W100" s="10" t="str">
        <f t="shared" si="41"/>
        <v/>
      </c>
      <c r="X100" s="10" t="str">
        <f t="shared" si="41"/>
        <v/>
      </c>
      <c r="Y100" s="10" t="str">
        <f t="shared" si="41"/>
        <v/>
      </c>
      <c r="Z100" s="10" t="str">
        <f t="shared" si="41"/>
        <v/>
      </c>
      <c r="AA100" s="10" t="str">
        <f t="shared" si="41"/>
        <v/>
      </c>
      <c r="AB100" s="10" t="str">
        <f t="shared" si="41"/>
        <v/>
      </c>
      <c r="AC100" s="10" t="str">
        <f t="shared" si="41"/>
        <v/>
      </c>
      <c r="AD100" s="10" t="str">
        <f t="shared" si="41"/>
        <v/>
      </c>
      <c r="AE100" s="10" t="str">
        <f t="shared" si="41"/>
        <v/>
      </c>
      <c r="AF100" s="10" t="str">
        <f t="shared" si="41"/>
        <v/>
      </c>
      <c r="AG100" s="10" t="str">
        <f t="shared" si="41"/>
        <v/>
      </c>
      <c r="AH100" s="10" t="str">
        <f t="shared" si="41"/>
        <v/>
      </c>
      <c r="AI100" s="10" t="str">
        <f t="shared" si="41"/>
        <v/>
      </c>
      <c r="AJ100" s="10" t="str">
        <f t="shared" si="41"/>
        <v/>
      </c>
      <c r="AK100" s="10" t="str">
        <f t="shared" si="41"/>
        <v/>
      </c>
      <c r="AL100" s="10" t="str">
        <f t="shared" si="41"/>
        <v/>
      </c>
      <c r="AM100" s="10" t="str">
        <f t="shared" si="41"/>
        <v/>
      </c>
      <c r="AN100" s="10" t="str">
        <f t="shared" si="41"/>
        <v/>
      </c>
      <c r="AO100" s="10" t="str">
        <f t="shared" si="41"/>
        <v/>
      </c>
      <c r="AP100" s="10" t="str">
        <f t="shared" si="41"/>
        <v/>
      </c>
      <c r="AQ100" s="10" t="str">
        <f t="shared" si="41"/>
        <v/>
      </c>
      <c r="AR100" s="10" t="str">
        <f t="shared" si="41"/>
        <v/>
      </c>
      <c r="AS100" s="10" t="str">
        <f t="shared" si="41"/>
        <v/>
      </c>
      <c r="AT100" s="10" t="str">
        <f t="shared" si="41"/>
        <v/>
      </c>
      <c r="AU100" s="10" t="str">
        <f t="shared" si="41"/>
        <v/>
      </c>
      <c r="AV100" s="10" t="str">
        <f t="shared" si="41"/>
        <v/>
      </c>
      <c r="AW100" s="10" t="str">
        <f t="shared" si="41"/>
        <v/>
      </c>
      <c r="AX100" s="10" t="str">
        <f t="shared" si="41"/>
        <v/>
      </c>
      <c r="AY100" s="11"/>
    </row>
    <row r="101" ht="15.75" customHeight="1">
      <c r="E101" s="2"/>
      <c r="L101" s="9"/>
      <c r="M101" s="57" t="s">
        <v>35</v>
      </c>
      <c r="N101" s="10"/>
      <c r="O101" s="35">
        <f t="shared" ref="O101:AX101" si="42">SUM(O96:O100)</f>
        <v>0</v>
      </c>
      <c r="P101" s="35">
        <f t="shared" si="42"/>
        <v>0</v>
      </c>
      <c r="Q101" s="35">
        <f t="shared" si="42"/>
        <v>0</v>
      </c>
      <c r="R101" s="35">
        <f t="shared" si="42"/>
        <v>0</v>
      </c>
      <c r="S101" s="35">
        <f t="shared" si="42"/>
        <v>0</v>
      </c>
      <c r="T101" s="35">
        <f t="shared" si="42"/>
        <v>0</v>
      </c>
      <c r="U101" s="35">
        <f t="shared" si="42"/>
        <v>5000</v>
      </c>
      <c r="V101" s="35">
        <f t="shared" si="42"/>
        <v>0</v>
      </c>
      <c r="W101" s="35">
        <f t="shared" si="42"/>
        <v>0</v>
      </c>
      <c r="X101" s="35">
        <f t="shared" si="42"/>
        <v>0</v>
      </c>
      <c r="Y101" s="35">
        <f t="shared" si="42"/>
        <v>0</v>
      </c>
      <c r="Z101" s="35">
        <f t="shared" si="42"/>
        <v>4000</v>
      </c>
      <c r="AA101" s="35">
        <f t="shared" si="42"/>
        <v>0</v>
      </c>
      <c r="AB101" s="35">
        <f t="shared" si="42"/>
        <v>0</v>
      </c>
      <c r="AC101" s="35">
        <f t="shared" si="42"/>
        <v>0</v>
      </c>
      <c r="AD101" s="35">
        <f t="shared" si="42"/>
        <v>0</v>
      </c>
      <c r="AE101" s="35">
        <f t="shared" si="42"/>
        <v>0</v>
      </c>
      <c r="AF101" s="35">
        <f t="shared" si="42"/>
        <v>3500</v>
      </c>
      <c r="AG101" s="35">
        <f t="shared" si="42"/>
        <v>0</v>
      </c>
      <c r="AH101" s="35">
        <f t="shared" si="42"/>
        <v>0</v>
      </c>
      <c r="AI101" s="35">
        <f t="shared" si="42"/>
        <v>0</v>
      </c>
      <c r="AJ101" s="35">
        <f t="shared" si="42"/>
        <v>0</v>
      </c>
      <c r="AK101" s="35">
        <f t="shared" si="42"/>
        <v>0</v>
      </c>
      <c r="AL101" s="35">
        <f t="shared" si="42"/>
        <v>0</v>
      </c>
      <c r="AM101" s="35">
        <f t="shared" si="42"/>
        <v>0</v>
      </c>
      <c r="AN101" s="35">
        <f t="shared" si="42"/>
        <v>0</v>
      </c>
      <c r="AO101" s="35">
        <f t="shared" si="42"/>
        <v>0</v>
      </c>
      <c r="AP101" s="35">
        <f t="shared" si="42"/>
        <v>0</v>
      </c>
      <c r="AQ101" s="35">
        <f t="shared" si="42"/>
        <v>0</v>
      </c>
      <c r="AR101" s="35">
        <f t="shared" si="42"/>
        <v>0</v>
      </c>
      <c r="AS101" s="35">
        <f t="shared" si="42"/>
        <v>0</v>
      </c>
      <c r="AT101" s="35">
        <f t="shared" si="42"/>
        <v>0</v>
      </c>
      <c r="AU101" s="35">
        <f t="shared" si="42"/>
        <v>0</v>
      </c>
      <c r="AV101" s="35">
        <f t="shared" si="42"/>
        <v>0</v>
      </c>
      <c r="AW101" s="35">
        <f t="shared" si="42"/>
        <v>0</v>
      </c>
      <c r="AX101" s="35">
        <f t="shared" si="42"/>
        <v>0</v>
      </c>
      <c r="AY101" s="11"/>
    </row>
    <row r="102" ht="15.75" customHeight="1">
      <c r="E102" s="2"/>
      <c r="L102" s="9"/>
      <c r="M102" s="57"/>
      <c r="N102" s="10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11"/>
    </row>
    <row r="103" ht="15.75" customHeight="1">
      <c r="E103" s="2"/>
      <c r="L103" s="9"/>
      <c r="M103" s="2" t="s">
        <v>74</v>
      </c>
      <c r="N103" s="10"/>
      <c r="O103" s="10">
        <f t="shared" ref="O103:AX103" si="43">IFNA(VLOOKUP(O$65-1,$C$52:$I$64,7,FALSE),0)</f>
        <v>60000</v>
      </c>
      <c r="P103" s="10">
        <f t="shared" si="43"/>
        <v>0</v>
      </c>
      <c r="Q103" s="10">
        <f t="shared" si="43"/>
        <v>0</v>
      </c>
      <c r="R103" s="10" t="str">
        <f t="shared" si="43"/>
        <v/>
      </c>
      <c r="S103" s="10">
        <f t="shared" si="43"/>
        <v>0</v>
      </c>
      <c r="T103" s="10">
        <f t="shared" si="43"/>
        <v>0</v>
      </c>
      <c r="U103" s="10" t="str">
        <f t="shared" si="43"/>
        <v/>
      </c>
      <c r="V103" s="10">
        <f t="shared" si="43"/>
        <v>0</v>
      </c>
      <c r="W103" s="10" t="str">
        <f t="shared" si="43"/>
        <v/>
      </c>
      <c r="X103" s="10" t="str">
        <f t="shared" si="43"/>
        <v/>
      </c>
      <c r="Y103" s="10">
        <f t="shared" si="43"/>
        <v>0</v>
      </c>
      <c r="Z103" s="10" t="str">
        <f t="shared" si="43"/>
        <v/>
      </c>
      <c r="AA103" s="10">
        <f t="shared" si="43"/>
        <v>0</v>
      </c>
      <c r="AB103" s="10">
        <f t="shared" si="43"/>
        <v>0</v>
      </c>
      <c r="AC103" s="10" t="str">
        <f t="shared" si="43"/>
        <v/>
      </c>
      <c r="AD103" s="10">
        <f t="shared" si="43"/>
        <v>0</v>
      </c>
      <c r="AE103" s="10">
        <f t="shared" si="43"/>
        <v>0</v>
      </c>
      <c r="AF103" s="10" t="str">
        <f t="shared" si="43"/>
        <v/>
      </c>
      <c r="AG103" s="10">
        <f t="shared" si="43"/>
        <v>0</v>
      </c>
      <c r="AH103" s="10">
        <f t="shared" si="43"/>
        <v>0</v>
      </c>
      <c r="AI103" s="10" t="str">
        <f t="shared" si="43"/>
        <v/>
      </c>
      <c r="AJ103" s="10">
        <f t="shared" si="43"/>
        <v>0</v>
      </c>
      <c r="AK103" s="10">
        <f t="shared" si="43"/>
        <v>0</v>
      </c>
      <c r="AL103" s="10">
        <f t="shared" si="43"/>
        <v>0</v>
      </c>
      <c r="AM103" s="10">
        <f t="shared" si="43"/>
        <v>0</v>
      </c>
      <c r="AN103" s="10">
        <f t="shared" si="43"/>
        <v>0</v>
      </c>
      <c r="AO103" s="10">
        <f t="shared" si="43"/>
        <v>0</v>
      </c>
      <c r="AP103" s="10">
        <f t="shared" si="43"/>
        <v>0</v>
      </c>
      <c r="AQ103" s="10">
        <f t="shared" si="43"/>
        <v>0</v>
      </c>
      <c r="AR103" s="10">
        <f t="shared" si="43"/>
        <v>0</v>
      </c>
      <c r="AS103" s="10" t="str">
        <f t="shared" si="43"/>
        <v/>
      </c>
      <c r="AT103" s="10">
        <f t="shared" si="43"/>
        <v>0</v>
      </c>
      <c r="AU103" s="10">
        <f t="shared" si="43"/>
        <v>0</v>
      </c>
      <c r="AV103" s="10">
        <f t="shared" si="43"/>
        <v>0</v>
      </c>
      <c r="AW103" s="10">
        <f t="shared" si="43"/>
        <v>0</v>
      </c>
      <c r="AX103" s="10">
        <f t="shared" si="43"/>
        <v>0</v>
      </c>
      <c r="AY103" s="11"/>
    </row>
    <row r="104" ht="15.75" customHeight="1">
      <c r="E104" s="2"/>
      <c r="L104" s="9"/>
      <c r="M104" s="2" t="s">
        <v>101</v>
      </c>
      <c r="N104" s="10"/>
      <c r="O104" s="10">
        <f t="shared" ref="O104:AX104" si="44">N106+O103</f>
        <v>60000</v>
      </c>
      <c r="P104" s="10">
        <f t="shared" si="44"/>
        <v>59990</v>
      </c>
      <c r="Q104" s="10">
        <f t="shared" si="44"/>
        <v>59980</v>
      </c>
      <c r="R104" s="10">
        <f t="shared" si="44"/>
        <v>59970</v>
      </c>
      <c r="S104" s="10">
        <f t="shared" si="44"/>
        <v>59960</v>
      </c>
      <c r="T104" s="10">
        <f t="shared" si="44"/>
        <v>59950</v>
      </c>
      <c r="U104" s="10">
        <f t="shared" si="44"/>
        <v>59940</v>
      </c>
      <c r="V104" s="10">
        <f t="shared" si="44"/>
        <v>51325</v>
      </c>
      <c r="W104" s="10">
        <f t="shared" si="44"/>
        <v>47710</v>
      </c>
      <c r="X104" s="10">
        <f t="shared" si="44"/>
        <v>47295</v>
      </c>
      <c r="Y104" s="10">
        <f t="shared" si="44"/>
        <v>50280</v>
      </c>
      <c r="Z104" s="10">
        <f t="shared" si="44"/>
        <v>53665</v>
      </c>
      <c r="AA104" s="10">
        <f t="shared" si="44"/>
        <v>43830</v>
      </c>
      <c r="AB104" s="10">
        <f t="shared" si="44"/>
        <v>38695</v>
      </c>
      <c r="AC104" s="10">
        <f t="shared" si="44"/>
        <v>33960</v>
      </c>
      <c r="AD104" s="10">
        <f t="shared" si="44"/>
        <v>30325</v>
      </c>
      <c r="AE104" s="10">
        <f t="shared" si="44"/>
        <v>27390</v>
      </c>
      <c r="AF104" s="10">
        <f t="shared" si="44"/>
        <v>24655</v>
      </c>
      <c r="AG104" s="10">
        <f t="shared" si="44"/>
        <v>14835</v>
      </c>
      <c r="AH104" s="10">
        <f t="shared" si="44"/>
        <v>9215</v>
      </c>
      <c r="AI104" s="10">
        <f t="shared" si="44"/>
        <v>3895</v>
      </c>
      <c r="AJ104" s="10">
        <f t="shared" si="44"/>
        <v>6175</v>
      </c>
      <c r="AK104" s="10">
        <f t="shared" si="44"/>
        <v>9455</v>
      </c>
      <c r="AL104" s="10">
        <f t="shared" si="44"/>
        <v>13435</v>
      </c>
      <c r="AM104" s="10">
        <f t="shared" si="44"/>
        <v>20015</v>
      </c>
      <c r="AN104" s="10">
        <f t="shared" si="44"/>
        <v>27495</v>
      </c>
      <c r="AO104" s="10">
        <f t="shared" si="44"/>
        <v>35575</v>
      </c>
      <c r="AP104" s="10">
        <f t="shared" si="44"/>
        <v>45755</v>
      </c>
      <c r="AQ104" s="10">
        <f t="shared" si="44"/>
        <v>56835</v>
      </c>
      <c r="AR104" s="10">
        <f t="shared" si="44"/>
        <v>68415</v>
      </c>
      <c r="AS104" s="10">
        <f t="shared" si="44"/>
        <v>81995</v>
      </c>
      <c r="AT104" s="10">
        <f t="shared" si="44"/>
        <v>96475</v>
      </c>
      <c r="AU104" s="10">
        <f t="shared" si="44"/>
        <v>111355</v>
      </c>
      <c r="AV104" s="10">
        <f t="shared" si="44"/>
        <v>127735</v>
      </c>
      <c r="AW104" s="10">
        <f t="shared" si="44"/>
        <v>144515</v>
      </c>
      <c r="AX104" s="10">
        <f t="shared" si="44"/>
        <v>161595</v>
      </c>
      <c r="AY104" s="11"/>
    </row>
    <row r="105" ht="15.75" customHeight="1">
      <c r="E105" s="2"/>
      <c r="L105" s="9"/>
      <c r="M105" s="2" t="s">
        <v>102</v>
      </c>
      <c r="N105" s="10"/>
      <c r="O105" s="10">
        <f t="shared" ref="O105:AX105" si="45">O77-O81-O93</f>
        <v>-10</v>
      </c>
      <c r="P105" s="10">
        <f t="shared" si="45"/>
        <v>-10</v>
      </c>
      <c r="Q105" s="10">
        <f t="shared" si="45"/>
        <v>-10</v>
      </c>
      <c r="R105" s="10">
        <f t="shared" si="45"/>
        <v>-10</v>
      </c>
      <c r="S105" s="10">
        <f t="shared" si="45"/>
        <v>-10</v>
      </c>
      <c r="T105" s="10">
        <f t="shared" si="45"/>
        <v>-10</v>
      </c>
      <c r="U105" s="10">
        <f t="shared" si="45"/>
        <v>-3615</v>
      </c>
      <c r="V105" s="10">
        <f t="shared" si="45"/>
        <v>-3615</v>
      </c>
      <c r="W105" s="10">
        <f t="shared" si="45"/>
        <v>-415</v>
      </c>
      <c r="X105" s="10">
        <f t="shared" si="45"/>
        <v>2985</v>
      </c>
      <c r="Y105" s="10">
        <f t="shared" si="45"/>
        <v>3385</v>
      </c>
      <c r="Z105" s="10">
        <f t="shared" si="45"/>
        <v>-5835</v>
      </c>
      <c r="AA105" s="10">
        <f t="shared" si="45"/>
        <v>-5135</v>
      </c>
      <c r="AB105" s="10">
        <f t="shared" si="45"/>
        <v>-4735</v>
      </c>
      <c r="AC105" s="10">
        <f t="shared" si="45"/>
        <v>-3635</v>
      </c>
      <c r="AD105" s="10">
        <f t="shared" si="45"/>
        <v>-2935</v>
      </c>
      <c r="AE105" s="10">
        <f t="shared" si="45"/>
        <v>-2735</v>
      </c>
      <c r="AF105" s="10">
        <f t="shared" si="45"/>
        <v>-6320</v>
      </c>
      <c r="AG105" s="10">
        <f t="shared" si="45"/>
        <v>-5620</v>
      </c>
      <c r="AH105" s="10">
        <f t="shared" si="45"/>
        <v>-5320</v>
      </c>
      <c r="AI105" s="10">
        <f t="shared" si="45"/>
        <v>2280</v>
      </c>
      <c r="AJ105" s="10">
        <f t="shared" si="45"/>
        <v>3280</v>
      </c>
      <c r="AK105" s="10">
        <f t="shared" si="45"/>
        <v>3980</v>
      </c>
      <c r="AL105" s="10">
        <f t="shared" si="45"/>
        <v>6580</v>
      </c>
      <c r="AM105" s="10">
        <f t="shared" si="45"/>
        <v>7480</v>
      </c>
      <c r="AN105" s="10">
        <f t="shared" si="45"/>
        <v>8080</v>
      </c>
      <c r="AO105" s="10">
        <f t="shared" si="45"/>
        <v>10180</v>
      </c>
      <c r="AP105" s="10">
        <f t="shared" si="45"/>
        <v>11080</v>
      </c>
      <c r="AQ105" s="10">
        <f t="shared" si="45"/>
        <v>11580</v>
      </c>
      <c r="AR105" s="10">
        <f t="shared" si="45"/>
        <v>13580</v>
      </c>
      <c r="AS105" s="10">
        <f t="shared" si="45"/>
        <v>14480</v>
      </c>
      <c r="AT105" s="10">
        <f t="shared" si="45"/>
        <v>14880</v>
      </c>
      <c r="AU105" s="10">
        <f t="shared" si="45"/>
        <v>16380</v>
      </c>
      <c r="AV105" s="10">
        <f t="shared" si="45"/>
        <v>16780</v>
      </c>
      <c r="AW105" s="10">
        <f t="shared" si="45"/>
        <v>17080</v>
      </c>
      <c r="AX105" s="10">
        <f t="shared" si="45"/>
        <v>18680</v>
      </c>
      <c r="AY105" s="11"/>
    </row>
    <row r="106" ht="15.75" customHeight="1">
      <c r="E106" s="2"/>
      <c r="L106" s="9"/>
      <c r="M106" s="57" t="s">
        <v>103</v>
      </c>
      <c r="N106" s="10" t="str">
        <f>N103</f>
        <v/>
      </c>
      <c r="O106" s="35">
        <f t="shared" ref="O106:AX106" si="46">O$104+O$105-O$101</f>
        <v>59990</v>
      </c>
      <c r="P106" s="35">
        <f t="shared" si="46"/>
        <v>59980</v>
      </c>
      <c r="Q106" s="35">
        <f t="shared" si="46"/>
        <v>59970</v>
      </c>
      <c r="R106" s="35">
        <f t="shared" si="46"/>
        <v>59960</v>
      </c>
      <c r="S106" s="35">
        <f t="shared" si="46"/>
        <v>59950</v>
      </c>
      <c r="T106" s="35">
        <f t="shared" si="46"/>
        <v>59940</v>
      </c>
      <c r="U106" s="35">
        <f t="shared" si="46"/>
        <v>51325</v>
      </c>
      <c r="V106" s="35">
        <f t="shared" si="46"/>
        <v>47710</v>
      </c>
      <c r="W106" s="35">
        <f t="shared" si="46"/>
        <v>47295</v>
      </c>
      <c r="X106" s="35">
        <f t="shared" si="46"/>
        <v>50280</v>
      </c>
      <c r="Y106" s="35">
        <f t="shared" si="46"/>
        <v>53665</v>
      </c>
      <c r="Z106" s="35">
        <f t="shared" si="46"/>
        <v>43830</v>
      </c>
      <c r="AA106" s="35">
        <f t="shared" si="46"/>
        <v>38695</v>
      </c>
      <c r="AB106" s="35">
        <f t="shared" si="46"/>
        <v>33960</v>
      </c>
      <c r="AC106" s="35">
        <f t="shared" si="46"/>
        <v>30325</v>
      </c>
      <c r="AD106" s="35">
        <f t="shared" si="46"/>
        <v>27390</v>
      </c>
      <c r="AE106" s="35">
        <f t="shared" si="46"/>
        <v>24655</v>
      </c>
      <c r="AF106" s="35">
        <f t="shared" si="46"/>
        <v>14835</v>
      </c>
      <c r="AG106" s="35">
        <f t="shared" si="46"/>
        <v>9215</v>
      </c>
      <c r="AH106" s="35">
        <f t="shared" si="46"/>
        <v>3895</v>
      </c>
      <c r="AI106" s="35">
        <f t="shared" si="46"/>
        <v>6175</v>
      </c>
      <c r="AJ106" s="35">
        <f t="shared" si="46"/>
        <v>9455</v>
      </c>
      <c r="AK106" s="35">
        <f t="shared" si="46"/>
        <v>13435</v>
      </c>
      <c r="AL106" s="35">
        <f t="shared" si="46"/>
        <v>20015</v>
      </c>
      <c r="AM106" s="35">
        <f t="shared" si="46"/>
        <v>27495</v>
      </c>
      <c r="AN106" s="35">
        <f t="shared" si="46"/>
        <v>35575</v>
      </c>
      <c r="AO106" s="35">
        <f t="shared" si="46"/>
        <v>45755</v>
      </c>
      <c r="AP106" s="35">
        <f t="shared" si="46"/>
        <v>56835</v>
      </c>
      <c r="AQ106" s="35">
        <f t="shared" si="46"/>
        <v>68415</v>
      </c>
      <c r="AR106" s="35">
        <f t="shared" si="46"/>
        <v>81995</v>
      </c>
      <c r="AS106" s="35">
        <f t="shared" si="46"/>
        <v>96475</v>
      </c>
      <c r="AT106" s="35">
        <f t="shared" si="46"/>
        <v>111355</v>
      </c>
      <c r="AU106" s="35">
        <f t="shared" si="46"/>
        <v>127735</v>
      </c>
      <c r="AV106" s="35">
        <f t="shared" si="46"/>
        <v>144515</v>
      </c>
      <c r="AW106" s="35">
        <f t="shared" si="46"/>
        <v>161595</v>
      </c>
      <c r="AX106" s="35">
        <f t="shared" si="46"/>
        <v>180275</v>
      </c>
      <c r="AY106" s="11"/>
    </row>
    <row r="107" ht="15.75" customHeight="1">
      <c r="E107" s="2"/>
      <c r="L107" s="9"/>
      <c r="M107" s="57" t="s">
        <v>104</v>
      </c>
      <c r="N107" s="10"/>
      <c r="O107" s="35">
        <f t="shared" ref="O107:AX107" si="47">MAX(N107+O$103-O$94-O$101,0)</f>
        <v>59990</v>
      </c>
      <c r="P107" s="35">
        <f t="shared" si="47"/>
        <v>59980</v>
      </c>
      <c r="Q107" s="35">
        <f t="shared" si="47"/>
        <v>59970</v>
      </c>
      <c r="R107" s="35">
        <f t="shared" si="47"/>
        <v>59960</v>
      </c>
      <c r="S107" s="35">
        <f t="shared" si="47"/>
        <v>59950</v>
      </c>
      <c r="T107" s="35">
        <f t="shared" si="47"/>
        <v>59940</v>
      </c>
      <c r="U107" s="35">
        <f t="shared" si="47"/>
        <v>51325</v>
      </c>
      <c r="V107" s="35">
        <f t="shared" si="47"/>
        <v>47710</v>
      </c>
      <c r="W107" s="35">
        <f t="shared" si="47"/>
        <v>37095</v>
      </c>
      <c r="X107" s="35">
        <f t="shared" si="47"/>
        <v>19480</v>
      </c>
      <c r="Y107" s="35">
        <f t="shared" si="47"/>
        <v>1865</v>
      </c>
      <c r="Z107" s="35">
        <f t="shared" si="47"/>
        <v>0</v>
      </c>
      <c r="AA107" s="35">
        <f t="shared" si="47"/>
        <v>0</v>
      </c>
      <c r="AB107" s="35">
        <f t="shared" si="47"/>
        <v>0</v>
      </c>
      <c r="AC107" s="35">
        <f t="shared" si="47"/>
        <v>0</v>
      </c>
      <c r="AD107" s="35">
        <f t="shared" si="47"/>
        <v>0</v>
      </c>
      <c r="AE107" s="35">
        <f t="shared" si="47"/>
        <v>0</v>
      </c>
      <c r="AF107" s="35">
        <f t="shared" si="47"/>
        <v>0</v>
      </c>
      <c r="AG107" s="35">
        <f t="shared" si="47"/>
        <v>0</v>
      </c>
      <c r="AH107" s="35">
        <f t="shared" si="47"/>
        <v>0</v>
      </c>
      <c r="AI107" s="35">
        <f t="shared" si="47"/>
        <v>0</v>
      </c>
      <c r="AJ107" s="35">
        <f t="shared" si="47"/>
        <v>0</v>
      </c>
      <c r="AK107" s="35">
        <f t="shared" si="47"/>
        <v>0</v>
      </c>
      <c r="AL107" s="35">
        <f t="shared" si="47"/>
        <v>0</v>
      </c>
      <c r="AM107" s="35">
        <f t="shared" si="47"/>
        <v>0</v>
      </c>
      <c r="AN107" s="35">
        <f t="shared" si="47"/>
        <v>0</v>
      </c>
      <c r="AO107" s="35">
        <f t="shared" si="47"/>
        <v>0</v>
      </c>
      <c r="AP107" s="35">
        <f t="shared" si="47"/>
        <v>0</v>
      </c>
      <c r="AQ107" s="35">
        <f t="shared" si="47"/>
        <v>0</v>
      </c>
      <c r="AR107" s="35">
        <f t="shared" si="47"/>
        <v>0</v>
      </c>
      <c r="AS107" s="35">
        <f t="shared" si="47"/>
        <v>0</v>
      </c>
      <c r="AT107" s="35">
        <f t="shared" si="47"/>
        <v>0</v>
      </c>
      <c r="AU107" s="35">
        <f t="shared" si="47"/>
        <v>0</v>
      </c>
      <c r="AV107" s="35">
        <f t="shared" si="47"/>
        <v>0</v>
      </c>
      <c r="AW107" s="35">
        <f t="shared" si="47"/>
        <v>0</v>
      </c>
      <c r="AX107" s="35">
        <f t="shared" si="47"/>
        <v>0</v>
      </c>
      <c r="AY107" s="11"/>
    </row>
    <row r="108" ht="15.75" customHeight="1">
      <c r="E108" s="2"/>
      <c r="L108" s="9"/>
      <c r="M108" s="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1"/>
    </row>
    <row r="109" ht="15.75" customHeight="1">
      <c r="E109" s="2"/>
      <c r="L109" s="9"/>
      <c r="M109" s="2" t="s">
        <v>105</v>
      </c>
      <c r="N109" s="10">
        <f t="shared" ref="N109:AX109" si="48">N105-N103</f>
        <v>0</v>
      </c>
      <c r="O109" s="10">
        <f t="shared" si="48"/>
        <v>-60010</v>
      </c>
      <c r="P109" s="10">
        <f t="shared" si="48"/>
        <v>-10</v>
      </c>
      <c r="Q109" s="10">
        <f t="shared" si="48"/>
        <v>-10</v>
      </c>
      <c r="R109" s="10">
        <f t="shared" si="48"/>
        <v>-10</v>
      </c>
      <c r="S109" s="10">
        <f t="shared" si="48"/>
        <v>-10</v>
      </c>
      <c r="T109" s="10">
        <f t="shared" si="48"/>
        <v>-10</v>
      </c>
      <c r="U109" s="10">
        <f t="shared" si="48"/>
        <v>-3615</v>
      </c>
      <c r="V109" s="10">
        <f t="shared" si="48"/>
        <v>-3615</v>
      </c>
      <c r="W109" s="10">
        <f t="shared" si="48"/>
        <v>-415</v>
      </c>
      <c r="X109" s="10">
        <f t="shared" si="48"/>
        <v>2985</v>
      </c>
      <c r="Y109" s="10">
        <f t="shared" si="48"/>
        <v>3385</v>
      </c>
      <c r="Z109" s="10">
        <f t="shared" si="48"/>
        <v>-5835</v>
      </c>
      <c r="AA109" s="10">
        <f t="shared" si="48"/>
        <v>-5135</v>
      </c>
      <c r="AB109" s="10">
        <f t="shared" si="48"/>
        <v>-4735</v>
      </c>
      <c r="AC109" s="10">
        <f t="shared" si="48"/>
        <v>-3635</v>
      </c>
      <c r="AD109" s="10">
        <f t="shared" si="48"/>
        <v>-2935</v>
      </c>
      <c r="AE109" s="10">
        <f t="shared" si="48"/>
        <v>-2735</v>
      </c>
      <c r="AF109" s="10">
        <f t="shared" si="48"/>
        <v>-6320</v>
      </c>
      <c r="AG109" s="10">
        <f t="shared" si="48"/>
        <v>-5620</v>
      </c>
      <c r="AH109" s="10">
        <f t="shared" si="48"/>
        <v>-5320</v>
      </c>
      <c r="AI109" s="10">
        <f t="shared" si="48"/>
        <v>2280</v>
      </c>
      <c r="AJ109" s="10">
        <f t="shared" si="48"/>
        <v>3280</v>
      </c>
      <c r="AK109" s="10">
        <f t="shared" si="48"/>
        <v>3980</v>
      </c>
      <c r="AL109" s="10">
        <f t="shared" si="48"/>
        <v>6580</v>
      </c>
      <c r="AM109" s="10">
        <f t="shared" si="48"/>
        <v>7480</v>
      </c>
      <c r="AN109" s="10">
        <f t="shared" si="48"/>
        <v>8080</v>
      </c>
      <c r="AO109" s="10">
        <f t="shared" si="48"/>
        <v>10180</v>
      </c>
      <c r="AP109" s="10">
        <f t="shared" si="48"/>
        <v>11080</v>
      </c>
      <c r="AQ109" s="10">
        <f t="shared" si="48"/>
        <v>11580</v>
      </c>
      <c r="AR109" s="10">
        <f t="shared" si="48"/>
        <v>13580</v>
      </c>
      <c r="AS109" s="10">
        <f t="shared" si="48"/>
        <v>14480</v>
      </c>
      <c r="AT109" s="10">
        <f t="shared" si="48"/>
        <v>14880</v>
      </c>
      <c r="AU109" s="10">
        <f t="shared" si="48"/>
        <v>16380</v>
      </c>
      <c r="AV109" s="10">
        <f t="shared" si="48"/>
        <v>16780</v>
      </c>
      <c r="AW109" s="10">
        <f t="shared" si="48"/>
        <v>17080</v>
      </c>
      <c r="AX109" s="10">
        <f t="shared" si="48"/>
        <v>18680</v>
      </c>
      <c r="AY109" s="11"/>
    </row>
    <row r="110" ht="15.75" customHeight="1">
      <c r="E110" s="2"/>
      <c r="L110" s="9"/>
      <c r="M110" s="2" t="s">
        <v>106</v>
      </c>
      <c r="N110" s="65">
        <v>45657.0</v>
      </c>
      <c r="O110" s="66">
        <f t="shared" ref="O110:AX110" si="49">EDATE($N$110,O111)</f>
        <v>45688</v>
      </c>
      <c r="P110" s="66">
        <f t="shared" si="49"/>
        <v>45716</v>
      </c>
      <c r="Q110" s="66">
        <f t="shared" si="49"/>
        <v>45747</v>
      </c>
      <c r="R110" s="66">
        <f t="shared" si="49"/>
        <v>45777</v>
      </c>
      <c r="S110" s="66">
        <f t="shared" si="49"/>
        <v>45808</v>
      </c>
      <c r="T110" s="66">
        <f t="shared" si="49"/>
        <v>45838</v>
      </c>
      <c r="U110" s="66">
        <f t="shared" si="49"/>
        <v>45869</v>
      </c>
      <c r="V110" s="66">
        <f t="shared" si="49"/>
        <v>45900</v>
      </c>
      <c r="W110" s="66">
        <f t="shared" si="49"/>
        <v>45930</v>
      </c>
      <c r="X110" s="66">
        <f t="shared" si="49"/>
        <v>45961</v>
      </c>
      <c r="Y110" s="66">
        <f t="shared" si="49"/>
        <v>45991</v>
      </c>
      <c r="Z110" s="66">
        <f t="shared" si="49"/>
        <v>46022</v>
      </c>
      <c r="AA110" s="66">
        <f t="shared" si="49"/>
        <v>46053</v>
      </c>
      <c r="AB110" s="66">
        <f t="shared" si="49"/>
        <v>46081</v>
      </c>
      <c r="AC110" s="66">
        <f t="shared" si="49"/>
        <v>46112</v>
      </c>
      <c r="AD110" s="66">
        <f t="shared" si="49"/>
        <v>46142</v>
      </c>
      <c r="AE110" s="66">
        <f t="shared" si="49"/>
        <v>46173</v>
      </c>
      <c r="AF110" s="66">
        <f t="shared" si="49"/>
        <v>46203</v>
      </c>
      <c r="AG110" s="66">
        <f t="shared" si="49"/>
        <v>46234</v>
      </c>
      <c r="AH110" s="66">
        <f t="shared" si="49"/>
        <v>46265</v>
      </c>
      <c r="AI110" s="66">
        <f t="shared" si="49"/>
        <v>46295</v>
      </c>
      <c r="AJ110" s="66">
        <f t="shared" si="49"/>
        <v>46326</v>
      </c>
      <c r="AK110" s="66">
        <f t="shared" si="49"/>
        <v>46356</v>
      </c>
      <c r="AL110" s="66">
        <f t="shared" si="49"/>
        <v>46387</v>
      </c>
      <c r="AM110" s="66">
        <f t="shared" si="49"/>
        <v>46418</v>
      </c>
      <c r="AN110" s="66">
        <f t="shared" si="49"/>
        <v>46446</v>
      </c>
      <c r="AO110" s="66">
        <f t="shared" si="49"/>
        <v>46477</v>
      </c>
      <c r="AP110" s="66">
        <f t="shared" si="49"/>
        <v>46507</v>
      </c>
      <c r="AQ110" s="66">
        <f t="shared" si="49"/>
        <v>46538</v>
      </c>
      <c r="AR110" s="66">
        <f t="shared" si="49"/>
        <v>46568</v>
      </c>
      <c r="AS110" s="66">
        <f t="shared" si="49"/>
        <v>46599</v>
      </c>
      <c r="AT110" s="66">
        <f t="shared" si="49"/>
        <v>46630</v>
      </c>
      <c r="AU110" s="66">
        <f t="shared" si="49"/>
        <v>46660</v>
      </c>
      <c r="AV110" s="66">
        <f t="shared" si="49"/>
        <v>46691</v>
      </c>
      <c r="AW110" s="66">
        <f t="shared" si="49"/>
        <v>46721</v>
      </c>
      <c r="AX110" s="66">
        <f t="shared" si="49"/>
        <v>46752</v>
      </c>
      <c r="AY110" s="11"/>
    </row>
    <row r="111" ht="15.75" customHeight="1">
      <c r="E111" s="2"/>
      <c r="L111" s="9"/>
      <c r="M111" s="12" t="s">
        <v>2</v>
      </c>
      <c r="N111" s="13">
        <v>0.0</v>
      </c>
      <c r="O111" s="13">
        <f t="shared" ref="O111:AX111" si="50">N111+1</f>
        <v>1</v>
      </c>
      <c r="P111" s="13">
        <f t="shared" si="50"/>
        <v>2</v>
      </c>
      <c r="Q111" s="13">
        <f t="shared" si="50"/>
        <v>3</v>
      </c>
      <c r="R111" s="13">
        <f t="shared" si="50"/>
        <v>4</v>
      </c>
      <c r="S111" s="13">
        <f t="shared" si="50"/>
        <v>5</v>
      </c>
      <c r="T111" s="13">
        <f t="shared" si="50"/>
        <v>6</v>
      </c>
      <c r="U111" s="13">
        <f t="shared" si="50"/>
        <v>7</v>
      </c>
      <c r="V111" s="13">
        <f t="shared" si="50"/>
        <v>8</v>
      </c>
      <c r="W111" s="13">
        <f t="shared" si="50"/>
        <v>9</v>
      </c>
      <c r="X111" s="13">
        <f t="shared" si="50"/>
        <v>10</v>
      </c>
      <c r="Y111" s="13">
        <f t="shared" si="50"/>
        <v>11</v>
      </c>
      <c r="Z111" s="13">
        <f t="shared" si="50"/>
        <v>12</v>
      </c>
      <c r="AA111" s="13">
        <f t="shared" si="50"/>
        <v>13</v>
      </c>
      <c r="AB111" s="13">
        <f t="shared" si="50"/>
        <v>14</v>
      </c>
      <c r="AC111" s="13">
        <f t="shared" si="50"/>
        <v>15</v>
      </c>
      <c r="AD111" s="13">
        <f t="shared" si="50"/>
        <v>16</v>
      </c>
      <c r="AE111" s="13">
        <f t="shared" si="50"/>
        <v>17</v>
      </c>
      <c r="AF111" s="13">
        <f t="shared" si="50"/>
        <v>18</v>
      </c>
      <c r="AG111" s="13">
        <f t="shared" si="50"/>
        <v>19</v>
      </c>
      <c r="AH111" s="13">
        <f t="shared" si="50"/>
        <v>20</v>
      </c>
      <c r="AI111" s="13">
        <f t="shared" si="50"/>
        <v>21</v>
      </c>
      <c r="AJ111" s="13">
        <f t="shared" si="50"/>
        <v>22</v>
      </c>
      <c r="AK111" s="13">
        <f t="shared" si="50"/>
        <v>23</v>
      </c>
      <c r="AL111" s="13">
        <f t="shared" si="50"/>
        <v>24</v>
      </c>
      <c r="AM111" s="13">
        <f t="shared" si="50"/>
        <v>25</v>
      </c>
      <c r="AN111" s="13">
        <f t="shared" si="50"/>
        <v>26</v>
      </c>
      <c r="AO111" s="13">
        <f t="shared" si="50"/>
        <v>27</v>
      </c>
      <c r="AP111" s="13">
        <f t="shared" si="50"/>
        <v>28</v>
      </c>
      <c r="AQ111" s="13">
        <f t="shared" si="50"/>
        <v>29</v>
      </c>
      <c r="AR111" s="13">
        <f t="shared" si="50"/>
        <v>30</v>
      </c>
      <c r="AS111" s="13">
        <f t="shared" si="50"/>
        <v>31</v>
      </c>
      <c r="AT111" s="13">
        <f t="shared" si="50"/>
        <v>32</v>
      </c>
      <c r="AU111" s="13">
        <f t="shared" si="50"/>
        <v>33</v>
      </c>
      <c r="AV111" s="13">
        <f t="shared" si="50"/>
        <v>34</v>
      </c>
      <c r="AW111" s="13">
        <f t="shared" si="50"/>
        <v>35</v>
      </c>
      <c r="AX111" s="13">
        <f t="shared" si="50"/>
        <v>36</v>
      </c>
      <c r="AY111" s="11"/>
    </row>
    <row r="112" ht="15.75" customHeight="1">
      <c r="E112" s="2"/>
      <c r="L112" s="9"/>
      <c r="M112" s="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1"/>
    </row>
    <row r="113" ht="15.75" customHeight="1">
      <c r="E113" s="2"/>
      <c r="L113" s="9"/>
      <c r="M113" s="12" t="s">
        <v>107</v>
      </c>
      <c r="N113" s="13">
        <v>0.0</v>
      </c>
      <c r="O113" s="13">
        <f t="shared" ref="O113:Q113" si="51">N113+1</f>
        <v>1</v>
      </c>
      <c r="P113" s="13">
        <f t="shared" si="51"/>
        <v>2</v>
      </c>
      <c r="Q113" s="13">
        <f t="shared" si="51"/>
        <v>3</v>
      </c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1"/>
    </row>
    <row r="114" ht="15.75" customHeight="1">
      <c r="E114" s="2"/>
      <c r="L114" s="9"/>
      <c r="M114" s="2" t="s">
        <v>10</v>
      </c>
      <c r="N114" s="2" t="str">
        <f t="shared" ref="N114:N116" si="52">VLOOKUP($M114,$M$66:$N$107,2, FALSE)</f>
        <v/>
      </c>
      <c r="O114" s="2">
        <f t="shared" ref="O114:O116" si="53">SUM(INDEX($O$66:$Z$109, MATCH($M114,$M$66:$M$109,FALSE),0))</f>
        <v>73900</v>
      </c>
      <c r="P114" s="2">
        <f t="shared" ref="P114:P116" si="54">SUM(INDEX($AA$66:$AL$109, MATCH($M114,$M$66:$M$109,FALSE),0))</f>
        <v>439400</v>
      </c>
      <c r="Q114" s="2">
        <f t="shared" ref="Q114:Q116" si="55">SUM(INDEX($AM$66:$AX$109, MATCH($M114,$M$66:$M$109,FALSE),0))</f>
        <v>780900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1"/>
    </row>
    <row r="115" ht="15.75" customHeight="1">
      <c r="E115" s="2"/>
      <c r="L115" s="9"/>
      <c r="M115" s="2" t="s">
        <v>83</v>
      </c>
      <c r="N115" s="2" t="str">
        <f t="shared" si="52"/>
        <v/>
      </c>
      <c r="O115" s="2">
        <f t="shared" si="53"/>
        <v>42000</v>
      </c>
      <c r="P115" s="2">
        <f t="shared" si="54"/>
        <v>213000</v>
      </c>
      <c r="Q115" s="2">
        <f t="shared" si="55"/>
        <v>324000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1"/>
    </row>
    <row r="116" ht="15.75" customHeight="1">
      <c r="E116" s="2"/>
      <c r="L116" s="9"/>
      <c r="M116" s="2" t="s">
        <v>85</v>
      </c>
      <c r="N116" s="2" t="str">
        <f t="shared" si="52"/>
        <v/>
      </c>
      <c r="O116" s="2">
        <f t="shared" si="53"/>
        <v>31900</v>
      </c>
      <c r="P116" s="2">
        <f t="shared" si="54"/>
        <v>226400</v>
      </c>
      <c r="Q116" s="2">
        <f t="shared" si="55"/>
        <v>456900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1"/>
    </row>
    <row r="117" ht="15.75" customHeight="1">
      <c r="E117" s="2"/>
      <c r="L117" s="9"/>
      <c r="M117" s="2" t="s">
        <v>108</v>
      </c>
      <c r="N117" s="67" t="str">
        <f t="shared" ref="N117:Q117" si="56">IFERROR(N116/N114, "")</f>
        <v/>
      </c>
      <c r="O117" s="67">
        <f t="shared" si="56"/>
        <v>0.4316644114</v>
      </c>
      <c r="P117" s="67">
        <f t="shared" si="56"/>
        <v>0.5152480655</v>
      </c>
      <c r="Q117" s="67">
        <f t="shared" si="56"/>
        <v>0.5850941222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1"/>
    </row>
    <row r="118" ht="15.75" customHeight="1">
      <c r="E118" s="2"/>
      <c r="L118" s="9"/>
      <c r="M118" s="2" t="s">
        <v>94</v>
      </c>
      <c r="N118" s="2" t="str">
        <f>VLOOKUP($M118,$M$66:$N$107,2, FALSE)</f>
        <v/>
      </c>
      <c r="O118" s="2">
        <f t="array" ref="O118">SUM(INDEX($O$66:$Z$109, MATCH($M118,$M$66:$M$109,FALSE),0))</f>
        <v>39070</v>
      </c>
      <c r="P118" s="2">
        <f t="array" ref="P118">SUM(INDEX($AA$66:$AL$109, MATCH($M118,$M$66:$M$109,FALSE),0))</f>
        <v>246715</v>
      </c>
      <c r="Q118" s="2">
        <f t="array" ref="Q118">SUM(INDEX($AM$66:$AX$109, MATCH($M118,$M$66:$M$109,FALSE),0))</f>
        <v>296640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1"/>
    </row>
    <row r="119" ht="15.75" customHeight="1">
      <c r="E119" s="2"/>
      <c r="L119" s="9"/>
      <c r="M119" s="2" t="s">
        <v>109</v>
      </c>
      <c r="N119" s="2">
        <f t="shared" ref="N119:Q119" si="57">N116-N118</f>
        <v>0</v>
      </c>
      <c r="O119" s="2">
        <f t="shared" si="57"/>
        <v>-7170</v>
      </c>
      <c r="P119" s="2">
        <f t="shared" si="57"/>
        <v>-20315</v>
      </c>
      <c r="Q119" s="2">
        <f t="shared" si="57"/>
        <v>160260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1"/>
    </row>
    <row r="120" ht="15.75" customHeight="1">
      <c r="E120" s="2"/>
      <c r="L120" s="9"/>
      <c r="M120" s="2" t="s">
        <v>105</v>
      </c>
      <c r="N120" s="2">
        <f>VLOOKUP($M120,$M$66:$N$109,2, FALSE)</f>
        <v>0</v>
      </c>
      <c r="O120" s="2">
        <f t="array" ref="O120">SUM(INDEX($O$66:$Z$109, MATCH($M120,$M$66:$M$109,FALSE),0))</f>
        <v>-67170</v>
      </c>
      <c r="P120" s="2">
        <f t="array" ref="P120">SUM(INDEX($AA$66:$AL$109, MATCH($M120,$M$66:$M$109,FALSE),0))</f>
        <v>-20315</v>
      </c>
      <c r="Q120" s="2">
        <f t="array" ref="Q120">SUM(INDEX($AM$66:$AX$109, MATCH($M120,$M$66:$M$109,FALSE),0))</f>
        <v>160260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1"/>
    </row>
    <row r="121" ht="15.75" customHeight="1">
      <c r="E121" s="2"/>
      <c r="L121" s="9"/>
      <c r="M121" s="2" t="s">
        <v>110</v>
      </c>
      <c r="N121" s="10">
        <f>N119*$F$40</f>
        <v>0</v>
      </c>
      <c r="O121" s="10">
        <f t="shared" ref="O121:Q121" si="58">$F$40*O114</f>
        <v>147800</v>
      </c>
      <c r="P121" s="10">
        <f t="shared" si="58"/>
        <v>878800</v>
      </c>
      <c r="Q121" s="10">
        <f t="shared" si="58"/>
        <v>1561800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1"/>
    </row>
    <row r="122" ht="15.75" customHeight="1">
      <c r="E122" s="2"/>
      <c r="L122" s="9"/>
      <c r="M122" s="2" t="s">
        <v>74</v>
      </c>
      <c r="N122" s="2" t="str">
        <f>VLOOKUP($M122,$M$66:$N$109,2, FALSE)</f>
        <v/>
      </c>
      <c r="O122" s="2">
        <f t="array" ref="O122">SUM(INDEX($O$66:$Z$109, MATCH($M122,$M$66:$M$109,FALSE),0))</f>
        <v>60000</v>
      </c>
      <c r="P122" s="2">
        <f t="array" ref="P122">SUM(INDEX($AA$66:$AL$109, MATCH($M122,$M$66:$M$109,FALSE),0))</f>
        <v>0</v>
      </c>
      <c r="Q122" s="2">
        <f t="array" ref="Q122">SUM(INDEX($AM$66:$AX$109, MATCH($M122,$M$66:$M$109,FALSE),0))</f>
        <v>0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1"/>
    </row>
    <row r="123" ht="15.75" customHeight="1">
      <c r="E123" s="2"/>
      <c r="L123" s="9"/>
      <c r="M123" s="2" t="s">
        <v>111</v>
      </c>
      <c r="N123" s="10">
        <f t="shared" ref="N123:Q123" si="59">N120+N121</f>
        <v>0</v>
      </c>
      <c r="O123" s="10">
        <f t="shared" si="59"/>
        <v>80630</v>
      </c>
      <c r="P123" s="10">
        <f t="shared" si="59"/>
        <v>858485</v>
      </c>
      <c r="Q123" s="10">
        <f t="shared" si="59"/>
        <v>1722060</v>
      </c>
      <c r="R123" s="10"/>
      <c r="S123" s="10"/>
      <c r="T123" s="64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1"/>
    </row>
    <row r="124" ht="15.75" customHeight="1">
      <c r="E124" s="2"/>
      <c r="L124" s="9"/>
      <c r="M124" s="2"/>
      <c r="N124" s="10"/>
      <c r="O124" s="64"/>
      <c r="P124" s="64"/>
      <c r="Q124" s="64"/>
      <c r="R124" s="10"/>
      <c r="S124" s="10"/>
      <c r="T124" s="64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1"/>
    </row>
    <row r="125" ht="15.75" customHeight="1">
      <c r="E125" s="2"/>
      <c r="L125" s="9"/>
      <c r="M125" s="12" t="s">
        <v>107</v>
      </c>
      <c r="N125" s="13">
        <v>0.0</v>
      </c>
      <c r="O125" s="13">
        <f t="shared" ref="O125:Q125" si="60">N125+1</f>
        <v>1</v>
      </c>
      <c r="P125" s="13">
        <f t="shared" si="60"/>
        <v>2</v>
      </c>
      <c r="Q125" s="13">
        <f t="shared" si="60"/>
        <v>3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1"/>
    </row>
    <row r="126" ht="15.75" customHeight="1">
      <c r="E126" s="2"/>
      <c r="L126" s="30"/>
      <c r="M126" s="32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3"/>
    </row>
    <row r="127" ht="15.75" customHeight="1">
      <c r="E127" s="2"/>
      <c r="M127" s="2"/>
    </row>
  </sheetData>
  <conditionalFormatting sqref="N52:AX64">
    <cfRule type="expression" dxfId="0" priority="2">
      <formula>N$51&lt;=$C52</formula>
    </cfRule>
  </conditionalFormatting>
  <conditionalFormatting sqref="N52:AX64">
    <cfRule type="expression" dxfId="1" priority="3">
      <formula>N$51=$C52</formula>
    </cfRule>
  </conditionalFormatting>
  <conditionalFormatting sqref="N6:AX111">
    <cfRule type="expression" dxfId="2" priority="4">
      <formula>XMATCH(COLUMN()-14,$C$52:$C$62,0)</formula>
    </cfRule>
  </conditionalFormatting>
  <conditionalFormatting sqref="N5:AX5">
    <cfRule type="expression" dxfId="3" priority="5">
      <formula>XMATCH(COLUMN()-14,$C$52:$C$62,0)</formula>
    </cfRule>
  </conditionalFormatting>
  <printOptions/>
  <pageMargins bottom="0.75" footer="0.0" header="0.0" left="0.7" right="0.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2.43"/>
    <col customWidth="1" min="4" max="8" width="24.43"/>
    <col customWidth="1" min="9" max="26" width="8.86"/>
  </cols>
  <sheetData>
    <row r="2">
      <c r="C2" s="26">
        <v>2013.0</v>
      </c>
      <c r="D2" s="26">
        <f t="shared" ref="D2:H2" si="1">C2+1</f>
        <v>2014</v>
      </c>
      <c r="E2" s="26">
        <f t="shared" si="1"/>
        <v>2015</v>
      </c>
      <c r="F2" s="26">
        <f t="shared" si="1"/>
        <v>2016</v>
      </c>
      <c r="G2" s="26">
        <f t="shared" si="1"/>
        <v>2017</v>
      </c>
      <c r="H2" s="26">
        <f t="shared" si="1"/>
        <v>2018</v>
      </c>
    </row>
    <row r="3">
      <c r="B3" s="68" t="s">
        <v>112</v>
      </c>
      <c r="C3" s="69" t="str">
        <f t="shared" ref="C3:H3" si="2">#REF!</f>
        <v>#REF!</v>
      </c>
      <c r="D3" s="69" t="str">
        <f t="shared" si="2"/>
        <v>#REF!</v>
      </c>
      <c r="E3" s="69" t="str">
        <f t="shared" si="2"/>
        <v>#REF!</v>
      </c>
      <c r="F3" s="69" t="str">
        <f t="shared" si="2"/>
        <v>#REF!</v>
      </c>
      <c r="G3" s="69" t="str">
        <f t="shared" si="2"/>
        <v>#REF!</v>
      </c>
      <c r="H3" s="69" t="str">
        <f t="shared" si="2"/>
        <v>#REF!</v>
      </c>
    </row>
    <row r="4">
      <c r="B4" s="68" t="s">
        <v>113</v>
      </c>
      <c r="C4" s="70" t="str">
        <f t="shared" ref="C4:H4" si="3">#REF!</f>
        <v>#REF!</v>
      </c>
      <c r="D4" s="70" t="str">
        <f t="shared" si="3"/>
        <v>#REF!</v>
      </c>
      <c r="E4" s="70" t="str">
        <f t="shared" si="3"/>
        <v>#REF!</v>
      </c>
      <c r="F4" s="70" t="str">
        <f t="shared" si="3"/>
        <v>#REF!</v>
      </c>
      <c r="G4" s="70" t="str">
        <f t="shared" si="3"/>
        <v>#REF!</v>
      </c>
      <c r="H4" s="70" t="str">
        <f t="shared" si="3"/>
        <v>#REF!</v>
      </c>
    </row>
    <row r="5">
      <c r="B5" s="68" t="s">
        <v>114</v>
      </c>
      <c r="C5" s="69" t="str">
        <f t="shared" ref="C5:H5" si="4">#REF!</f>
        <v>#REF!</v>
      </c>
      <c r="D5" s="69" t="str">
        <f t="shared" si="4"/>
        <v>#REF!</v>
      </c>
      <c r="E5" s="69" t="str">
        <f t="shared" si="4"/>
        <v>#REF!</v>
      </c>
      <c r="F5" s="69" t="str">
        <f t="shared" si="4"/>
        <v>#REF!</v>
      </c>
      <c r="G5" s="69" t="str">
        <f t="shared" si="4"/>
        <v>#REF!</v>
      </c>
      <c r="H5" s="69" t="str">
        <f t="shared" si="4"/>
        <v>#REF!</v>
      </c>
    </row>
    <row r="6">
      <c r="B6" s="71"/>
      <c r="C6" s="71"/>
      <c r="D6" s="71"/>
      <c r="E6" s="71"/>
      <c r="F6" s="71"/>
      <c r="G6" s="71"/>
      <c r="H6" s="71"/>
    </row>
    <row r="7">
      <c r="B7" s="72" t="s">
        <v>115</v>
      </c>
      <c r="C7" s="73" t="str">
        <f t="shared" ref="C7:H7" si="5">#REF!</f>
        <v>#REF!</v>
      </c>
      <c r="D7" s="73" t="str">
        <f t="shared" si="5"/>
        <v>#REF!</v>
      </c>
      <c r="E7" s="73" t="str">
        <f t="shared" si="5"/>
        <v>#REF!</v>
      </c>
      <c r="F7" s="73" t="str">
        <f t="shared" si="5"/>
        <v>#REF!</v>
      </c>
      <c r="G7" s="73" t="str">
        <f t="shared" si="5"/>
        <v>#REF!</v>
      </c>
      <c r="H7" s="73" t="str">
        <f t="shared" si="5"/>
        <v>#REF!</v>
      </c>
    </row>
    <row r="8">
      <c r="B8" s="68" t="s">
        <v>116</v>
      </c>
      <c r="C8" s="69" t="str">
        <f t="shared" ref="C8:H8" si="6">#REF!</f>
        <v>#REF!</v>
      </c>
      <c r="D8" s="69" t="str">
        <f t="shared" si="6"/>
        <v>#REF!</v>
      </c>
      <c r="E8" s="69" t="str">
        <f t="shared" si="6"/>
        <v>#REF!</v>
      </c>
      <c r="F8" s="69" t="str">
        <f t="shared" si="6"/>
        <v>#REF!</v>
      </c>
      <c r="G8" s="69" t="str">
        <f t="shared" si="6"/>
        <v>#REF!</v>
      </c>
      <c r="H8" s="69" t="str">
        <f t="shared" si="6"/>
        <v>#REF!</v>
      </c>
    </row>
    <row r="9">
      <c r="B9" s="72" t="s">
        <v>117</v>
      </c>
      <c r="C9" s="73" t="str">
        <f t="shared" ref="C9:H9" si="7">C7-C8</f>
        <v>#REF!</v>
      </c>
      <c r="D9" s="73" t="str">
        <f t="shared" si="7"/>
        <v>#REF!</v>
      </c>
      <c r="E9" s="73" t="str">
        <f t="shared" si="7"/>
        <v>#REF!</v>
      </c>
      <c r="F9" s="73" t="str">
        <f t="shared" si="7"/>
        <v>#REF!</v>
      </c>
      <c r="G9" s="73" t="str">
        <f t="shared" si="7"/>
        <v>#REF!</v>
      </c>
      <c r="H9" s="73" t="str">
        <f t="shared" si="7"/>
        <v>#REF!</v>
      </c>
    </row>
    <row r="10">
      <c r="B10" s="74" t="s">
        <v>118</v>
      </c>
      <c r="C10" s="75" t="str">
        <f t="shared" ref="C10:H10" si="8">C9/C7</f>
        <v>#REF!</v>
      </c>
      <c r="D10" s="75" t="str">
        <f t="shared" si="8"/>
        <v>#REF!</v>
      </c>
      <c r="E10" s="75" t="str">
        <f t="shared" si="8"/>
        <v>#REF!</v>
      </c>
      <c r="F10" s="75" t="str">
        <f t="shared" si="8"/>
        <v>#REF!</v>
      </c>
      <c r="G10" s="75" t="str">
        <f t="shared" si="8"/>
        <v>#REF!</v>
      </c>
      <c r="H10" s="75" t="str">
        <f t="shared" si="8"/>
        <v>#REF!</v>
      </c>
    </row>
    <row r="11">
      <c r="B11" s="68" t="s">
        <v>119</v>
      </c>
      <c r="C11" s="69" t="str">
        <f t="shared" ref="C11:H11" si="9">#REF!</f>
        <v>#REF!</v>
      </c>
      <c r="D11" s="69" t="str">
        <f t="shared" si="9"/>
        <v>#REF!</v>
      </c>
      <c r="E11" s="69" t="str">
        <f t="shared" si="9"/>
        <v>#REF!</v>
      </c>
      <c r="F11" s="69" t="str">
        <f t="shared" si="9"/>
        <v>#REF!</v>
      </c>
      <c r="G11" s="69" t="str">
        <f t="shared" si="9"/>
        <v>#REF!</v>
      </c>
      <c r="H11" s="69" t="str">
        <f t="shared" si="9"/>
        <v>#REF!</v>
      </c>
    </row>
    <row r="12">
      <c r="B12" s="72" t="s">
        <v>120</v>
      </c>
      <c r="C12" s="76" t="str">
        <f t="shared" ref="C12:H12" si="10">C9-C11</f>
        <v>#REF!</v>
      </c>
      <c r="D12" s="73" t="str">
        <f t="shared" si="10"/>
        <v>#REF!</v>
      </c>
      <c r="E12" s="73" t="str">
        <f t="shared" si="10"/>
        <v>#REF!</v>
      </c>
      <c r="F12" s="73" t="str">
        <f t="shared" si="10"/>
        <v>#REF!</v>
      </c>
      <c r="G12" s="73" t="str">
        <f t="shared" si="10"/>
        <v>#REF!</v>
      </c>
      <c r="H12" s="73" t="str">
        <f t="shared" si="10"/>
        <v>#REF!</v>
      </c>
    </row>
    <row r="13">
      <c r="B13" s="74" t="s">
        <v>118</v>
      </c>
      <c r="C13" s="75" t="str">
        <f t="shared" ref="C13:H13" si="11">MAX(0,C12/C7)</f>
        <v>#REF!</v>
      </c>
      <c r="D13" s="75" t="str">
        <f t="shared" si="11"/>
        <v>#REF!</v>
      </c>
      <c r="E13" s="75" t="str">
        <f t="shared" si="11"/>
        <v>#REF!</v>
      </c>
      <c r="F13" s="75" t="str">
        <f t="shared" si="11"/>
        <v>#REF!</v>
      </c>
      <c r="G13" s="75" t="str">
        <f t="shared" si="11"/>
        <v>#REF!</v>
      </c>
      <c r="H13" s="75" t="str">
        <f t="shared" si="11"/>
        <v>#REF!</v>
      </c>
    </row>
    <row r="16">
      <c r="B16" s="68" t="s">
        <v>115</v>
      </c>
      <c r="C16" s="69" t="str">
        <f t="shared" ref="C16:H16" si="12">#REF!/1000</f>
        <v>#REF!</v>
      </c>
      <c r="D16" s="69" t="str">
        <f t="shared" si="12"/>
        <v>#REF!</v>
      </c>
      <c r="E16" s="69" t="str">
        <f t="shared" si="12"/>
        <v>#REF!</v>
      </c>
      <c r="F16" s="69" t="str">
        <f t="shared" si="12"/>
        <v>#REF!</v>
      </c>
      <c r="G16" s="69" t="str">
        <f t="shared" si="12"/>
        <v>#REF!</v>
      </c>
      <c r="H16" s="69" t="str">
        <f t="shared" si="12"/>
        <v>#REF!</v>
      </c>
    </row>
    <row r="17">
      <c r="B17" s="77" t="s">
        <v>120</v>
      </c>
      <c r="C17" s="69" t="str">
        <f t="shared" ref="C17:H17" si="13">#REF!/1000</f>
        <v>#REF!</v>
      </c>
      <c r="D17" s="69" t="str">
        <f t="shared" si="13"/>
        <v>#REF!</v>
      </c>
      <c r="E17" s="69" t="str">
        <f t="shared" si="13"/>
        <v>#REF!</v>
      </c>
      <c r="F17" s="69" t="str">
        <f t="shared" si="13"/>
        <v>#REF!</v>
      </c>
      <c r="G17" s="69" t="str">
        <f t="shared" si="13"/>
        <v>#REF!</v>
      </c>
      <c r="H17" s="69" t="str">
        <f t="shared" si="13"/>
        <v>#REF!</v>
      </c>
    </row>
    <row r="18">
      <c r="B18" s="68" t="s">
        <v>121</v>
      </c>
      <c r="C18" s="69" t="str">
        <f t="shared" ref="C18:H18" si="14">#REF!/1000</f>
        <v>#REF!</v>
      </c>
      <c r="D18" s="69" t="str">
        <f t="shared" si="14"/>
        <v>#REF!</v>
      </c>
      <c r="E18" s="69" t="str">
        <f t="shared" si="14"/>
        <v>#REF!</v>
      </c>
      <c r="F18" s="69" t="str">
        <f t="shared" si="14"/>
        <v>#REF!</v>
      </c>
      <c r="G18" s="69" t="str">
        <f t="shared" si="14"/>
        <v>#REF!</v>
      </c>
      <c r="H18" s="69" t="str">
        <f t="shared" si="14"/>
        <v>#REF!</v>
      </c>
    </row>
    <row r="19">
      <c r="B19" s="77" t="s">
        <v>122</v>
      </c>
      <c r="C19" s="69"/>
      <c r="D19" s="69"/>
      <c r="E19" s="69"/>
      <c r="F19" s="69"/>
      <c r="G19" s="69"/>
      <c r="H19" s="69" t="str">
        <f>#REF!/1000</f>
        <v>#REF!</v>
      </c>
    </row>
    <row r="20">
      <c r="B20" s="68" t="s">
        <v>123</v>
      </c>
      <c r="C20" s="69">
        <v>450.0</v>
      </c>
      <c r="D20" s="69">
        <v>50.0</v>
      </c>
      <c r="E20" s="69"/>
      <c r="F20" s="69"/>
      <c r="G20" s="69"/>
      <c r="H20" s="69"/>
    </row>
    <row r="21" ht="15.75" customHeight="1">
      <c r="B21" s="77" t="s">
        <v>124</v>
      </c>
      <c r="C21" s="69" t="str">
        <f t="shared" ref="C21:H21" si="15">#REF!/1000</f>
        <v>#REF!</v>
      </c>
      <c r="D21" s="69" t="str">
        <f t="shared" si="15"/>
        <v>#REF!</v>
      </c>
      <c r="E21" s="69" t="str">
        <f t="shared" si="15"/>
        <v>#REF!</v>
      </c>
      <c r="F21" s="69" t="str">
        <f t="shared" si="15"/>
        <v>#REF!</v>
      </c>
      <c r="G21" s="69" t="str">
        <f t="shared" si="15"/>
        <v>#REF!</v>
      </c>
      <c r="H21" s="69" t="str">
        <f t="shared" si="15"/>
        <v>#REF!</v>
      </c>
    </row>
    <row r="22" ht="15.75" customHeight="1">
      <c r="B22" s="78" t="s">
        <v>125</v>
      </c>
      <c r="C22" s="69" t="str">
        <f>#REF!/1000</f>
        <v>#REF!</v>
      </c>
      <c r="D22" s="69"/>
      <c r="E22" s="69"/>
      <c r="F22" s="69"/>
      <c r="G22" s="69"/>
      <c r="H22" s="69"/>
    </row>
    <row r="23" ht="15.75" customHeight="1">
      <c r="B23" s="79" t="s">
        <v>126</v>
      </c>
      <c r="C23" s="80" t="str">
        <f t="shared" ref="C23:C24" si="16">#REF!</f>
        <v>#REF!</v>
      </c>
      <c r="D23" s="81"/>
      <c r="E23" s="81"/>
      <c r="F23" s="81"/>
      <c r="G23" s="81"/>
      <c r="H23" s="81"/>
    </row>
    <row r="24" ht="15.75" customHeight="1">
      <c r="B24" s="79" t="s">
        <v>127</v>
      </c>
      <c r="C24" s="82" t="str">
        <f t="shared" si="16"/>
        <v>#REF!</v>
      </c>
      <c r="D24" s="81"/>
      <c r="E24" s="81"/>
      <c r="F24" s="81"/>
      <c r="G24" s="81"/>
      <c r="H24" s="8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